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2" sheetId="2" r:id="rId5"/>
    <sheet state="visible" name="Sheet3" sheetId="3" r:id="rId6"/>
    <sheet state="visible" name="By Geography" sheetId="4" r:id="rId7"/>
    <sheet state="visible" name="Sheet2" sheetId="5" r:id="rId8"/>
  </sheets>
  <definedNames>
    <definedName hidden="1" localSheetId="0" name="_xlnm._FilterDatabase">'Form Responses 1'!$A$1:$AB$267</definedName>
    <definedName hidden="1" localSheetId="3" name="_xlnm._FilterDatabase">'By Geography'!$A$1:$C$1000</definedName>
  </definedNames>
  <calcPr/>
  <pivotCaches>
    <pivotCache cacheId="0" r:id="rId9"/>
    <pivotCache cacheId="1" r:id="rId10"/>
  </pivotCaches>
</workbook>
</file>

<file path=xl/sharedStrings.xml><?xml version="1.0" encoding="utf-8"?>
<sst xmlns="http://schemas.openxmlformats.org/spreadsheetml/2006/main" count="3195" uniqueCount="490">
  <si>
    <t>Martial Art</t>
  </si>
  <si>
    <t>Timestamp</t>
  </si>
  <si>
    <t>Percent 'Very Eager to Go Back'</t>
  </si>
  <si>
    <t>TKD</t>
  </si>
  <si>
    <t>What is Your Age?</t>
  </si>
  <si>
    <t>Where are You Located</t>
  </si>
  <si>
    <t>City</t>
  </si>
  <si>
    <t>State</t>
  </si>
  <si>
    <t>Region/Country</t>
  </si>
  <si>
    <t>Do You Have Children?</t>
  </si>
  <si>
    <t>Martial Arts Concat</t>
  </si>
  <si>
    <t>Martial Art 1</t>
  </si>
  <si>
    <t>Martial Art 2</t>
  </si>
  <si>
    <t>Martial Art 3</t>
  </si>
  <si>
    <t>Muay Thai</t>
  </si>
  <si>
    <t>Martial Art 4</t>
  </si>
  <si>
    <t>Martial Art 5</t>
  </si>
  <si>
    <t>Martial Art 6</t>
  </si>
  <si>
    <t>How Long Have You Been Doing Your Martial Art(s)</t>
  </si>
  <si>
    <t>How Eager Are You to Train Again?</t>
  </si>
  <si>
    <t>If Restrictions Were Lifted Today, You Would...</t>
  </si>
  <si>
    <t>MMA</t>
  </si>
  <si>
    <t>Do You Feel Safe Training if There are Still COVID-19 Deaths in Your City?</t>
  </si>
  <si>
    <t>Will the Pandemic Change Anything About the Way You Train (health, safety, frequency, type of martial art, etc.)</t>
  </si>
  <si>
    <t>Kickboxing</t>
  </si>
  <si>
    <t>Have You Kept Your Membership Dues as Your School Has Remained Closed?</t>
  </si>
  <si>
    <t>How Long Will You Continue to Pay Your Membership Dues</t>
  </si>
  <si>
    <t>Judo</t>
  </si>
  <si>
    <t>What Would You Recommend for Gym Owners to Maintain Safety When Reopening (optional)</t>
  </si>
  <si>
    <t>BJJ</t>
  </si>
  <si>
    <t>Karate*</t>
  </si>
  <si>
    <t>Wrestling</t>
  </si>
  <si>
    <t>35 to 49</t>
  </si>
  <si>
    <t>Phoenix</t>
  </si>
  <si>
    <t>Arizona</t>
  </si>
  <si>
    <t>United States</t>
  </si>
  <si>
    <t>Yes</t>
  </si>
  <si>
    <t>&gt; 5 years</t>
  </si>
  <si>
    <t>Wait 1 to 2 months</t>
  </si>
  <si>
    <t>I have continued payment</t>
  </si>
  <si>
    <t>Indefinitely</t>
  </si>
  <si>
    <t xml:space="preserve">Just keep it clean and remind people to stay off the mats if they are sick. </t>
  </si>
  <si>
    <t>District of Columbia</t>
  </si>
  <si>
    <t>3 to 5 years</t>
  </si>
  <si>
    <t>25 to 34</t>
  </si>
  <si>
    <t>Vegas</t>
  </si>
  <si>
    <t>Las Vegas</t>
  </si>
  <si>
    <t>Nevada</t>
  </si>
  <si>
    <t>No</t>
  </si>
  <si>
    <t>Return to training right away</t>
  </si>
  <si>
    <t>Ban people who work in retail. I work from home or in my own office. I'm not around people. We have people at our gym who work on the strip</t>
  </si>
  <si>
    <t>New Jersey USA</t>
  </si>
  <si>
    <t>New Jersey</t>
  </si>
  <si>
    <t>1 to 2 More Months</t>
  </si>
  <si>
    <t>NJ</t>
  </si>
  <si>
    <t>&lt; 1 year</t>
  </si>
  <si>
    <t>Limit class sizes, and put some space between class times to allow one class to leave before next starts.  Add more classes to make up the difference.  I know it's not convenient, but this is survival for everyone right now.  If somewhere is really a hot spot, consider temperature checks on arrival.</t>
  </si>
  <si>
    <t>&gt; 49</t>
  </si>
  <si>
    <t>NYC</t>
  </si>
  <si>
    <t>New York City</t>
  </si>
  <si>
    <t>New York</t>
  </si>
  <si>
    <t>I do not pay consistently (drop in, no contracts, etc)</t>
  </si>
  <si>
    <t>I am not paying monthly dues</t>
  </si>
  <si>
    <t xml:space="preserve">Reopen and train, train hard, developing healthy humans prevents disease and depression </t>
  </si>
  <si>
    <t>Toronto Canada</t>
  </si>
  <si>
    <t>Toronto</t>
  </si>
  <si>
    <t>Ontario</t>
  </si>
  <si>
    <t>bring your training partner...</t>
  </si>
  <si>
    <t>Sioux Falls, SD, USA</t>
  </si>
  <si>
    <t>South Dakota</t>
  </si>
  <si>
    <t>Karate</t>
  </si>
  <si>
    <t>&lt; 18</t>
  </si>
  <si>
    <t>Clarksville, tn</t>
  </si>
  <si>
    <t>Clarksville</t>
  </si>
  <si>
    <t>Tennessee</t>
  </si>
  <si>
    <t>Texas</t>
  </si>
  <si>
    <t>1 to 3 years</t>
  </si>
  <si>
    <t>Follow recommendations of experts, not meatheads on Reddit.</t>
  </si>
  <si>
    <t>Northern Virginia USA</t>
  </si>
  <si>
    <t>Arlington</t>
  </si>
  <si>
    <t>Virginia</t>
  </si>
  <si>
    <t>I don’t really care about the safety as eventually I need to build my immune system to fight the disease</t>
  </si>
  <si>
    <t>VA</t>
  </si>
  <si>
    <t>None</t>
  </si>
  <si>
    <t>Southern Wisconsin</t>
  </si>
  <si>
    <t>Wisconsin</t>
  </si>
  <si>
    <t>Wait 2 to 4 months</t>
  </si>
  <si>
    <t>&lt; 1 Month</t>
  </si>
  <si>
    <t>No idea. Its a highly contagious virus. Its deadly. So there are huge risks. I will go back as soon as I can get the vaccine. I will then just be sure to wash as much as I can during-after training. Its sad. I really want to go back. I miss the people from my gym. I even basically donated 2 months of memberships fees already. I'm fine with that.</t>
  </si>
  <si>
    <t>Australia</t>
  </si>
  <si>
    <t xml:space="preserve">Instill a culture that says "if you're sick, stay home". Support this by allowing sick members to suspend their training fees for whatever period of time they are unwell for. 
Other than that...would recommend gyms stay closed until your location has had 7-14 days of zero new cases. </t>
  </si>
  <si>
    <t>Helsinki, Finland</t>
  </si>
  <si>
    <t>Finland</t>
  </si>
  <si>
    <t>Small groups</t>
  </si>
  <si>
    <t>Ireland</t>
  </si>
  <si>
    <t>Only open when given the all clear officially to do so. High cleaning standards.</t>
  </si>
  <si>
    <t>Pakistan</t>
  </si>
  <si>
    <t>18 to 25</t>
  </si>
  <si>
    <t>Sweden</t>
  </si>
  <si>
    <t>Wash Tatami daily</t>
  </si>
  <si>
    <t>Alberta</t>
  </si>
  <si>
    <t>Alabama</t>
  </si>
  <si>
    <t>Santa Barbara CA</t>
  </si>
  <si>
    <t>California</t>
  </si>
  <si>
    <t>Brooklyn, NY</t>
  </si>
  <si>
    <t>Scale the types of classes and class sizes. Limited class size initially and slowly increase. Initial 2-3 weeks have more limited contact and slowly increase. Strict health policy, must wait 4-7 days post sickness before returning.</t>
  </si>
  <si>
    <t>Canada</t>
  </si>
  <si>
    <t xml:space="preserve">Strict cleaning </t>
  </si>
  <si>
    <t xml:space="preserve">Alabama </t>
  </si>
  <si>
    <t>La</t>
  </si>
  <si>
    <t>Los Angeles</t>
  </si>
  <si>
    <t>Wait &gt; 6 months</t>
  </si>
  <si>
    <t>Testing at the door</t>
  </si>
  <si>
    <t>Northern california</t>
  </si>
  <si>
    <t>New Mexico</t>
  </si>
  <si>
    <t>Um, what new things can really be done to increase safety with so many unknowns? I am not reopening or charging anyone until we all can do "jiu jitsu" again. I could open up and increase safety a little by having students "roll" with grappling dummy's, do solo drills, and reduce class size but that's not jiu jitsu. That is getting business going again, not getting jiu jitsu going again.  
I do not think I am reopening my school until my kids elementary schools are open again with a regular schedule. I closed up on March 11th, with only 4 confirmed cases statewide. I am pretty sure that I was one of the very first schools in America to close up shop, super hard decision, like one of the hardest I have ever had to make. I'll probably be one of the last ones to open back up as well.</t>
  </si>
  <si>
    <t xml:space="preserve">Brooklyn </t>
  </si>
  <si>
    <t>Clean clean clean! I have visited many gyms and if not impressed by the level of cleanliness they practice</t>
  </si>
  <si>
    <t>Better cleaning practices</t>
  </si>
  <si>
    <t xml:space="preserve">Pennsylvania </t>
  </si>
  <si>
    <t>Pennsylvania</t>
  </si>
  <si>
    <t>Refrain from training Grappling for about a month, Try hold smaller classes</t>
  </si>
  <si>
    <t>texas</t>
  </si>
  <si>
    <t>Make everyone wash their belt</t>
  </si>
  <si>
    <t>Virginia Beach</t>
  </si>
  <si>
    <t xml:space="preserve">To give ideas on how to train at home and what you should train on for moving forward with the curriculum </t>
  </si>
  <si>
    <t xml:space="preserve">Melbourne </t>
  </si>
  <si>
    <t>Melbourne</t>
  </si>
  <si>
    <t>Germany</t>
  </si>
  <si>
    <t>germany</t>
  </si>
  <si>
    <t>back to normality, I refuse to be hypocondriacal by law</t>
  </si>
  <si>
    <t>The netherlands</t>
  </si>
  <si>
    <t>Netherlands</t>
  </si>
  <si>
    <t xml:space="preserve">Make sure everything gets cleaned up properly and make sure people stay at home if they have covid symptoms. </t>
  </si>
  <si>
    <t>Derby UK</t>
  </si>
  <si>
    <t>Derby</t>
  </si>
  <si>
    <t>UK</t>
  </si>
  <si>
    <t>Bottles of mat sanitizer everywherr</t>
  </si>
  <si>
    <t>Denver</t>
  </si>
  <si>
    <t>Colorado</t>
  </si>
  <si>
    <t xml:space="preserve">Orlando FL </t>
  </si>
  <si>
    <t>Orlando</t>
  </si>
  <si>
    <t>Florida</t>
  </si>
  <si>
    <t>Encourage hygiene, reminding members to shower after every day they train, bring back up clothes and not simply train in the clothes they walked in with. And send people home if they are visibly sick. As well as encouraging students to stay home when they begin to feel sick.  Some practices make more sense for certain martial arts. So think of ways specific to your martial art and training sessions.</t>
  </si>
  <si>
    <t xml:space="preserve">Chicago </t>
  </si>
  <si>
    <t>Chicago</t>
  </si>
  <si>
    <t>Illinois</t>
  </si>
  <si>
    <t>More frequent sanitizing every day. Class participation linits</t>
  </si>
  <si>
    <t>Chicago IL</t>
  </si>
  <si>
    <t xml:space="preserve">Maintain high level of sanitation and keep soaps and Sanitizers stocked. Practice/enforce good hygiene </t>
  </si>
  <si>
    <t xml:space="preserve">Massachusetts </t>
  </si>
  <si>
    <t>Massachusetts</t>
  </si>
  <si>
    <t>Follow any recommended guidelines from CDC, and local/regional health authorities.  When first returning, look at ways to limit contact and crowding when possible.  Perhaps consider classes only for people who have been vaccinated/recovered.</t>
  </si>
  <si>
    <t>New York City, NY</t>
  </si>
  <si>
    <t>Space out classes so that there is time to wipe down gear/clean the mats before the next group arrives.</t>
  </si>
  <si>
    <t>Queens, NY</t>
  </si>
  <si>
    <t xml:space="preserve">Be very transparent about what safety procedures are in place to protect members. Clean mats and common space between each class. Limit class sizes to limit contact and broadcast classes on Zoom for members who can't be there due to size restrictions or are nervous to return. </t>
  </si>
  <si>
    <t>Rochester, NY</t>
  </si>
  <si>
    <t>Rochester</t>
  </si>
  <si>
    <t>Syracuse NY</t>
  </si>
  <si>
    <t>Syracuse</t>
  </si>
  <si>
    <t xml:space="preserve">North Carolina </t>
  </si>
  <si>
    <t>North Carolina</t>
  </si>
  <si>
    <t>Cincinnati Ohio</t>
  </si>
  <si>
    <t>Cincinnati</t>
  </si>
  <si>
    <t>Ohio</t>
  </si>
  <si>
    <t>Clean mats</t>
  </si>
  <si>
    <t>PA</t>
  </si>
  <si>
    <t>Pennsylvania, United States</t>
  </si>
  <si>
    <t>I cancelled payment</t>
  </si>
  <si>
    <t>let long time customers in first</t>
  </si>
  <si>
    <t xml:space="preserve">Houston </t>
  </si>
  <si>
    <t>Houston</t>
  </si>
  <si>
    <t>No open mats,  reduce class sizes,  have no contact options and muay importantly,  WAIT! At least until reliable testing is available</t>
  </si>
  <si>
    <t>Houston Area</t>
  </si>
  <si>
    <t>Smaller classes, mandatory stay off the mats if even sneezing, mandatory hand washing, and maybe even masks on the mat.</t>
  </si>
  <si>
    <t>Vancouver</t>
  </si>
  <si>
    <t>BC</t>
  </si>
  <si>
    <t>Tae Kwon Do</t>
  </si>
  <si>
    <t>Keep a log of all class attendees</t>
  </si>
  <si>
    <t>Fuck the haters</t>
  </si>
  <si>
    <t>If you come to train, you accept the risk.</t>
  </si>
  <si>
    <t>Each instructor teaches one group of people on different days. Regular testing for instructors.</t>
  </si>
  <si>
    <t>Belfast, Ireland</t>
  </si>
  <si>
    <t>Belfast</t>
  </si>
  <si>
    <t xml:space="preserve">Hand sanitizer before getting on the mat. Smaller training groups </t>
  </si>
  <si>
    <t>Cork Ireland</t>
  </si>
  <si>
    <t>Cork</t>
  </si>
  <si>
    <t>Clean all day everyday</t>
  </si>
  <si>
    <t>England</t>
  </si>
  <si>
    <t>(Until social distancing is over) 1. More classes with a max size and having to prebook; so that each pair can social distance. 2. If possible have assigned pairs so same pair work together every session until social distance is over; so that it limits who you are coming into contact with. (After social distancing is over) Just ensuring all equipment is cleaned after every single session.</t>
  </si>
  <si>
    <t>boston</t>
  </si>
  <si>
    <t>Boston</t>
  </si>
  <si>
    <t xml:space="preserve">limit class sizes and assign long-term partners for drilling and rolling so we can be responsible for and to each other. </t>
  </si>
  <si>
    <t>Midwest</t>
  </si>
  <si>
    <t>Require testing for individuals or proof of antibodies/vaccine</t>
  </si>
  <si>
    <t>Queens, NYC</t>
  </si>
  <si>
    <t xml:space="preserve">This might be a bit to read, but want to be as informative as possible.
This is a bit of a difficult topic, since the approach would have to take social distancing guidelines into account AS WELL as constant cleaning.
Example, before things got significantly worse, my old school (MayoMMA, also located in Queens) ran strict class schedules where kids would be assigned to a certain time slot.
For more context, school had already been out at this point of the pandemic.
There would be classes of no more than 8 kids and there would be specific drills ran which mainly involved cardio and basic technique drills on dummies and or pads. (I happen to sit in on one of those classes and witnessed it for myself).
After the class was completed, they would take 15 minutes to sanitize the area and equipment with the medical grade sanitizing solution that they had on hand.
This further exemplifies the affect that COVID-19 had on their classes, and how other forms of martial arts (especially ones involving a lot of grappling) pretty much falls apart unless you have a way to do 1 on 1's with someone who has not contracted the virus.
Hope this helps!
P.S.
At this point in time, I do not know if they are still conducting those classes as I have not been in touch recently, but I am sure out of concern for the safety of the children that they aren't running many classes, if at all.
</t>
  </si>
  <si>
    <t xml:space="preserve">California </t>
  </si>
  <si>
    <t>IL</t>
  </si>
  <si>
    <t xml:space="preserve">There is no right answer so do what you feel is best for your school and your students! </t>
  </si>
  <si>
    <t>Indiana</t>
  </si>
  <si>
    <t xml:space="preserve">Through disinfect and minimizing contact drills close quarters. Im a school owner and im waiting a month after restriction lifts to see if infection spikes and maxing maximum class sizes and still distancing as much as possible for the arts that can. </t>
  </si>
  <si>
    <t>Earth</t>
  </si>
  <si>
    <t>Tell Frank to leave my ankles alone</t>
  </si>
  <si>
    <t>Portland, ME USA</t>
  </si>
  <si>
    <t>Portland</t>
  </si>
  <si>
    <t>Maine</t>
  </si>
  <si>
    <t xml:space="preserve">I wish I knew the right answer... I think there is a lot of dangerous rhetoric about opening things up too soon. I also think that a second wave is likely before a more effective treatment or vaccine is available.  I think that restrictions about keeping gyms to limited partners or smaller classes are a farcical suggestion. additionally opening jiu jitsu gyms during the "fitness centers" portion of various government guidelines while conveniently ignoring the fact that those regulations also call for social distancing I  the facility as well as enhanced sanitation protocols. While sanitizing can be done at a higher rate, it's going to be pretty tough to socially distance whilst smashing your training partner in half guard. </t>
  </si>
  <si>
    <t>Michigan</t>
  </si>
  <si>
    <t>Maybe check people's temp, sanitize mats even more often</t>
  </si>
  <si>
    <t>Cap a limit for each training session and for the first month or two maintain social distancing if possible</t>
  </si>
  <si>
    <t>NYC / SF</t>
  </si>
  <si>
    <t>Limiting class size, aggressive sanitation efforts (full mat cleaning between every class even if it shortens class time by 5 min), etc</t>
  </si>
  <si>
    <t>Toronto, Canada</t>
  </si>
  <si>
    <t>SLC, Utah</t>
  </si>
  <si>
    <t>Salt Lake City</t>
  </si>
  <si>
    <t>Utah</t>
  </si>
  <si>
    <t xml:space="preserve">Extra cleaning, focus on solo drills, conditioning specifically for BJJ and lots of dummy reps until most feel safe to return and train with a partner. </t>
  </si>
  <si>
    <t xml:space="preserve">Practical precautions </t>
  </si>
  <si>
    <t xml:space="preserve">Denmark </t>
  </si>
  <si>
    <t>Denmark</t>
  </si>
  <si>
    <t>I'm not a doctor, so unless they wait until the proper authorities say is safe to go, what I think it's useless.</t>
  </si>
  <si>
    <t>Estonia</t>
  </si>
  <si>
    <t>Disinfect after each class, one training partner for the whole class, preferably the same one every time</t>
  </si>
  <si>
    <t xml:space="preserve">Irish Midlands </t>
  </si>
  <si>
    <t>Phoenix, AZ USA</t>
  </si>
  <si>
    <t xml:space="preserve">AR </t>
  </si>
  <si>
    <t>Arkansas</t>
  </si>
  <si>
    <t>?</t>
  </si>
  <si>
    <t>CA</t>
  </si>
  <si>
    <t>Break members into pods. You can only train with your pod. Each pod gets certain training days. That way you are only exposed to the members in your pod. I would prefer 1-2 safe classes a week rather than unlimited classes where we are a petri dish.</t>
  </si>
  <si>
    <t>Frequent cleanings, limit class size</t>
  </si>
  <si>
    <t>CALIFORNIA, USA</t>
  </si>
  <si>
    <t>Santa Maria, CA</t>
  </si>
  <si>
    <t xml:space="preserve">Southern California </t>
  </si>
  <si>
    <t xml:space="preserve">More classes with limited class size. </t>
  </si>
  <si>
    <t>Have class divide into core groups where that same core trains only within that group until therapeutic treatment is available. Provide multiple class sessions due to limited number of participants.</t>
  </si>
  <si>
    <t xml:space="preserve">Florida </t>
  </si>
  <si>
    <t>Atlanta</t>
  </si>
  <si>
    <t>Georgia</t>
  </si>
  <si>
    <t xml:space="preserve">Atlanta </t>
  </si>
  <si>
    <t>Idaho</t>
  </si>
  <si>
    <t>maybe for the first month only allow people that have already recovered/has antibodies from testing to train</t>
  </si>
  <si>
    <t>Limit your rolling partners to 1 a session</t>
  </si>
  <si>
    <t>HEPA air filters, antibody testing (if feasible), shower at the gym after class, anyone with a cough shouldn't train (cardio and smoker cough are exceptions), hospital/first responders train at a separate time, and mats cleaned between each class.</t>
  </si>
  <si>
    <t>London, UK</t>
  </si>
  <si>
    <t>London</t>
  </si>
  <si>
    <t>Baltimore, md</t>
  </si>
  <si>
    <t>Baltimore</t>
  </si>
  <si>
    <t>Maryland</t>
  </si>
  <si>
    <t xml:space="preserve">Fever checks, education, </t>
  </si>
  <si>
    <t>Ellicott City MD</t>
  </si>
  <si>
    <t>Ellicott City</t>
  </si>
  <si>
    <t xml:space="preserve">Strongly urge those with any symptoms to stay home. Track who has volunteered that they have symptoms and try to enforce those who shouldn’t be training. </t>
  </si>
  <si>
    <t>MN</t>
  </si>
  <si>
    <t>Minnesota</t>
  </si>
  <si>
    <t>Maybe limit people to small groups of drilling / rolling partners?</t>
  </si>
  <si>
    <t>Mn</t>
  </si>
  <si>
    <t xml:space="preserve">Listen to cdc/who </t>
  </si>
  <si>
    <t>Missouri, USA</t>
  </si>
  <si>
    <t>Missouri</t>
  </si>
  <si>
    <t>Reno,NV</t>
  </si>
  <si>
    <t>Reno</t>
  </si>
  <si>
    <t>Make sure that the gym is continually cleaned and that participants are screened for fevers.</t>
  </si>
  <si>
    <t>NH</t>
  </si>
  <si>
    <t>New Hampshire</t>
  </si>
  <si>
    <t>Support contact tracing and mandating self quarantines (provide clear guidelines on next steps)</t>
  </si>
  <si>
    <t>I think people will make their own choices. For me, I don't feel comfortable training. its not worth the risk</t>
  </si>
  <si>
    <t xml:space="preserve">I don't think for jiujitsu social distancing wont work. Especially for smaller gyms. Your gym should normally be disinfecting the mats and using proper hygiene. But each individual is going to have to understand there is a higher risk and decide for themselves if it's right for them and their family that they should go back to train. </t>
  </si>
  <si>
    <t>Cleaning, temperature checks, small classes, no one with cold symptoms, waiting for a big decrease in number of cases.</t>
  </si>
  <si>
    <t xml:space="preserve">Strict cleanliness guidelines.   Check temperature for people about to do class,  start with single student drills,  use of masks. </t>
  </si>
  <si>
    <t>Wait as long as possible to re-open. I imagine there is a lot of pressure to open as soon as possible, particularly for financial reasons. But I'd rather see the gyms be cautious.</t>
  </si>
  <si>
    <t>Brooklyn New York</t>
  </si>
  <si>
    <t>Everyone Washing hands in and out of facility, disinfecting mats and door handles and floor in between every class, shoes off at the entrance door, in the beginning run at 50% or less capacity (depends on space) smaller classes and more space in between. No unnecessary touching (no body adjustments), no mixing partners (stick to same partner throughout class),  May need to limit rolling/sparring in the beginning months or opening</t>
  </si>
  <si>
    <t xml:space="preserve">Emphasize personal responsibility in keeping training partners safe - no training if you are ill or if you have been exposed to someone that is ill in the last 14 days. </t>
  </si>
  <si>
    <t>nyc</t>
  </si>
  <si>
    <t>Nc</t>
  </si>
  <si>
    <t>A high emphasis on cleaning. Before class and after. In-between aswell if there are kids classes before the adults. Disinfecting as much as possible to keep a semi-sanitized environment.</t>
  </si>
  <si>
    <t>North Carolina, USA</t>
  </si>
  <si>
    <t>Cincinatti</t>
  </si>
  <si>
    <t>Columbus Ohio</t>
  </si>
  <si>
    <t>I hate to say it, but there's no right way to eat this Reece's. Too many people are too cavalier about it, and thus prolonging it's propagation. I basically can't train until there's a vaccine.</t>
  </si>
  <si>
    <t>Dayton, OH</t>
  </si>
  <si>
    <t>Dayton</t>
  </si>
  <si>
    <t xml:space="preserve">Follow state guidelines to the letter. </t>
  </si>
  <si>
    <t>Temperature Monitors by the door. People with fever are not allowed. 
Find a way to incentivize people to stay home if sick (maybe allow for sick days credit) (unsure how to implement)</t>
  </si>
  <si>
    <t xml:space="preserve">Follow Government guidelines, provide initial distancing programs with limited numbers, gradually growing over time. </t>
  </si>
  <si>
    <t>Eugene Oregon</t>
  </si>
  <si>
    <t>Oregon</t>
  </si>
  <si>
    <t xml:space="preserve">Very strong personal hygiene protocol. Be strict with students. Clean person, clean gi, trimmed nails, etc.  If you are not clean you go home. </t>
  </si>
  <si>
    <t>Encourage sanitizer use, etc.</t>
  </si>
  <si>
    <t xml:space="preserve">Portland </t>
  </si>
  <si>
    <t>Portland, OR</t>
  </si>
  <si>
    <t>Allentown PA</t>
  </si>
  <si>
    <t>Allentown</t>
  </si>
  <si>
    <t xml:space="preserve">Clean the mats before and after every class.  More cleaning everywhere else in the gym. </t>
  </si>
  <si>
    <t>PA, USA</t>
  </si>
  <si>
    <t>While a bit scary, I hope the gym owners can update us if someone in class gets sick. Contact tracing may be very important.</t>
  </si>
  <si>
    <t>Montreal</t>
  </si>
  <si>
    <t>Quebec</t>
  </si>
  <si>
    <t>Follow guidelines by area</t>
  </si>
  <si>
    <t>Only thing missing in the questions.. I personally feel safe and would restart right away BUT one of my child is at risk and because of that, I'm not sure yet how we'll proceed.. We/I may need to remain in locked down even when things are official restarting..
Also, as for paying membership, I'm on a yearly plan, paid upfront. When the year ends, depending on whether I'm still at home... I won't resubscribe immediately.</t>
  </si>
  <si>
    <t>South Carolina, United States</t>
  </si>
  <si>
    <t>South Carolina</t>
  </si>
  <si>
    <t xml:space="preserve">Nashville </t>
  </si>
  <si>
    <t>Nashville</t>
  </si>
  <si>
    <t>Austin, TX</t>
  </si>
  <si>
    <t>Austin</t>
  </si>
  <si>
    <t>Dallas, Texas, USA</t>
  </si>
  <si>
    <t>Dallas</t>
  </si>
  <si>
    <t xml:space="preserve">I struggle to see how grappling will be safe with a disease that has so many asymptotic carriers. While outbreaks continue at a local level, grappling no matter how much sanitizer or disinfecting products are used seems risky. </t>
  </si>
  <si>
    <t>Hand Sanitizer, Clean Mats</t>
  </si>
  <si>
    <t xml:space="preserve"> Virginia</t>
  </si>
  <si>
    <t>They have to wait to reopen until we really understand all aspects of this and the associated risks.</t>
  </si>
  <si>
    <t>Seattle WA USA</t>
  </si>
  <si>
    <t>Seattle</t>
  </si>
  <si>
    <t>Washington</t>
  </si>
  <si>
    <t>Temp/SpO2 checks, small group training</t>
  </si>
  <si>
    <t>Milwaukee</t>
  </si>
  <si>
    <t>Milwuakee</t>
  </si>
  <si>
    <t>WI</t>
  </si>
  <si>
    <t>Pay attention to the experts and follow their recommendations</t>
  </si>
  <si>
    <t>Brisbane, Australia</t>
  </si>
  <si>
    <t>Brisbane</t>
  </si>
  <si>
    <t>Be FAR more strict on any indicators of someone being sick. Clean mats between classes Just to stop a common cold even. Not just covid.</t>
  </si>
  <si>
    <t>Perth, Australia</t>
  </si>
  <si>
    <t>Austria</t>
  </si>
  <si>
    <t>Don't ask us, ask the experts. Probably follow your government recommendations.</t>
  </si>
  <si>
    <t xml:space="preserve">Extra stringent cleaning regiment. </t>
  </si>
  <si>
    <t>St. Catharines Canada</t>
  </si>
  <si>
    <t>Vancouver, BC</t>
  </si>
  <si>
    <t>Saniticing gel</t>
  </si>
  <si>
    <t>Open the schools.</t>
  </si>
  <si>
    <t>Berlin/Germany</t>
  </si>
  <si>
    <t>Berlin</t>
  </si>
  <si>
    <t>maybe some detergent to disinfect hands at the door.</t>
  </si>
  <si>
    <t xml:space="preserve">Germany </t>
  </si>
  <si>
    <t xml:space="preserve">Require antibody tests until a vaccine is approved </t>
  </si>
  <si>
    <t>Iceland</t>
  </si>
  <si>
    <t>Italy</t>
  </si>
  <si>
    <t>Just stay home if sick</t>
  </si>
  <si>
    <t xml:space="preserve">No physical contact and remain social distance of 6 feet or more </t>
  </si>
  <si>
    <t>New Zealand</t>
  </si>
  <si>
    <t xml:space="preserve">Smaller classes of distinct groups, no crossover between groups. </t>
  </si>
  <si>
    <t>Norway</t>
  </si>
  <si>
    <t>As little cross training as possible, find out who is/has close family in the high risk category and have special restrictions or classes where they attend, if people have been in contact with illness tell them to stay home, do not open until government says you can!</t>
  </si>
  <si>
    <t>Oslo</t>
  </si>
  <si>
    <t>Romania</t>
  </si>
  <si>
    <t>Don't open until recommended, not only permitted</t>
  </si>
  <si>
    <t>Glasgow, Scotland</t>
  </si>
  <si>
    <t>Scotland</t>
  </si>
  <si>
    <t>Wash the mats, keep telling people to stay away if they are having symptoms/been in contact</t>
  </si>
  <si>
    <t xml:space="preserve">Spain -baleric islands </t>
  </si>
  <si>
    <t>Spain</t>
  </si>
  <si>
    <t xml:space="preserve">I will keep paying my gym fees as long as I can . I will be training once the quarentine is lifted with 2-3 other people at their houses. I don't feel bjj as it was before will be safe again for a long time . </t>
  </si>
  <si>
    <t>Northern Sweden</t>
  </si>
  <si>
    <t>Follow governmental instructions, we have to defeat this together as a planet</t>
  </si>
  <si>
    <t>Not much they can do more than clean the mats.</t>
  </si>
  <si>
    <t>uk</t>
  </si>
  <si>
    <t xml:space="preserve">Smaller classes </t>
  </si>
  <si>
    <t>United Kingdom</t>
  </si>
  <si>
    <t>Impossible to do, clean mats more frequently</t>
  </si>
  <si>
    <t xml:space="preserve">Midwest USA </t>
  </si>
  <si>
    <t xml:space="preserve">Temp checks and small group classes aren’t going to prevent asymptomatic transmission. Maybe listen to medical experts instead of pretending to be one after reading some articles on Facebook. </t>
  </si>
  <si>
    <t>N/A</t>
  </si>
  <si>
    <t>North America</t>
  </si>
  <si>
    <t>Do not risk the lives of your community because you need money or for some reason think the risk is not high despite every public health expert saying that the risk is really high.</t>
  </si>
  <si>
    <t>Sydney</t>
  </si>
  <si>
    <t>Limited numbers would be beneficial, set days possibly if virus is still active, I also believe hand/feet sanitisation before class should be implemented, along with temperature checks.</t>
  </si>
  <si>
    <t>Sydney, Australlia</t>
  </si>
  <si>
    <t>Hard to say really?</t>
  </si>
  <si>
    <t xml:space="preserve">Arizona </t>
  </si>
  <si>
    <t>Encourage high risk individuals to stay home</t>
  </si>
  <si>
    <t>Closed until social distancing lifted</t>
  </si>
  <si>
    <t>You can't safely reopen in times of an apocalyptic global pandemic as long as there is no effective treatment or vaccine for this disease. You cannot open if the students are anywhere near each other or the equipment in a martial arts dojo. It would be irresponsible and dangerous to bring students in have been in close contact with each other or even in the same room so we can have classes.. without a cure and without a vaccine you be putting your students at risk by opening your doors.</t>
  </si>
  <si>
    <t>Québec</t>
  </si>
  <si>
    <t>MA gym owner with a day job as a physical therapist and prior work experience in microbiology and epidemiology talking.
Maintain physical distancing as long as the situation about Covid-19 isn't under very good control where you are. A lot of people will be asymptomatic or be contagious for up to two weeks before showing symptoms, so monitoring symptoms isn't a safe way to ensure your gym won't become a hotzone for propagation until your local healh experts/CDC (as opposed to gov. or pundits like Dr Oz or other people on nationwide tv) says that it'd be ok to forgo the prevention measures. After that wait another 2 weeks (incubation period for the coronavirus) before decreasing your measures to ensure there isn't a recrudescence in cases after the reopening or the beginning of a second wave of contagion.
Focus your training on resistance/strenght/explosiveness/conditioning/solo drills/etc. (depending on your martial arts/combat sport focus) as long as necessary to prevent transmission.
When time has come to progressively decrease your safety measures, train with the same designated partner if possible, disinfect your equipment and surfaces before and after every session and above all, don't forget the measures are temporary, so don't loose hope.
Cheers!</t>
  </si>
  <si>
    <t>Force a cap on the amount of people allowed in a session, enforce cleanliness better. Have sort of an agreement that everyone gets tests regularly and do mandatory shutdown if even one person shows symptoms</t>
  </si>
  <si>
    <t>MA, USA</t>
  </si>
  <si>
    <t>Unfortunately I don't think there is much they can do. Provide hand sanitizer at the very least. Not sure how training with masks on would work</t>
  </si>
  <si>
    <t>Sf bay area</t>
  </si>
  <si>
    <t>San Francisco</t>
  </si>
  <si>
    <t>Adjust material where possible to reduce personal contact. Limit class sizes. Perhaps group students together into small teams that don’t cross, similar to how many states are requiring for childcare facilities. Consider asking students to wear masks. Limit or eliminate shared equipment.</t>
  </si>
  <si>
    <t>Bay area CA</t>
  </si>
  <si>
    <t>Ease back in to it. Start with smaller classes and then grow back to before.</t>
  </si>
  <si>
    <t>Maryland, USA</t>
  </si>
  <si>
    <t>Central New York</t>
  </si>
  <si>
    <t>Pennsylvania, USA</t>
  </si>
  <si>
    <t>CA, USA</t>
  </si>
  <si>
    <t xml:space="preserve">Schedule a certain amount of clients per session. If clients can social distance and workout, then there is no issue. And proper cleaning before/after sessions. </t>
  </si>
  <si>
    <t>Belgium</t>
  </si>
  <si>
    <t>The Netherlands</t>
  </si>
  <si>
    <t>I have no idea, I'm sorry. Have a nice day! (:</t>
  </si>
  <si>
    <t>Veenendaal, Netherlands</t>
  </si>
  <si>
    <t>Veenendaal</t>
  </si>
  <si>
    <t xml:space="preserve">Change the maximum amount of participants in any training session. Right now the max is 40, I'd like it to be 20. </t>
  </si>
  <si>
    <t xml:space="preserve">We work in a dirty business. All that can really be done is maybe more frequent do cleanings </t>
  </si>
  <si>
    <t>Sacramento CA</t>
  </si>
  <si>
    <t>Sacramento</t>
  </si>
  <si>
    <t>Mandatory sanitation on equipment</t>
  </si>
  <si>
    <t>Sanford, FL</t>
  </si>
  <si>
    <t>Sanford</t>
  </si>
  <si>
    <t>Munich</t>
  </si>
  <si>
    <t>Houston, TX</t>
  </si>
  <si>
    <t>Rely on students and trainers to be responsible if they are sick.</t>
  </si>
  <si>
    <t>Zürich</t>
  </si>
  <si>
    <t>Zurich</t>
  </si>
  <si>
    <t xml:space="preserve">small &amp; same groups </t>
  </si>
  <si>
    <t>Lucerne, Switzerland</t>
  </si>
  <si>
    <t>Switzerland</t>
  </si>
  <si>
    <t>maybe a restricted number of people per training</t>
  </si>
  <si>
    <t>Los Angeles County</t>
  </si>
  <si>
    <t xml:space="preserve">Have hand sanitizer (if possible at these times). But please allow us time to wash our hands before and after. If possible, don't let people who are not training in, to reduce the amount of people in the building. . </t>
  </si>
  <si>
    <t xml:space="preserve">Michigan </t>
  </si>
  <si>
    <t>Idk</t>
  </si>
  <si>
    <t xml:space="preserve">Brazil </t>
  </si>
  <si>
    <t>Brazil</t>
  </si>
  <si>
    <t>dont do it wait for vaccine</t>
  </si>
  <si>
    <t xml:space="preserve">Glasgow, Scotland </t>
  </si>
  <si>
    <t>Glasgow</t>
  </si>
  <si>
    <t>Cleaning Procedures and no back to back classes (maybe at least 1 -2 hours between classes)</t>
  </si>
  <si>
    <t>limit the number of people in classes</t>
  </si>
  <si>
    <t xml:space="preserve">New York </t>
  </si>
  <si>
    <t>Clean gym thoroughly and frequently (my gym owner already does anyway)</t>
  </si>
  <si>
    <t>Extra sanitation and perhaps limiting to pad/bag drills? Unfortunately, it's a contact sport.</t>
  </si>
  <si>
    <t>Brooklyn NY</t>
  </si>
  <si>
    <t>Restrict or limit contact, clean aggressively</t>
  </si>
  <si>
    <t>Manhattan</t>
  </si>
  <si>
    <t>It's tough because martial arts are very much contact sports. I'd probably recommend capping class sizes for about a month after restrictions are lifted (and the infection rate falls below 1 per a million people)</t>
  </si>
  <si>
    <t>Limit class size</t>
  </si>
  <si>
    <t xml:space="preserve">Reduced class size and preregistration. I would also be interested in more options for privates / small classes but would want them spaced out from other people being in the gym. </t>
  </si>
  <si>
    <t>Increased hygeine, strict penalties for training whilst ill, temperature checks before training.</t>
  </si>
  <si>
    <t>Brooklyn</t>
  </si>
  <si>
    <t>Just make sure to wash hands and equipment frequently</t>
  </si>
  <si>
    <t>Extra cleaning</t>
  </si>
  <si>
    <t>Uk</t>
  </si>
  <si>
    <t xml:space="preserve">Restrict class numbers </t>
  </si>
  <si>
    <t>Singapore</t>
  </si>
  <si>
    <t>compulsory cleaning of equipment after using (get rid of sweat), i've seen of some dojangs train while wearing masks (??) like @mirme_taekwondo, washing of hands during breaks, sanitizing hands before entering dojangs</t>
  </si>
  <si>
    <t>Considering most/all infections have happened indoors, passed by exhalation... outdoor training is about the best option we have in the short and medium terms :(</t>
  </si>
  <si>
    <t>The US-Georgia</t>
  </si>
  <si>
    <t>Require hand sanitizer before every class</t>
  </si>
  <si>
    <t>Indianapolis</t>
  </si>
  <si>
    <t xml:space="preserve">Kentucky </t>
  </si>
  <si>
    <t>Kentucky</t>
  </si>
  <si>
    <t>New orleans</t>
  </si>
  <si>
    <t>New Orleans</t>
  </si>
  <si>
    <t>Louisiana</t>
  </si>
  <si>
    <t>Routine cleaning</t>
  </si>
  <si>
    <t>Nebraska</t>
  </si>
  <si>
    <t>I plan to stop training</t>
  </si>
  <si>
    <t>Limit class sizes, no sick policy, sanitized areas and hand sanitizer required to take class, unhygienic people turned away from class.</t>
  </si>
  <si>
    <t>Homer NY</t>
  </si>
  <si>
    <t>Homer</t>
  </si>
  <si>
    <t xml:space="preserve">Staggered training days </t>
  </si>
  <si>
    <t>Pittsburgh,PA</t>
  </si>
  <si>
    <t>Pittsburgh</t>
  </si>
  <si>
    <t>Hygiene and cleaning have to be drastically improved and have materials readily available to clean up bodily fluids like sweat, blood and the like. Wiping down gym equipment several times a day and ensure students are washing their dobok's everyday they train.</t>
  </si>
  <si>
    <t>Kansas</t>
  </si>
  <si>
    <t xml:space="preserve">Honolulu </t>
  </si>
  <si>
    <t>Small consistent classes, such as the same 10 students each week. Teacher uses assistant so that, if teaching multiple classes, doesn’t touch students. Full cleaning between classes. This way each student is only in contact with about 9 people, keeping spread low if anyone gets sick. Teachers should get tested if available.</t>
  </si>
  <si>
    <t>BJJ, Muay Thai, Judo, Karate, MMA, Kickboxing</t>
  </si>
  <si>
    <t>Stagger classes, allow time between sessions for people to leave and new people to join.</t>
  </si>
  <si>
    <t>COUNTA of How Eager Are You to Train Again?</t>
  </si>
  <si>
    <t>AVERAGE of How Eager Are You to Train Again?</t>
  </si>
  <si>
    <t>Eager</t>
  </si>
  <si>
    <t>COVID Cases</t>
  </si>
  <si>
    <t>Grand Total</t>
  </si>
  <si>
    <t>How Eager are You to Train Again</t>
  </si>
  <si>
    <t>Very Eager</t>
  </si>
  <si>
    <t>Somewhat Eager</t>
  </si>
  <si>
    <t>Not Eager</t>
  </si>
  <si>
    <t>Not Eager at All</t>
  </si>
  <si>
    <t>COUNTA of If Restrictions Were Lifted Today, You Would...</t>
  </si>
  <si>
    <t>If Restrictions Were Lifted Today</t>
  </si>
  <si>
    <t>COUNTA of Have You Kept Your Membership Dues as Your School Has Remained Closed?</t>
  </si>
  <si>
    <t xml:space="preserve"> Total</t>
  </si>
  <si>
    <t>&lt; 1 year Total</t>
  </si>
  <si>
    <t>Do You Feel Safe Training if There is Still COVID Deaths in Your City?</t>
  </si>
  <si>
    <t>Safe</t>
  </si>
  <si>
    <t>Somewhat Safe</t>
  </si>
  <si>
    <t>Moderately Unsafe</t>
  </si>
  <si>
    <t>Somewhat Unsafe</t>
  </si>
  <si>
    <t>&gt; 5 years Total</t>
  </si>
  <si>
    <t>Dangerous</t>
  </si>
  <si>
    <t>1 to 3 years Total</t>
  </si>
  <si>
    <t>3 to 5 years Total</t>
  </si>
  <si>
    <t>No Total</t>
  </si>
  <si>
    <t>Yes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</si>
</sst>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
  </numFmts>
  <fonts count="5">
    <font>
      <sz val="10.0"/>
      <color rgb="FF000000"/>
      <name val="Arial"/>
    </font>
    <font>
      <b/>
      <color theme="1"/>
      <name val="Arial"/>
    </font>
    <font>
      <color theme="1"/>
      <name val="Arial"/>
    </font>
    <font/>
    <font>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2" numFmtId="9" xfId="0" applyFont="1" applyNumberFormat="1"/>
    <xf borderId="0" fillId="0" fontId="2" numFmtId="9" xfId="0" applyAlignment="1" applyFont="1" applyNumberFormat="1">
      <alignment readingOrder="0"/>
    </xf>
    <xf borderId="0" fillId="0" fontId="2" numFmtId="0" xfId="0" applyAlignment="1" applyFont="1">
      <alignment shrinkToFit="0" wrapText="0"/>
    </xf>
    <xf borderId="0" fillId="0" fontId="2" numFmtId="164" xfId="0" applyAlignment="1" applyFont="1" applyNumberFormat="1">
      <alignment readingOrder="0"/>
    </xf>
    <xf borderId="0" fillId="0" fontId="2" numFmtId="0" xfId="0" applyAlignment="1" applyFont="1">
      <alignment readingOrder="0" shrinkToFit="0" wrapText="0"/>
    </xf>
    <xf borderId="0" fillId="0" fontId="3" numFmtId="0" xfId="0" applyAlignment="1" applyFont="1">
      <alignment readingOrder="0"/>
    </xf>
    <xf borderId="0" fillId="0" fontId="4" numFmtId="0" xfId="0" applyAlignment="1" applyFont="1">
      <alignment readingOrder="0"/>
    </xf>
    <xf borderId="0" fillId="0" fontId="2" numFmtId="3" xfId="0" applyFont="1" applyNumberFormat="1"/>
    <xf borderId="0" fillId="0" fontId="2" numFmtId="2" xfId="0" applyFont="1" applyNumberFormat="1"/>
    <xf borderId="0" fillId="0" fontId="2" numFmtId="165" xfId="0" applyFont="1" applyNumberFormat="1"/>
    <xf borderId="0" fillId="0" fontId="3" numFmtId="3" xfId="0" applyFont="1" applyNumberFormat="1"/>
    <xf borderId="0" fillId="0" fontId="1" numFmtId="0" xfId="0" applyFont="1"/>
    <xf borderId="0" fillId="0" fontId="2" numFmtId="10" xfId="0" applyFont="1" applyNumberFormat="1"/>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195190"/>
                </a:solidFill>
                <a:latin typeface="Tahoma"/>
              </a:defRPr>
            </a:pPr>
            <a:r>
              <a:t>How Eager Are You to Train Again?</a:t>
            </a:r>
          </a:p>
        </c:rich>
      </c:tx>
      <c:layout>
        <c:manualLayout>
          <c:xMode val="edge"/>
          <c:yMode val="edge"/>
          <c:x val="0.03170833333333334"/>
          <c:y val="0.04744389027431422"/>
        </c:manualLayout>
      </c:layout>
      <c:overlay val="0"/>
    </c:title>
    <c:plotArea>
      <c:layout/>
      <c:doughnutChart>
        <c:varyColors val="1"/>
        <c:ser>
          <c:idx val="0"/>
          <c:order val="0"/>
          <c:dPt>
            <c:idx val="0"/>
            <c:explosion val="0"/>
            <c:spPr>
              <a:solidFill>
                <a:srgbClr val="9FC5E8"/>
              </a:solidFill>
              <a:ln cmpd="sng" w="9525">
                <a:solidFill>
                  <a:srgbClr val="000000"/>
                </a:solidFill>
              </a:ln>
            </c:spPr>
          </c:dPt>
          <c:dPt>
            <c:idx val="1"/>
            <c:spPr>
              <a:solidFill>
                <a:srgbClr val="EA9999"/>
              </a:solidFill>
              <a:ln cmpd="sng" w="9525">
                <a:solidFill>
                  <a:srgbClr val="000000"/>
                </a:solidFill>
              </a:ln>
            </c:spPr>
          </c:dPt>
          <c:dPt>
            <c:idx val="2"/>
            <c:spPr>
              <a:solidFill>
                <a:srgbClr val="9FC5E8"/>
              </a:solidFill>
              <a:ln cmpd="sng" w="9525">
                <a:solidFill>
                  <a:srgbClr val="000000"/>
                </a:solidFill>
              </a:ln>
            </c:spPr>
          </c:dPt>
          <c:dPt>
            <c:idx val="3"/>
            <c:spPr>
              <a:solidFill>
                <a:srgbClr val="A2C4C9"/>
              </a:solidFill>
              <a:ln cmpd="sng" w="9525">
                <a:solidFill>
                  <a:srgbClr val="000000"/>
                </a:solidFill>
              </a:ln>
            </c:spPr>
          </c:dPt>
          <c:dPt>
            <c:idx val="4"/>
            <c:spPr>
              <a:solidFill>
                <a:srgbClr val="EA9999"/>
              </a:solidFill>
              <a:ln cmpd="sng" w="9525">
                <a:solidFill>
                  <a:srgbClr val="000000"/>
                </a:solidFill>
              </a:ln>
            </c:spPr>
          </c:dPt>
          <c:dPt>
            <c:idx val="5"/>
            <c:spPr>
              <a:solidFill>
                <a:srgbClr val="F9CB9C"/>
              </a:solidFill>
              <a:ln cmpd="sng" w="9525">
                <a:solidFill>
                  <a:srgbClr val="000000"/>
                </a:solidFill>
              </a:ln>
            </c:spPr>
          </c:dPt>
          <c:dPt>
            <c:idx val="6"/>
            <c:spPr>
              <a:solidFill>
                <a:srgbClr val="FFE599"/>
              </a:solidFill>
              <a:ln cmpd="sng" w="9525">
                <a:solidFill>
                  <a:srgbClr val="000000"/>
                </a:solidFill>
              </a:ln>
            </c:spPr>
          </c:dPt>
          <c:dLbls>
            <c:showLegendKey val="0"/>
            <c:showVal val="0"/>
            <c:showCatName val="0"/>
            <c:showSerName val="0"/>
            <c:showPercent val="1"/>
            <c:showBubbleSize val="0"/>
            <c:showLeaderLines val="1"/>
          </c:dLbls>
          <c:cat>
            <c:strRef>
              <c:f>'Pivot Table 2'!$H$2:$H$8</c:f>
            </c:strRef>
          </c:cat>
          <c:val>
            <c:numRef>
              <c:f>'Pivot Table 2'!$I$2:$I$8</c:f>
            </c:numRef>
          </c:val>
        </c:ser>
        <c:dLbls>
          <c:showLegendKey val="0"/>
          <c:showVal val="0"/>
          <c:showCatName val="0"/>
          <c:showSerName val="0"/>
          <c:showPercent val="0"/>
          <c:showBubbleSize val="0"/>
        </c:dLbls>
        <c:holeSize val="75"/>
      </c:doughnutChart>
    </c:plotArea>
    <c:legend>
      <c:legendPos val="b"/>
      <c:overlay val="0"/>
      <c:txPr>
        <a:bodyPr/>
        <a:lstStyle/>
        <a:p>
          <a:pPr lvl="0">
            <a:defRPr b="0" sz="1400">
              <a:solidFill>
                <a:srgbClr val="195190"/>
              </a:solidFill>
              <a:latin typeface="Tahoma"/>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If Restrictions Were Lifted Today, I Would...</a:t>
            </a:r>
          </a:p>
        </c:rich>
      </c:tx>
      <c:overlay val="0"/>
    </c:title>
    <c:plotArea>
      <c:layout/>
      <c:barChart>
        <c:barDir val="col"/>
        <c:ser>
          <c:idx val="0"/>
          <c:order val="0"/>
          <c:tx>
            <c:strRef>
              <c:f>'Pivot Table 2'!$I$11</c:f>
            </c:strRef>
          </c:tx>
          <c:spPr>
            <a:solidFill>
              <a:srgbClr val="195190"/>
            </a:solidFill>
          </c:spPr>
          <c:cat>
            <c:strRef>
              <c:f>'Pivot Table 2'!$H$12:$H$16</c:f>
            </c:strRef>
          </c:cat>
          <c:val>
            <c:numRef>
              <c:f>'Pivot Table 2'!$I$12:$I$16</c:f>
            </c:numRef>
          </c:val>
        </c:ser>
        <c:axId val="1439219569"/>
        <c:axId val="1427995938"/>
      </c:barChart>
      <c:catAx>
        <c:axId val="1439219569"/>
        <c:scaling>
          <c:orientation val="minMax"/>
        </c:scaling>
        <c:delete val="0"/>
        <c:axPos val="b"/>
        <c:title>
          <c:tx>
            <c:rich>
              <a:bodyPr/>
              <a:lstStyle/>
              <a:p>
                <a:pPr lvl="0">
                  <a:defRPr b="0">
                    <a:solidFill>
                      <a:srgbClr val="000000"/>
                    </a:solidFill>
                    <a:latin typeface="Arial"/>
                  </a:defRPr>
                </a:pPr>
                <a:r>
                  <a:t/>
                </a:r>
              </a:p>
            </c:rich>
          </c:tx>
          <c:overlay val="0"/>
        </c:title>
        <c:majorTickMark val="none"/>
        <c:minorTickMark val="none"/>
        <c:spPr/>
        <c:txPr>
          <a:bodyPr/>
          <a:lstStyle/>
          <a:p>
            <a:pPr lvl="0">
              <a:defRPr b="0">
                <a:solidFill>
                  <a:srgbClr val="000000"/>
                </a:solidFill>
                <a:latin typeface="+mn-lt"/>
              </a:defRPr>
            </a:pPr>
          </a:p>
        </c:txPr>
        <c:crossAx val="1427995938"/>
      </c:catAx>
      <c:valAx>
        <c:axId val="14279959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9219569"/>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195190"/>
                </a:solidFill>
                <a:latin typeface="Tahoma"/>
              </a:defRPr>
            </a:pPr>
            <a:r>
              <a:t>Do You Feel Safe if There are Still COVID Deaths in Your City?</a:t>
            </a:r>
          </a:p>
        </c:rich>
      </c:tx>
      <c:overlay val="0"/>
    </c:title>
    <c:plotArea>
      <c:layout>
        <c:manualLayout>
          <c:xMode val="edge"/>
          <c:yMode val="edge"/>
          <c:x val="0.05639350343884883"/>
          <c:y val="0.12554419000590597"/>
          <c:w val="0.8743059176290767"/>
          <c:h val="0.787575947913758"/>
        </c:manualLayout>
      </c:layout>
      <c:doughnutChart>
        <c:varyColors val="1"/>
        <c:ser>
          <c:idx val="0"/>
          <c:order val="0"/>
          <c:dPt>
            <c:idx val="0"/>
            <c:spPr>
              <a:solidFill>
                <a:srgbClr val="4285F4"/>
              </a:solidFill>
              <a:ln cmpd="sng" w="9525">
                <a:solidFill>
                  <a:srgbClr val="000000"/>
                </a:solidFill>
              </a:ln>
            </c:spPr>
          </c:dPt>
          <c:dPt>
            <c:idx val="1"/>
            <c:spPr>
              <a:solidFill>
                <a:srgbClr val="F9CB9C"/>
              </a:solidFill>
              <a:ln cmpd="sng" w="9525">
                <a:solidFill>
                  <a:srgbClr val="000000"/>
                </a:solidFill>
              </a:ln>
            </c:spPr>
          </c:dPt>
          <c:dPt>
            <c:idx val="2"/>
            <c:spPr>
              <a:solidFill>
                <a:srgbClr val="F9CB9C"/>
              </a:solidFill>
              <a:ln cmpd="sng" w="9525">
                <a:solidFill>
                  <a:srgbClr val="000000"/>
                </a:solidFill>
              </a:ln>
            </c:spPr>
          </c:dPt>
          <c:dPt>
            <c:idx val="3"/>
            <c:spPr>
              <a:solidFill>
                <a:srgbClr val="9FC5E8"/>
              </a:solidFill>
              <a:ln cmpd="sng" w="9525">
                <a:solidFill>
                  <a:srgbClr val="000000"/>
                </a:solidFill>
              </a:ln>
            </c:spPr>
          </c:dPt>
          <c:dPt>
            <c:idx val="4"/>
            <c:spPr>
              <a:solidFill>
                <a:srgbClr val="9FC5E8"/>
              </a:solidFill>
              <a:ln cmpd="sng" w="9525">
                <a:solidFill>
                  <a:srgbClr val="000000"/>
                </a:solidFill>
              </a:ln>
            </c:spPr>
          </c:dPt>
          <c:dPt>
            <c:idx val="5"/>
            <c:spPr>
              <a:solidFill>
                <a:srgbClr val="9FC5E8"/>
              </a:solidFill>
              <a:ln cmpd="sng" w="9525">
                <a:solidFill>
                  <a:srgbClr val="000000"/>
                </a:solidFill>
              </a:ln>
            </c:spPr>
          </c:dPt>
          <c:dLbls>
            <c:showLegendKey val="0"/>
            <c:showVal val="0"/>
            <c:showCatName val="0"/>
            <c:showSerName val="0"/>
            <c:showPercent val="1"/>
            <c:showBubbleSize val="0"/>
            <c:showLeaderLines val="1"/>
          </c:dLbls>
          <c:cat>
            <c:strRef>
              <c:f>'Pivot Table 2'!$F$39:$F$44</c:f>
            </c:strRef>
          </c:cat>
          <c:val>
            <c:numRef>
              <c:f>'Pivot Table 2'!$G$39:$G$44</c:f>
            </c:numRef>
          </c:val>
        </c:ser>
        <c:dLbls>
          <c:showLegendKey val="0"/>
          <c:showVal val="0"/>
          <c:showCatName val="0"/>
          <c:showSerName val="0"/>
          <c:showPercent val="0"/>
          <c:showBubbleSize val="0"/>
        </c:dLbls>
        <c:holeSize val="75"/>
      </c:doughnutChart>
    </c:plotArea>
    <c:legend>
      <c:legendPos val="b"/>
      <c:overlay val="0"/>
      <c:txPr>
        <a:bodyPr/>
        <a:lstStyle/>
        <a:p>
          <a:pPr lvl="0">
            <a:defRPr b="0">
              <a:solidFill>
                <a:srgbClr val="1A1A1A"/>
              </a:solidFill>
              <a:latin typeface="Tahoma"/>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'By Geography'!$I$1</c:f>
            </c:strRef>
          </c:tx>
          <c:spPr>
            <a:ln>
              <a:noFill/>
            </a:ln>
          </c:spPr>
          <c:marker>
            <c:symbol val="circle"/>
            <c:size val="7"/>
            <c:spPr>
              <a:solidFill>
                <a:srgbClr val="195190"/>
              </a:solidFill>
              <a:ln cmpd="sng">
                <a:solidFill>
                  <a:srgbClr val="195190"/>
                </a:solidFill>
              </a:ln>
            </c:spPr>
          </c:marker>
          <c:trendline>
            <c:name>Trendline for series 1</c:name>
            <c:spPr>
              <a:ln w="19050">
                <a:solidFill>
                  <a:srgbClr val="000000"/>
                </a:solidFill>
              </a:ln>
            </c:spPr>
            <c:trendlineType val="linear"/>
            <c:dispRSqr val="1"/>
            <c:dispEq val="0"/>
          </c:trendline>
          <c:xVal>
            <c:numRef>
              <c:f>'By Geography'!$H$2:$H$23</c:f>
            </c:numRef>
          </c:xVal>
          <c:yVal>
            <c:numRef>
              <c:f>'By Geography'!$I$2:$I$23</c:f>
            </c:numRef>
          </c:yVal>
        </c:ser>
        <c:dLbls>
          <c:showLegendKey val="0"/>
          <c:showVal val="0"/>
          <c:showCatName val="0"/>
          <c:showSerName val="0"/>
          <c:showPercent val="0"/>
          <c:showBubbleSize val="0"/>
        </c:dLbls>
        <c:axId val="934857429"/>
        <c:axId val="1372971908"/>
      </c:scatterChart>
      <c:valAx>
        <c:axId val="934857429"/>
        <c:scaling>
          <c:orientation val="minMax"/>
          <c:max val="5.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400">
                    <a:solidFill>
                      <a:srgbClr val="000000"/>
                    </a:solidFill>
                    <a:latin typeface="Tahoma"/>
                  </a:defRPr>
                </a:pPr>
                <a:r>
                  <a:t>How Eager are You to Train Again? (1= 'very eager')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2971908"/>
      </c:valAx>
      <c:valAx>
        <c:axId val="1372971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400">
                    <a:solidFill>
                      <a:srgbClr val="000000"/>
                    </a:solidFill>
                    <a:latin typeface="Tahoma"/>
                  </a:defRPr>
                </a:pPr>
                <a:r>
                  <a:t>COVID-19 Cases by State</a:t>
                </a:r>
              </a:p>
            </c:rich>
          </c:tx>
          <c:overlay val="0"/>
        </c:title>
        <c:numFmt formatCode="General" sourceLinked="1"/>
        <c:majorTickMark val="none"/>
        <c:minorTickMark val="none"/>
        <c:tickLblPos val="nextTo"/>
        <c:spPr>
          <a:ln/>
        </c:spPr>
        <c:txPr>
          <a:bodyPr/>
          <a:lstStyle/>
          <a:p>
            <a:pPr lvl="0">
              <a:defRPr b="0">
                <a:solidFill>
                  <a:srgbClr val="000000"/>
                </a:solidFill>
                <a:latin typeface="Tahoma"/>
              </a:defRPr>
            </a:pPr>
          </a:p>
        </c:txPr>
        <c:crossAx val="934857429"/>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295275</xdr:colOff>
      <xdr:row>1</xdr:row>
      <xdr:rowOff>152400</xdr:rowOff>
    </xdr:from>
    <xdr:ext cx="8496300" cy="46196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523875</xdr:colOff>
      <xdr:row>17</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1333500</xdr:colOff>
      <xdr:row>44</xdr:row>
      <xdr:rowOff>152400</xdr:rowOff>
    </xdr:from>
    <xdr:ext cx="7667625" cy="474345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857250</xdr:colOff>
      <xdr:row>24</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U367" sheet="Form Responses 1"/>
  </cacheSource>
  <cacheFields>
    <cacheField name="What is Your Age?" numFmtId="0">
      <sharedItems containsBlank="1">
        <s v="35 to 49"/>
        <s v="25 to 34"/>
        <s v="&gt; 49"/>
        <s v="&lt; 18"/>
        <s v="18 to 25"/>
        <m/>
      </sharedItems>
    </cacheField>
    <cacheField name="Where are You Located">
      <sharedItems containsBlank="1" containsMixedTypes="1" containsNumber="1" containsInteger="1">
        <s v="Phoenix"/>
        <s v="District of Columbia"/>
        <s v="Vegas"/>
        <s v="New Jersey USA"/>
        <s v="NJ"/>
        <s v="NYC"/>
        <s v="Toronto Canada"/>
        <s v="Sioux Falls, SD, USA"/>
        <s v="Clarksville, tn"/>
        <s v="Texas"/>
        <s v="Northern Virginia USA"/>
        <s v="VA"/>
        <s v="Southern Wisconsin"/>
        <s v="Australia"/>
        <s v="Helsinki, Finland"/>
        <s v="Ireland"/>
        <s v="Pakistan"/>
        <s v="Sweden"/>
        <s v="Finland"/>
        <s v="Alberta"/>
        <s v="Santa Barbara CA"/>
        <s v="Brooklyn, NY"/>
        <s v="Toronto"/>
        <s v="Alabama "/>
        <s v="La"/>
        <s v="Northern california"/>
        <s v="New Mexico"/>
        <s v="Brooklyn "/>
        <s v="Pennsylvania "/>
        <s v="Virginia Beach"/>
        <s v="Melbourne "/>
        <s v="Germany"/>
        <s v="The netherlands"/>
        <s v="Derby UK"/>
        <s v="Alabama"/>
        <s v="California"/>
        <s v="Los Angeles"/>
        <s v="Denver"/>
        <s v="Orlando FL "/>
        <s v="Chicago "/>
        <s v="Chicago IL"/>
        <s v="Massachusetts "/>
        <s v="New York City, NY"/>
        <s v="Queens, NY"/>
        <s v="Rochester, NY"/>
        <s v="Syracuse NY"/>
        <s v="North Carolina "/>
        <s v="Cincinnati Ohio"/>
        <s v="PA"/>
        <s v="Pennsylvania, United States"/>
        <s v="Houston "/>
        <s v="Houston Area"/>
        <s v="Vancouver"/>
        <s v="Canada"/>
        <s v="Belfast, Ireland"/>
        <s v="Cork Ireland"/>
        <s v="England"/>
        <s v="boston"/>
        <s v="Midwest"/>
        <s v="Queens, NYC"/>
        <s v="California "/>
        <s v="IL"/>
        <s v="Indiana"/>
        <s v="Earth"/>
        <m/>
        <s v="Portland, ME USA"/>
        <s v="Michigan"/>
        <s v="NYC / SF"/>
        <s v="Toronto, Canada"/>
        <s v="SLC, Utah"/>
        <s v="Denmark "/>
        <s v="Estonia"/>
        <s v="Irish Midlands "/>
        <s v="Arizona"/>
        <s v="Phoenix, AZ USA"/>
        <s v="AR "/>
        <s v="CA"/>
        <s v="CALIFORNIA, USA"/>
        <s v="Santa Maria, CA"/>
        <s v="Southern California "/>
        <s v="Florida"/>
        <s v="Florida "/>
        <s v="Atlanta"/>
        <s v="Atlanta "/>
        <s v="Georgia"/>
        <s v="Idaho"/>
        <s v="Chicago"/>
        <s v="London, UK"/>
        <s v="Baltimore, md"/>
        <s v="Ellicott City MD"/>
        <s v="MN"/>
        <s v="Missouri, USA"/>
        <s v="Reno,NV"/>
        <s v="NH"/>
        <s v="New Jersey"/>
        <s v="New York"/>
        <s v="Brooklyn New York"/>
        <s v="Nc"/>
        <s v="North Carolina"/>
        <s v="North Carolina, USA"/>
        <s v="Cincinnati"/>
        <s v="Columbus Ohio"/>
        <s v="Dayton, OH"/>
        <s v="Ohio"/>
        <s v="Eugene Oregon"/>
        <s v="Oregon"/>
        <s v="Portland "/>
        <s v="Portland, OR"/>
        <s v="Allentown PA"/>
        <s v="PA, USA"/>
        <s v="Montreal"/>
        <s v="South Carolina, United States"/>
        <s v="Nashville "/>
        <s v="Austin, TX"/>
        <s v="Dallas, Texas, USA"/>
        <s v="Utah"/>
        <s v=" Virginia"/>
        <s v="Seattle WA USA"/>
        <s v="Milwaukee"/>
        <s v="WI"/>
        <s v="Brisbane, Australia"/>
        <s v="Perth, Australia"/>
        <s v="Austria"/>
        <s v="St. Catharines Canada"/>
        <s v="Vancouver, BC"/>
        <s v="Denmark"/>
        <s v="Berlin/Germany"/>
        <s v="Germany "/>
        <s v="Iceland"/>
        <s v="Italy"/>
        <s v="New Zealand"/>
        <s v="Norway"/>
        <s v="Oslo"/>
        <s v="Romania"/>
        <s v="Glasgow, Scotland"/>
        <s v="Spain -baleric islands "/>
        <s v="Northern Sweden"/>
        <s v="UK"/>
        <s v="United Kingdom"/>
        <s v="Midwest USA "/>
        <s v="N/A"/>
        <s v="North America"/>
        <s v="Sydney"/>
        <s v="Sydney, Australlia"/>
        <s v="Arizona "/>
        <s v="Québec"/>
        <s v="MA, USA"/>
        <s v="Sf bay area"/>
        <s v="Bay area CA"/>
        <s v="Maryland, USA"/>
        <s v="Central New York"/>
        <s v="Pennsylvania, USA"/>
        <s v="CA, USA"/>
        <s v="Belgium"/>
        <s v="Veenendaal, Netherlands"/>
        <s v="Sacramento CA"/>
        <s v="Sanford, FL"/>
        <s v="Munich"/>
        <s v="Houston, TX"/>
        <s v="Zürich"/>
        <s v="Lucerne, Switzerland"/>
        <s v="Los Angeles County"/>
        <s v="Michigan "/>
        <s v="Brazil "/>
        <s v="Glasgow, Scotland "/>
        <s v="New York "/>
        <s v="New York City"/>
        <s v="Brooklyn NY"/>
        <s v="Manhattan"/>
        <s v="Brooklyn"/>
        <s v="Singapore"/>
        <n v="95678.0"/>
        <s v="The US-Georgia"/>
        <s v="Indianapolis"/>
        <s v="Kentucky "/>
        <s v="New orleans"/>
        <s v="Nebraska"/>
        <s v="Homer NY"/>
        <s v="Pittsburgh,PA"/>
        <s v="Kansas"/>
        <s v="Honolulu "/>
      </sharedItems>
    </cacheField>
    <cacheField name="City" numFmtId="0">
      <sharedItems containsBlank="1">
        <s v="Phoenix"/>
        <m/>
        <s v="Las Vegas"/>
        <s v="New York City"/>
        <s v="Toronto"/>
        <s v="Clarksville"/>
        <s v="Arlington"/>
        <s v="None"/>
        <s v="Los Angeles"/>
        <s v="Virginia Beach"/>
        <s v="Melbourne"/>
        <s v="Derby"/>
        <s v="Denver"/>
        <s v="Orlando"/>
        <s v="Chicago"/>
        <s v="Rochester"/>
        <s v="Syracuse"/>
        <s v="Cincinnati"/>
        <s v="Houston"/>
        <s v="Vancouver"/>
        <s v="Belfast"/>
        <s v="Cork"/>
        <s v="Boston"/>
        <s v="Portland"/>
        <s v="Salt Lake City"/>
        <s v="Atlanta"/>
        <s v="Baltimore"/>
        <s v="Ellicott City"/>
        <s v="Reno"/>
        <s v="Cincinatti"/>
        <s v="Dayton"/>
        <s v="Allentown"/>
        <s v="Montreal"/>
        <s v="Nashville"/>
        <s v="Austin"/>
        <s v="Dallas"/>
        <s v="Seattle"/>
        <s v="Milwuakee"/>
        <s v="Brisbane"/>
        <s v="Berlin"/>
        <s v="Oslo"/>
        <s v="Sydney"/>
        <s v="San Francisco"/>
        <s v="Veenendaal"/>
        <s v="Sacramento"/>
        <s v="Sanford"/>
        <s v="Munich"/>
        <s v="Zurich"/>
        <s v="Indianapolis"/>
        <s v="New Orleans"/>
        <s v="Homer"/>
        <s v="Pittsburgh"/>
      </sharedItems>
    </cacheField>
    <cacheField name="State" numFmtId="0">
      <sharedItems containsBlank="1">
        <s v="Arizona"/>
        <s v="District of Columbia"/>
        <s v="Nevada"/>
        <s v="New Jersey"/>
        <s v="New York"/>
        <s v="Ontario"/>
        <s v="South Dakota"/>
        <s v="Tennessee"/>
        <s v="Texas"/>
        <s v="Virginia"/>
        <s v="Wisconsin"/>
        <m/>
        <s v="Alabama"/>
        <s v="California"/>
        <s v="New Mexico"/>
        <s v="Pennsylvania"/>
        <s v="Colorado"/>
        <s v="Florida"/>
        <s v="Illinois"/>
        <s v="Massachusetts"/>
        <s v="North Carolina"/>
        <s v="Ohio"/>
        <s v="BC"/>
        <s v="Indiana"/>
        <s v="Maine"/>
        <s v="Michigan"/>
        <s v="Utah"/>
        <s v="Arkansas"/>
        <s v="Georgia"/>
        <s v="Idaho"/>
        <s v="London"/>
        <s v="Maryland"/>
        <s v="Minnesota"/>
        <s v="Missouri"/>
        <s v="New Hampshire"/>
        <s v="Oregon"/>
        <s v="Quebec"/>
        <s v="South Carolina"/>
        <s v="Washington"/>
        <s v="None"/>
        <s v="Glasgow"/>
        <s v="Kentucky"/>
        <s v="Louisiana"/>
        <s v="Nebraska"/>
      </sharedItems>
    </cacheField>
    <cacheField name="Region/Country" numFmtId="0">
      <sharedItems containsBlank="1">
        <s v="United States"/>
        <m/>
        <s v="South Dakota"/>
        <s v="Australia"/>
        <s v="Finland"/>
        <s v="Ireland"/>
        <s v="Pakistan"/>
        <s v="Sweden"/>
        <s v="Canada"/>
        <s v="Germany"/>
        <s v="Netherlands"/>
        <s v="UK"/>
        <s v="California"/>
        <s v="Denmark"/>
        <s v="Estonia"/>
        <s v="Austria"/>
        <s v="Iceland"/>
        <s v="Italy"/>
        <s v="New Zealand"/>
        <s v="Norway"/>
        <s v="Romania"/>
        <s v="Scotland"/>
        <s v="Spain"/>
        <s v="Belgium"/>
        <s v="Switzerland"/>
        <s v="Brazil"/>
        <s v="Singapore"/>
      </sharedItems>
    </cacheField>
    <cacheField name="Do You Have Children?" numFmtId="0">
      <sharedItems containsBlank="1">
        <s v="Yes"/>
        <s v="No"/>
        <m/>
      </sharedItems>
    </cacheField>
    <cacheField name="Martial Arts Concat" numFmtId="0">
      <sharedItems containsBlank="1">
        <s v="BJJ,Judo,MMA,,,"/>
        <s v="BJJ,Judo,,,,"/>
        <s v="BJJ,Judo,Wrestling,,,"/>
        <s v="BJJ,Judo,Karate,,,"/>
        <s v="BJJ,Judo,Wrestling,MMA,Kickboxing,"/>
        <s v="BJJ,Kickboxing,,,,"/>
        <s v="BJJ,MMA,,,,"/>
        <s v="BJJ,MMA,Kickboxing,,,"/>
        <s v="BJJ,Muay Thai,MMA,Kickboxing,,"/>
        <s v="BJJ,Muay Thai,Wrestling,MMA,Kickboxing,"/>
        <s v="BJJ,Muay Thai,,,,"/>
        <s v="BJJ,Muay Thai,Wrestling,,,"/>
        <s v="BJJ,Muay Thai,MMA,,,"/>
        <s v="BJJ,Muay Thai,Kickboxing,,,"/>
        <s v="BJJ,Muay Thai,Judo,,,"/>
        <s v="BJJ,Muay Thai,Tae Kwon Do,Kickboxing,,"/>
        <s v="BJJ,Muay Thai,Judo,Wrestling,MMA,Kickboxing"/>
        <s v="BJJ,Muay Thai,Judo,Wrestling,,"/>
        <s v="BJJ,Muay Thai,Wrestling,MMA,,"/>
        <s v="BJJ,Tae Kwon Do,,,,"/>
        <s v="BJJ,Tae Kwon Do,Kickboxing,,,"/>
        <s v="BJJ,Tae Kwon Do,Judo,MMA,Kickboxing,"/>
        <s v="BJJ,Wrestling,,,,"/>
        <s v="BJJ,Wrestling,MMA,,,"/>
        <s v="BJJ,,,,,"/>
        <s v="Judo,Karate,MMA,,,"/>
        <s v="Judo,Karate,Kickboxing,,,"/>
        <s v="Judo,Karate,,,,"/>
        <s v="Judo,,,,,"/>
        <s v="Karate,Kickboxing,,,,"/>
        <s v="Karate,MMA,Kickboxing,,,"/>
        <s v="Karate,,,,,"/>
        <s v="Kickboxing,,,,,"/>
        <s v="MMA,Kickboxing,,,,"/>
        <s v="MMA,,,,,"/>
        <s v="Muay Thai,Kickboxing,,,,"/>
        <s v="Muay Thai,MMA,,,,"/>
        <s v="Muay Thai,MMA,Kickboxing,,,"/>
        <s v="Muay Thai,Tae Kwon Do,Kickboxing,,,"/>
        <s v="Muay Thai,,,,,"/>
        <s v="Tae Kwon Do,Kickboxing,,,,"/>
        <s v="Tae Kwon Do,MMA,,,,"/>
        <s v="Tae Kwon Do,,,,,"/>
        <m/>
      </sharedItems>
    </cacheField>
    <cacheField name="Martial Art 1" numFmtId="0">
      <sharedItems containsBlank="1">
        <s v="BJJ"/>
        <s v="Judo"/>
        <s v="Karate"/>
        <s v="Kickboxing"/>
        <s v="MMA"/>
        <s v="Muay Thai"/>
        <s v="Tae Kwon Do"/>
        <s v="BJJ, Muay Thai, Judo, Karate, MMA, Kickboxing"/>
        <m/>
      </sharedItems>
    </cacheField>
    <cacheField name="Martial Art 2" numFmtId="0">
      <sharedItems containsBlank="1">
        <s v="Judo"/>
        <s v="Kickboxing"/>
        <s v="MMA"/>
        <s v="Muay Thai"/>
        <s v="Tae Kwon Do"/>
        <s v="Wrestling"/>
        <m/>
        <s v="Karate"/>
      </sharedItems>
    </cacheField>
    <cacheField name="Martial Art 3" numFmtId="0">
      <sharedItems containsBlank="1">
        <s v="MMA"/>
        <m/>
        <s v="Wrestling"/>
        <s v="Karate"/>
        <s v="Kickboxing"/>
        <s v="Judo"/>
        <s v="Tae Kwon Do"/>
      </sharedItems>
    </cacheField>
    <cacheField name="Martial Art 4" numFmtId="0">
      <sharedItems containsBlank="1">
        <m/>
        <s v="MMA"/>
        <s v="Kickboxing"/>
        <s v="Wrestling"/>
      </sharedItems>
    </cacheField>
    <cacheField name="Martial Art 5" numFmtId="0">
      <sharedItems containsBlank="1">
        <m/>
        <s v="Kickboxing"/>
        <s v="MMA"/>
      </sharedItems>
    </cacheField>
    <cacheField name="Martial Art 6" numFmtId="0">
      <sharedItems containsBlank="1">
        <m/>
        <s v="Kickboxing"/>
      </sharedItems>
    </cacheField>
    <cacheField name="How Long Have You Been Doing Your Martial Art(s)" numFmtId="0">
      <sharedItems containsBlank="1">
        <s v="&gt; 5 years"/>
        <s v="3 to 5 years"/>
        <s v="&lt; 1 year"/>
        <s v="1 to 3 years"/>
        <m/>
      </sharedItems>
    </cacheField>
    <cacheField name="How Eager Are You to Train Again?" numFmtId="0">
      <sharedItems containsString="0" containsBlank="1" containsNumber="1" containsInteger="1">
        <n v="1.0"/>
        <n v="5.0"/>
        <n v="2.0"/>
        <n v="4.0"/>
        <n v="3.0"/>
        <m/>
      </sharedItems>
    </cacheField>
    <cacheField name="If Restrictions Were Lifted Today, You Would..." numFmtId="0">
      <sharedItems containsBlank="1">
        <s v="Wait 1 to 2 months"/>
        <s v="Return to training right away"/>
        <s v="Wait 2 to 4 months"/>
        <s v="Wait &gt; 6 months"/>
        <s v="I plan to stop training"/>
        <m/>
      </sharedItems>
    </cacheField>
    <cacheField name="Do You Feel Safe Training if There are Still COVID-19 Deaths in Your City?" numFmtId="0">
      <sharedItems containsString="0" containsBlank="1" containsNumber="1" containsInteger="1">
        <n v="2.0"/>
        <n v="3.0"/>
        <n v="1.0"/>
        <n v="4.0"/>
        <n v="5.0"/>
        <m/>
      </sharedItems>
    </cacheField>
    <cacheField name="Will the Pandemic Change Anything About the Way You Train (health, safety, frequency, type of martial art, etc.)" numFmtId="0">
      <sharedItems containsString="0" containsBlank="1" containsNumber="1" containsInteger="1">
        <n v="4.0"/>
        <n v="5.0"/>
        <n v="2.0"/>
        <n v="3.0"/>
        <n v="1.0"/>
        <m/>
      </sharedItems>
    </cacheField>
    <cacheField name="Have You Kept Your Membership Dues as Your School Has Remained Closed?" numFmtId="0">
      <sharedItems containsBlank="1">
        <s v="I have continued payment"/>
        <s v="I do not pay consistently (drop in, no contracts, etc)"/>
        <s v="I cancelled payment"/>
        <m/>
      </sharedItems>
    </cacheField>
    <cacheField name="How Long Will You Continue to Pay Your Membership Dues" numFmtId="0">
      <sharedItems containsBlank="1">
        <s v="Indefinitely"/>
        <s v="1 to 2 More Months"/>
        <s v="I am not paying monthly dues"/>
        <s v="&lt; 1 Mon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V367" sheet="Form Responses 1"/>
  </cacheSource>
  <cacheFields>
    <cacheField name="What is Your Age?" numFmtId="0">
      <sharedItems containsBlank="1">
        <s v="35 to 49"/>
        <s v="25 to 34"/>
        <s v="&gt; 49"/>
        <s v="&lt; 18"/>
        <s v="18 to 25"/>
        <m/>
      </sharedItems>
    </cacheField>
    <cacheField name="Where are You Located">
      <sharedItems containsBlank="1" containsMixedTypes="1" containsNumber="1" containsInteger="1">
        <s v="Phoenix"/>
        <s v="District of Columbia"/>
        <s v="Vegas"/>
        <s v="New Jersey USA"/>
        <s v="NJ"/>
        <s v="NYC"/>
        <s v="Toronto Canada"/>
        <s v="Sioux Falls, SD, USA"/>
        <s v="Clarksville, tn"/>
        <s v="Texas"/>
        <s v="Northern Virginia USA"/>
        <s v="VA"/>
        <s v="Southern Wisconsin"/>
        <s v="Australia"/>
        <s v="Helsinki, Finland"/>
        <s v="Ireland"/>
        <s v="Pakistan"/>
        <s v="Sweden"/>
        <s v="Finland"/>
        <s v="Alberta"/>
        <s v="Santa Barbara CA"/>
        <s v="Brooklyn, NY"/>
        <s v="Toronto"/>
        <s v="Alabama "/>
        <s v="La"/>
        <s v="Northern california"/>
        <s v="New Mexico"/>
        <s v="Brooklyn "/>
        <s v="Pennsylvania "/>
        <s v="Virginia Beach"/>
        <s v="Melbourne "/>
        <s v="Germany"/>
        <s v="The netherlands"/>
        <s v="Derby UK"/>
        <s v="Alabama"/>
        <s v="California"/>
        <s v="Los Angeles"/>
        <s v="Denver"/>
        <s v="Orlando FL "/>
        <s v="Chicago "/>
        <s v="Chicago IL"/>
        <s v="Massachusetts "/>
        <s v="New York City, NY"/>
        <s v="Queens, NY"/>
        <s v="Rochester, NY"/>
        <s v="Syracuse NY"/>
        <s v="North Carolina "/>
        <s v="Cincinnati Ohio"/>
        <s v="PA"/>
        <s v="Pennsylvania, United States"/>
        <s v="Houston "/>
        <s v="Houston Area"/>
        <s v="Vancouver"/>
        <s v="Canada"/>
        <s v="Belfast, Ireland"/>
        <s v="Cork Ireland"/>
        <s v="England"/>
        <s v="boston"/>
        <s v="Midwest"/>
        <s v="Queens, NYC"/>
        <s v="California "/>
        <s v="IL"/>
        <s v="Indiana"/>
        <s v="Earth"/>
        <m/>
        <s v="Portland, ME USA"/>
        <s v="Michigan"/>
        <s v="NYC / SF"/>
        <s v="Toronto, Canada"/>
        <s v="SLC, Utah"/>
        <s v="Denmark "/>
        <s v="Estonia"/>
        <s v="Irish Midlands "/>
        <s v="Arizona"/>
        <s v="Phoenix, AZ USA"/>
        <s v="AR "/>
        <s v="CA"/>
        <s v="CALIFORNIA, USA"/>
        <s v="Santa Maria, CA"/>
        <s v="Southern California "/>
        <s v="Florida"/>
        <s v="Florida "/>
        <s v="Atlanta"/>
        <s v="Atlanta "/>
        <s v="Georgia"/>
        <s v="Idaho"/>
        <s v="Chicago"/>
        <s v="London, UK"/>
        <s v="Baltimore, md"/>
        <s v="Ellicott City MD"/>
        <s v="MN"/>
        <s v="Missouri, USA"/>
        <s v="Reno,NV"/>
        <s v="NH"/>
        <s v="New Jersey"/>
        <s v="New York"/>
        <s v="Brooklyn New York"/>
        <s v="Nc"/>
        <s v="North Carolina"/>
        <s v="North Carolina, USA"/>
        <s v="Cincinnati"/>
        <s v="Columbus Ohio"/>
        <s v="Dayton, OH"/>
        <s v="Ohio"/>
        <s v="Eugene Oregon"/>
        <s v="Oregon"/>
        <s v="Portland "/>
        <s v="Portland, OR"/>
        <s v="Allentown PA"/>
        <s v="PA, USA"/>
        <s v="Montreal"/>
        <s v="South Carolina, United States"/>
        <s v="Nashville "/>
        <s v="Austin, TX"/>
        <s v="Dallas, Texas, USA"/>
        <s v="Utah"/>
        <s v=" Virginia"/>
        <s v="Seattle WA USA"/>
        <s v="Milwaukee"/>
        <s v="WI"/>
        <s v="Brisbane, Australia"/>
        <s v="Perth, Australia"/>
        <s v="Austria"/>
        <s v="St. Catharines Canada"/>
        <s v="Vancouver, BC"/>
        <s v="Denmark"/>
        <s v="Berlin/Germany"/>
        <s v="Germany "/>
        <s v="Iceland"/>
        <s v="Italy"/>
        <s v="New Zealand"/>
        <s v="Norway"/>
        <s v="Oslo"/>
        <s v="Romania"/>
        <s v="Glasgow, Scotland"/>
        <s v="Spain -baleric islands "/>
        <s v="Northern Sweden"/>
        <s v="UK"/>
        <s v="United Kingdom"/>
        <s v="Midwest USA "/>
        <s v="N/A"/>
        <s v="North America"/>
        <s v="Sydney"/>
        <s v="Sydney, Australlia"/>
        <s v="Arizona "/>
        <s v="Québec"/>
        <s v="MA, USA"/>
        <s v="Sf bay area"/>
        <s v="Bay area CA"/>
        <s v="Maryland, USA"/>
        <s v="Central New York"/>
        <s v="Pennsylvania, USA"/>
        <s v="CA, USA"/>
        <s v="Belgium"/>
        <s v="Veenendaal, Netherlands"/>
        <s v="Sacramento CA"/>
        <s v="Sanford, FL"/>
        <s v="Munich"/>
        <s v="Houston, TX"/>
        <s v="Zürich"/>
        <s v="Lucerne, Switzerland"/>
        <s v="Los Angeles County"/>
        <s v="Michigan "/>
        <s v="Brazil "/>
        <s v="Glasgow, Scotland "/>
        <s v="New York "/>
        <s v="New York City"/>
        <s v="Brooklyn NY"/>
        <s v="Manhattan"/>
        <s v="Brooklyn"/>
        <s v="Singapore"/>
        <n v="95678.0"/>
        <s v="The US-Georgia"/>
        <s v="Indianapolis"/>
        <s v="Kentucky "/>
        <s v="New orleans"/>
        <s v="Nebraska"/>
        <s v="Homer NY"/>
        <s v="Pittsburgh,PA"/>
        <s v="Kansas"/>
        <s v="Honolulu "/>
      </sharedItems>
    </cacheField>
    <cacheField name="City" numFmtId="0">
      <sharedItems containsBlank="1">
        <s v="Phoenix"/>
        <m/>
        <s v="Las Vegas"/>
        <s v="New York City"/>
        <s v="Toronto"/>
        <s v="Clarksville"/>
        <s v="Arlington"/>
        <s v="None"/>
        <s v="Los Angeles"/>
        <s v="Virginia Beach"/>
        <s v="Melbourne"/>
        <s v="Derby"/>
        <s v="Denver"/>
        <s v="Orlando"/>
        <s v="Chicago"/>
        <s v="Rochester"/>
        <s v="Syracuse"/>
        <s v="Cincinnati"/>
        <s v="Houston"/>
        <s v="Vancouver"/>
        <s v="Belfast"/>
        <s v="Cork"/>
        <s v="Boston"/>
        <s v="Portland"/>
        <s v="Salt Lake City"/>
        <s v="Atlanta"/>
        <s v="Baltimore"/>
        <s v="Ellicott City"/>
        <s v="Reno"/>
        <s v="Cincinatti"/>
        <s v="Dayton"/>
        <s v="Allentown"/>
        <s v="Montreal"/>
        <s v="Nashville"/>
        <s v="Austin"/>
        <s v="Dallas"/>
        <s v="Seattle"/>
        <s v="Milwuakee"/>
        <s v="Brisbane"/>
        <s v="Berlin"/>
        <s v="Oslo"/>
        <s v="Sydney"/>
        <s v="San Francisco"/>
        <s v="Veenendaal"/>
        <s v="Sacramento"/>
        <s v="Sanford"/>
        <s v="Munich"/>
        <s v="Zurich"/>
        <s v="Indianapolis"/>
        <s v="New Orleans"/>
        <s v="Homer"/>
        <s v="Pittsburgh"/>
      </sharedItems>
    </cacheField>
    <cacheField name="State" numFmtId="0">
      <sharedItems containsBlank="1">
        <s v="Arizona"/>
        <s v="District of Columbia"/>
        <s v="Nevada"/>
        <s v="New Jersey"/>
        <s v="New York"/>
        <s v="Ontario"/>
        <s v="South Dakota"/>
        <s v="Tennessee"/>
        <s v="Texas"/>
        <s v="Virginia"/>
        <s v="Wisconsin"/>
        <m/>
        <s v="Alabama"/>
        <s v="California"/>
        <s v="New Mexico"/>
        <s v="Pennsylvania"/>
        <s v="Colorado"/>
        <s v="Florida"/>
        <s v="Illinois"/>
        <s v="Massachusetts"/>
        <s v="North Carolina"/>
        <s v="Ohio"/>
        <s v="BC"/>
        <s v="Indiana"/>
        <s v="Maine"/>
        <s v="Michigan"/>
        <s v="Utah"/>
        <s v="Arkansas"/>
        <s v="Georgia"/>
        <s v="Idaho"/>
        <s v="London"/>
        <s v="Maryland"/>
        <s v="Minnesota"/>
        <s v="Missouri"/>
        <s v="New Hampshire"/>
        <s v="Oregon"/>
        <s v="Quebec"/>
        <s v="South Carolina"/>
        <s v="Washington"/>
        <s v="None"/>
        <s v="Glasgow"/>
        <s v="Kentucky"/>
        <s v="Louisiana"/>
        <s v="Nebraska"/>
      </sharedItems>
    </cacheField>
    <cacheField name="Region/Country" numFmtId="0">
      <sharedItems containsBlank="1">
        <s v="United States"/>
        <m/>
        <s v="South Dakota"/>
        <s v="Australia"/>
        <s v="Finland"/>
        <s v="Ireland"/>
        <s v="Pakistan"/>
        <s v="Sweden"/>
        <s v="Canada"/>
        <s v="Germany"/>
        <s v="Netherlands"/>
        <s v="UK"/>
        <s v="California"/>
        <s v="Denmark"/>
        <s v="Estonia"/>
        <s v="Austria"/>
        <s v="Iceland"/>
        <s v="Italy"/>
        <s v="New Zealand"/>
        <s v="Norway"/>
        <s v="Romania"/>
        <s v="Scotland"/>
        <s v="Spain"/>
        <s v="Belgium"/>
        <s v="Switzerland"/>
        <s v="Brazil"/>
        <s v="Singapore"/>
      </sharedItems>
    </cacheField>
    <cacheField name="Do You Have Children?" numFmtId="0">
      <sharedItems containsBlank="1">
        <s v="Yes"/>
        <s v="No"/>
        <m/>
      </sharedItems>
    </cacheField>
    <cacheField name="Martial Arts Concat" numFmtId="0">
      <sharedItems containsBlank="1">
        <s v="BJJ,Judo,MMA,,,"/>
        <s v="BJJ,Judo,,,,"/>
        <s v="BJJ,Judo,Wrestling,,,"/>
        <s v="BJJ,Judo,Karate,,,"/>
        <s v="BJJ,Judo,Wrestling,MMA,Kickboxing,"/>
        <s v="BJJ,Kickboxing,,,,"/>
        <s v="BJJ,MMA,,,,"/>
        <s v="BJJ,MMA,Kickboxing,,,"/>
        <s v="BJJ,Muay Thai,MMA,Kickboxing,,"/>
        <s v="BJJ,Muay Thai,Wrestling,MMA,Kickboxing,"/>
        <s v="BJJ,Muay Thai,,,,"/>
        <s v="BJJ,Muay Thai,Wrestling,,,"/>
        <s v="BJJ,Muay Thai,MMA,,,"/>
        <s v="BJJ,Muay Thai,Kickboxing,,,"/>
        <s v="BJJ,Muay Thai,Judo,,,"/>
        <s v="BJJ,Muay Thai,Tae Kwon Do,Kickboxing,,"/>
        <s v="BJJ,Muay Thai,Judo,Wrestling,MMA,Kickboxing"/>
        <s v="BJJ,Muay Thai,Judo,Wrestling,,"/>
        <s v="BJJ,Muay Thai,Wrestling,MMA,,"/>
        <s v="BJJ,Tae Kwon Do,,,,"/>
        <s v="BJJ,Tae Kwon Do,Kickboxing,,,"/>
        <s v="BJJ,Tae Kwon Do,Judo,MMA,Kickboxing,"/>
        <s v="BJJ,Wrestling,,,,"/>
        <s v="BJJ,Wrestling,MMA,,,"/>
        <s v="BJJ,,,,,"/>
        <s v="Judo,Karate,MMA,,,"/>
        <s v="Judo,Karate,Kickboxing,,,"/>
        <s v="Judo,Karate,,,,"/>
        <s v="Judo,,,,,"/>
        <s v="Karate,Kickboxing,,,,"/>
        <s v="Karate,MMA,Kickboxing,,,"/>
        <s v="Karate,,,,,"/>
        <s v="Kickboxing,,,,,"/>
        <s v="MMA,Kickboxing,,,,"/>
        <s v="MMA,,,,,"/>
        <s v="Muay Thai,Kickboxing,,,,"/>
        <s v="Muay Thai,MMA,,,,"/>
        <s v="Muay Thai,MMA,Kickboxing,,,"/>
        <s v="Muay Thai,Tae Kwon Do,Kickboxing,,,"/>
        <s v="Muay Thai,,,,,"/>
        <s v="Tae Kwon Do,Kickboxing,,,,"/>
        <s v="Tae Kwon Do,MMA,,,,"/>
        <s v="Tae Kwon Do,,,,,"/>
        <m/>
      </sharedItems>
    </cacheField>
    <cacheField name="Martial Art 1" numFmtId="0">
      <sharedItems containsBlank="1">
        <s v="BJJ"/>
        <s v="Judo"/>
        <s v="Karate"/>
        <s v="Kickboxing"/>
        <s v="MMA"/>
        <s v="Muay Thai"/>
        <s v="Tae Kwon Do"/>
        <s v="BJJ, Muay Thai, Judo, Karate, MMA, Kickboxing"/>
        <m/>
      </sharedItems>
    </cacheField>
    <cacheField name="Martial Art 2" numFmtId="0">
      <sharedItems containsBlank="1">
        <s v="Judo"/>
        <s v="Kickboxing"/>
        <s v="MMA"/>
        <s v="Muay Thai"/>
        <s v="Tae Kwon Do"/>
        <s v="Wrestling"/>
        <m/>
        <s v="Karate"/>
      </sharedItems>
    </cacheField>
    <cacheField name="Martial Art 3" numFmtId="0">
      <sharedItems containsBlank="1">
        <s v="MMA"/>
        <m/>
        <s v="Wrestling"/>
        <s v="Karate"/>
        <s v="Kickboxing"/>
        <s v="Judo"/>
        <s v="Tae Kwon Do"/>
      </sharedItems>
    </cacheField>
    <cacheField name="Martial Art 4" numFmtId="0">
      <sharedItems containsBlank="1">
        <m/>
        <s v="MMA"/>
        <s v="Kickboxing"/>
        <s v="Wrestling"/>
      </sharedItems>
    </cacheField>
    <cacheField name="Martial Art 5" numFmtId="0">
      <sharedItems containsBlank="1">
        <m/>
        <s v="Kickboxing"/>
        <s v="MMA"/>
      </sharedItems>
    </cacheField>
    <cacheField name="Martial Art 6" numFmtId="0">
      <sharedItems containsBlank="1">
        <m/>
        <s v="Kickboxing"/>
      </sharedItems>
    </cacheField>
    <cacheField name="How Long Have You Been Doing Your Martial Art(s)" numFmtId="0">
      <sharedItems containsBlank="1">
        <s v="&gt; 5 years"/>
        <s v="3 to 5 years"/>
        <s v="&lt; 1 year"/>
        <s v="1 to 3 years"/>
        <m/>
      </sharedItems>
    </cacheField>
    <cacheField name="How Eager Are You to Train Again?" numFmtId="0">
      <sharedItems containsString="0" containsBlank="1" containsNumber="1" containsInteger="1">
        <n v="1.0"/>
        <n v="5.0"/>
        <n v="2.0"/>
        <n v="4.0"/>
        <n v="3.0"/>
        <m/>
      </sharedItems>
    </cacheField>
    <cacheField name="If Restrictions Were Lifted Today, You Would..." numFmtId="0">
      <sharedItems containsBlank="1">
        <s v="Wait 1 to 2 months"/>
        <s v="Return to training right away"/>
        <s v="Wait 2 to 4 months"/>
        <s v="Wait &gt; 6 months"/>
        <s v="I plan to stop training"/>
        <m/>
      </sharedItems>
    </cacheField>
    <cacheField name="Do You Feel Safe Training if There are Still COVID-19 Deaths in Your City?" numFmtId="0">
      <sharedItems containsString="0" containsBlank="1" containsNumber="1" containsInteger="1">
        <n v="2.0"/>
        <n v="3.0"/>
        <n v="1.0"/>
        <n v="4.0"/>
        <n v="5.0"/>
        <m/>
      </sharedItems>
    </cacheField>
    <cacheField name="Will the Pandemic Change Anything About the Way You Train (health, safety, frequency, type of martial art, etc.)" numFmtId="0">
      <sharedItems containsString="0" containsBlank="1" containsNumber="1" containsInteger="1">
        <n v="4.0"/>
        <n v="5.0"/>
        <n v="2.0"/>
        <n v="3.0"/>
        <n v="1.0"/>
        <m/>
      </sharedItems>
    </cacheField>
    <cacheField name="Have You Kept Your Membership Dues as Your School Has Remained Closed?" numFmtId="0">
      <sharedItems containsBlank="1">
        <s v="I have continued payment"/>
        <s v="I do not pay consistently (drop in, no contracts, etc)"/>
        <s v="I cancelled payment"/>
        <m/>
      </sharedItems>
    </cacheField>
    <cacheField name="How Long Will You Continue to Pay Your Membership Dues" numFmtId="0">
      <sharedItems containsBlank="1">
        <s v="Indefinitely"/>
        <s v="1 to 2 More Months"/>
        <s v="I am not paying monthly dues"/>
        <s v="&lt; 1 Month"/>
        <m/>
      </sharedItems>
    </cacheField>
    <cacheField name="What Would You Recommend for Gym Owners to Maintain Safety When Reopening (optional)" numFmtId="0">
      <sharedItems containsBlank="1">
        <s v="Just keep it clean and remind people to stay off the mats if they are sick. "/>
        <m/>
        <s v="Ban people who work in retail. I work from home or in my own office. I'm not around people. We have people at our gym who work on the strip"/>
        <s v="Limit class sizes, and put some space between class times to allow one class to leave before next starts.  Add more classes to make up the difference.  I know it's not convenient, but this is survival for everyone right now.  If somewhere is really a hot "/>
        <s v="Reopen and train, train hard, developing healthy humans prevents disease and depression "/>
        <s v="bring your training partner..."/>
        <s v="Follow recommendations of experts, not meatheads on Reddit."/>
        <s v="I don’t really care about the safety as eventually I need to build my immune system to fight the disease"/>
        <s v="No idea. Its a highly contagious virus. Its deadly. So there are huge risks. I will go back as soon as I can get the vaccine. I will then just be sure to wash as much as I can during-after training. Its sad. I really want to go back. I miss the people fro"/>
        <s v="Instill a culture that says &quot;if you're sick, stay home&quot;. Support this by allowing sick members to suspend their training fees for whatever period of time they are unwell for. &#10;&#10;Other than that...would recommend gyms stay closed until your location has had"/>
        <s v="Small groups"/>
        <s v="Only open when given the all clear officially to do so. High cleaning standards."/>
        <s v="Wash Tatami daily"/>
        <s v="Scale the types of classes and class sizes. Limited class size initially and slowly increase. Initial 2-3 weeks have more limited contact and slowly increase. Strict health policy, must wait 4-7 days post sickness before returning."/>
        <s v="Strict cleaning "/>
        <s v="Testing at the door"/>
        <s v="Um, what new things can really be done to increase safety with so many unknowns? I am not reopening or charging anyone until we all can do &quot;jiu jitsu&quot; again. I could open up and increase safety a little by having students &quot;roll&quot; with grappling dummy's, do"/>
        <s v="Clean clean clean! I have visited many gyms and if not impressed by the level of cleanliness they practice"/>
        <s v="Better cleaning practices"/>
        <s v="Refrain from training Grappling for about a month, Try hold smaller classes"/>
        <s v="Make everyone wash their belt"/>
        <s v="To give ideas on how to train at home and what you should train on for moving forward with the curriculum "/>
        <s v="back to normality, I refuse to be hypocondriacal by law"/>
        <s v="Make sure everything gets cleaned up properly and make sure people stay at home if they have covid symptoms. "/>
        <s v="Bottles of mat sanitizer everywherr"/>
        <s v="Encourage hygiene, reminding members to shower after every day they train, bring back up clothes and not simply train in the clothes they walked in with. And send people home if they are visibly sick. As well as encouraging students to stay home when they"/>
        <s v="More frequent sanitizing every day. Class participation linits"/>
        <s v="Maintain high level of sanitation and keep soaps and Sanitizers stocked. Practice/enforce good hygiene "/>
        <s v="Follow any recommended guidelines from CDC, and local/regional health authorities.  When first returning, look at ways to limit contact and crowding when possible.  Perhaps consider classes only for people who have been vaccinated/recovered."/>
        <s v="Space out classes so that there is time to wipe down gear/clean the mats before the next group arrives."/>
        <s v="Be very transparent about what safety procedures are in place to protect members. Clean mats and common space between each class. Limit class sizes to limit contact and broadcast classes on Zoom for members who can't be there due to size restrictions or a"/>
        <s v="Clean mats"/>
        <s v="let long time customers in first"/>
        <s v="No open mats,  reduce class sizes,  have no contact options and muay importantly,  WAIT! At least until reliable testing is available"/>
        <s v="Smaller classes, mandatory stay off the mats if even sneezing, mandatory hand washing, and maybe even masks on the mat."/>
        <s v="Keep a log of all class attendees"/>
        <s v="Fuck the haters"/>
        <s v="If you come to train, you accept the risk."/>
        <s v="Each instructor teaches one group of people on different days. Regular testing for instructors."/>
        <s v="Hand sanitizer before getting on the mat. Smaller training groups "/>
        <s v="Clean all day everyday"/>
        <s v="(Until social distancing is over) 1. More classes with a max size and having to prebook; so that each pair can social distance. 2. If possible have assigned pairs so same pair work together every session until social distance is over; so that it limits wh"/>
        <s v="limit class sizes and assign long-term partners for drilling and rolling so we can be responsible for and to each other. "/>
        <s v="Require testing for individuals or proof of antibodies/vaccine"/>
        <s v="This might be a bit to read, but want to be as informative as possible.&#10;&#10;This is a bit of a difficult topic, since the approach would have to take social distancing guidelines into account AS WELL as constant cleaning.&#10;&#10;Example, before things got signific"/>
        <s v="There is no right answer so do what you feel is best for your school and your students! "/>
        <s v="Through disinfect and minimizing contact drills close quarters. Im a school owner and im waiting a month after restriction lifts to see if infection spikes and maxing maximum class sizes and still distancing as much as possible for the arts that can. "/>
        <s v="Tell Frank to leave my ankles alone"/>
        <s v="I wish I knew the right answer... I think there is a lot of dangerous rhetoric about opening things up too soon. I also think that a second wave is likely before a more effective treatment or vaccine is available.  I think that restrictions about keeping "/>
        <s v="Maybe check people's temp, sanitize mats even more often"/>
        <s v="Cap a limit for each training session and for the first month or two maintain social distancing if possible"/>
        <s v="Limiting class size, aggressive sanitation efforts (full mat cleaning between every class even if it shortens class time by 5 min), etc"/>
        <s v="Extra cleaning, focus on solo drills, conditioning specifically for BJJ and lots of dummy reps until most feel safe to return and train with a partner. "/>
        <s v="Practical precautions "/>
        <s v="I'm not a doctor, so unless they wait until the proper authorities say is safe to go, what I think it's useless."/>
        <s v="Disinfect after each class, one training partner for the whole class, preferably the same one every time"/>
        <s v="?"/>
        <s v="Break members into pods. You can only train with your pod. Each pod gets certain training days. That way you are only exposed to the members in your pod. I would prefer 1-2 safe classes a week rather than unlimited classes where we are a petri dish."/>
        <s v="Frequent cleanings, limit class size"/>
        <s v="More classes with limited class size. "/>
        <s v="Have class divide into core groups where that same core trains only within that group until therapeutic treatment is available. Provide multiple class sessions due to limited number of participants."/>
        <s v="maybe for the first month only allow people that have already recovered/has antibodies from testing to train"/>
        <s v="Limit your rolling partners to 1 a session"/>
        <s v="HEPA air filters, antibody testing (if feasible), shower at the gym after class, anyone with a cough shouldn't train (cardio and smoker cough are exceptions), hospital/first responders train at a separate time, and mats cleaned between each class."/>
        <s v="Fever checks, education, "/>
        <s v="Strongly urge those with any symptoms to stay home. Track who has volunteered that they have symptoms and try to enforce those who shouldn’t be training. "/>
        <s v="Maybe limit people to small groups of drilling / rolling partners?"/>
        <s v="Listen to cdc/who "/>
        <s v="Make sure that the gym is continually cleaned and that participants are screened for fevers."/>
        <s v="Support contact tracing and mandating self quarantines (provide clear guidelines on next steps)"/>
        <s v="I think people will make their own choices. For me, I don't feel comfortable training. its not worth the risk"/>
        <s v="I don't think for jiujitsu social distancing wont work. Especially for smaller gyms. Your gym should normally be disinfecting the mats and using proper hygiene. But each individual is going to have to understand there is a higher risk and decide for thems"/>
        <s v="Cleaning, temperature checks, small classes, no one with cold symptoms, waiting for a big decrease in number of cases."/>
        <s v="Strict cleanliness guidelines.   Check temperature for people about to do class,  start with single student drills,  use of masks. "/>
        <s v="Wait as long as possible to re-open. I imagine there is a lot of pressure to open as soon as possible, particularly for financial reasons. But I'd rather see the gyms be cautious."/>
        <s v="Everyone Washing hands in and out of facility, disinfecting mats and door handles and floor in between every class, shoes off at the entrance door, in the beginning run at 50% or less capacity (depends on space) smaller classes and more space in between. "/>
        <s v="Emphasize personal responsibility in keeping training partners safe - no training if you are ill or if you have been exposed to someone that is ill in the last 14 days. "/>
        <s v="A high emphasis on cleaning. Before class and after. In-between aswell if there are kids classes before the adults. Disinfecting as much as possible to keep a semi-sanitized environment."/>
        <s v="I hate to say it, but there's no right way to eat this Reece's. Too many people are too cavalier about it, and thus prolonging it's propagation. I basically can't train until there's a vaccine."/>
        <s v="Follow state guidelines to the letter. "/>
        <s v="Temperature Monitors by the door. People with fever are not allowed. &#10;&#10;Find a way to incentivize people to stay home if sick (maybe allow for sick days credit) (unsure how to implement)"/>
        <s v="Follow Government guidelines, provide initial distancing programs with limited numbers, gradually growing over time. "/>
        <s v="Very strong personal hygiene protocol. Be strict with students. Clean person, clean gi, trimmed nails, etc.  If you are not clean you go home. "/>
        <s v="Encourage sanitizer use, etc."/>
        <s v="Clean the mats before and after every class.  More cleaning everywhere else in the gym. "/>
        <s v="While a bit scary, I hope the gym owners can update us if someone in class gets sick. Contact tracing may be very important."/>
        <s v="Follow guidelines by area"/>
        <s v="Only thing missing in the questions.. I personally feel safe and would restart right away BUT one of my child is at risk and because of that, I'm not sure yet how we'll proceed.. We/I may need to remain in locked down even when things are official restart"/>
        <s v="I struggle to see how grappling will be safe with a disease that has so many asymptotic carriers. While outbreaks continue at a local level, grappling no matter how much sanitizer or disinfecting products are used seems risky. "/>
        <s v="Hand Sanitizer, Clean Mats"/>
        <s v="They have to wait to reopen until we really understand all aspects of this and the associated risks."/>
        <s v="Temp/SpO2 checks, small group training"/>
        <s v="Pay attention to the experts and follow their recommendations"/>
        <s v="Be FAR more strict on any indicators of someone being sick. Clean mats between classes Just to stop a common cold even. Not just covid."/>
        <s v="Don't ask us, ask the experts. Probably follow your government recommendations."/>
        <s v="Extra stringent cleaning regiment. "/>
        <s v="Saniticing gel"/>
        <s v="Open the schools."/>
        <s v="maybe some detergent to disinfect hands at the door."/>
        <s v="Require antibody tests until a vaccine is approved "/>
        <s v="Just stay home if sick"/>
        <s v="No physical contact and remain social distance of 6 feet or more "/>
        <s v="Smaller classes of distinct groups, no crossover between groups. "/>
        <s v="As little cross training as possible, find out who is/has close family in the high risk category and have special restrictions or classes where they attend, if people have been in contact with illness tell them to stay home, do not open until government s"/>
        <s v="Don't open until recommended, not only permitted"/>
        <s v="Wash the mats, keep telling people to stay away if they are having symptoms/been in contact"/>
        <s v="I will keep paying my gym fees as long as I can . I will be training once the quarentine is lifted with 2-3 other people at their houses. I don't feel bjj as it was before will be safe again for a long time . "/>
        <s v="Follow governmental instructions, we have to defeat this together as a planet"/>
        <s v="Not much they can do more than clean the mats."/>
        <s v="Smaller classes "/>
        <s v="Impossible to do, clean mats more frequently"/>
        <s v="Temp checks and small group classes aren’t going to prevent asymptomatic transmission. Maybe listen to medical experts instead of pretending to be one after reading some articles on Facebook. "/>
        <s v="Do not risk the lives of your community because you need money or for some reason think the risk is not high despite every public health expert saying that the risk is really high."/>
        <s v="Limited numbers would be beneficial, set days possibly if virus is still active, I also believe hand/feet sanitisation before class should be implemented, along with temperature checks."/>
        <s v="Hard to say really?"/>
        <s v="Encourage high risk individuals to stay home"/>
        <s v="Closed until social distancing lifted"/>
        <s v="You can't safely reopen in times of an apocalyptic global pandemic as long as there is no effective treatment or vaccine for this disease. You cannot open if the students are anywhere near each other or the equipment in a martial arts dojo. It would be ir"/>
        <s v="MA gym owner with a day job as a physical therapist and prior work experience in microbiology and epidemiology talking.&#10;&#10;Maintain physical distancing as long as the situation about Covid-19 isn't under very good control where you are. A lot of people will"/>
        <s v="Force a cap on the amount of people allowed in a session, enforce cleanliness better. Have sort of an agreement that everyone gets tests regularly and do mandatory shutdown if even one person shows symptoms"/>
        <s v="Unfortunately I don't think there is much they can do. Provide hand sanitizer at the very least. Not sure how training with masks on would work"/>
        <s v="Adjust material where possible to reduce personal contact. Limit class sizes. Perhaps group students together into small teams that don’t cross, similar to how many states are requiring for childcare facilities. Consider asking students to wear masks. Lim"/>
        <s v="Ease back in to it. Start with smaller classes and then grow back to before."/>
        <s v="Schedule a certain amount of clients per session. If clients can social distance and workout, then there is no issue. And proper cleaning before/after sessions. "/>
        <s v="I have no idea, I'm sorry. Have a nice day! (:"/>
        <s v="Change the maximum amount of participants in any training session. Right now the max is 40, I'd like it to be 20. "/>
        <s v="We work in a dirty business. All that can really be done is maybe more frequent do cleanings "/>
        <s v="Mandatory sanitation on equipment"/>
        <s v="Rely on students and trainers to be responsible if they are sick."/>
        <s v="small &amp; same groups "/>
        <s v="maybe a restricted number of people per training"/>
        <s v="Have hand sanitizer (if possible at these times). But please allow us time to wash our hands before and after. If possible, don't let people who are not training in, to reduce the amount of people in the building. . "/>
        <s v="Idk"/>
        <s v="dont do it wait for vaccine"/>
        <s v="Cleaning Procedures and no back to back classes (maybe at least 1 -2 hours between classes)"/>
        <s v="limit the number of people in classes"/>
        <s v="Clean gym thoroughly and frequently (my gym owner already does anyway)"/>
        <s v="Extra sanitation and perhaps limiting to pad/bag drills? Unfortunately, it's a contact sport."/>
        <s v="Restrict or limit contact, clean aggressively"/>
        <s v="It's tough because martial arts are very much contact sports. I'd probably recommend capping class sizes for about a month after restrictions are lifted (and the infection rate falls below 1 per a million people)"/>
        <s v="Limit class size"/>
        <s v="Reduced class size and preregistration. I would also be interested in more options for privates / small classes but would want them spaced out from other people being in the gym. "/>
        <s v="Increased hygeine, strict penalties for training whilst ill, temperature checks before training."/>
        <s v="Just make sure to wash hands and equipment frequently"/>
        <s v="Extra cleaning"/>
        <s v="Restrict class numbers "/>
        <s v="compulsory cleaning of equipment after using (get rid of sweat), i've seen of some dojangs train while wearing masks (??) like @mirme_taekwondo, washing of hands during breaks, sanitizing hands before entering dojangs"/>
        <s v="Considering most/all infections have happened indoors, passed by exhalation... outdoor training is about the best option we have in the short and medium terms :("/>
        <s v="Require hand sanitizer before every class"/>
        <s v="Routine cleaning"/>
        <s v="Limit class sizes, no sick policy, sanitized areas and hand sanitizer required to take class, unhygienic people turned away from class."/>
        <s v="Staggered training days "/>
        <s v="Yes"/>
        <s v="Hygiene and cleaning have to be drastically improved and have materials readily available to clean up bodily fluids like sweat, blood and the like. Wiping down gym equipment several times a day and ensure students are washing their dobok's everyday they t"/>
        <s v="Small consistent classes, such as the same 10 students each week. Teacher uses assistant so that, if teaching multiple classes, doesn’t touch students. Full cleaning between classes. This way each student is only in contact with about 9 people, keeping sp"/>
        <s v="Stagger classes, allow time between sessions for people to leave and new people to joi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1" dataCaption="" compact="0" compactData="0">
  <location ref="A4:B11" firstHeaderRow="0" firstDataRow="1" firstDataCol="0" rowPageCount="1" colPageCount="1"/>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axis="axisPage" compact="0" outline="0" multipleItemSelectionAllowed="1" showAll="0">
      <items>
        <item x="0"/>
        <item h="1" x="1"/>
        <item x="2"/>
        <item x="3"/>
        <item h="1" x="4"/>
        <item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compact="0" outline="0" multipleItemSelectionAllowed="1" showAll="0">
      <items>
        <item x="0"/>
        <item x="1"/>
        <item x="2"/>
        <item t="default"/>
      </items>
    </pivotField>
    <pivotField name="Martial Arts Conc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compact="0" outline="0" multipleItemSelectionAllowed="1" showAll="0">
      <items>
        <item x="0"/>
        <item x="1"/>
        <item x="2"/>
        <item x="3"/>
        <item x="4"/>
        <item t="default"/>
      </items>
    </pivotField>
    <pivotField name="How Eager Are You to Train Again?" dataField="1" compact="0" outline="0" multipleItemSelectionAllowed="1" showAll="0">
      <items>
        <item x="0"/>
        <item x="1"/>
        <item x="2"/>
        <item x="3"/>
        <item x="4"/>
        <item x="5"/>
        <item t="default"/>
      </items>
    </pivotField>
    <pivotField name="If Restrictions Were Lifted Today, You Would..." axis="axisRow" compact="0" outline="0" multipleItemSelectionAllowed="1" showAll="0" sortType="ascending">
      <items>
        <item x="5"/>
        <item x="4"/>
        <item x="1"/>
        <item x="3"/>
        <item x="0"/>
        <item x="2"/>
        <item t="default"/>
      </items>
    </pivotField>
    <pivotField name="Do You Feel Safe Training if There are Still COVID-19 Deaths in Your City?" compact="0" outline="0" multipleItemSelectionAllowed="1" showAll="0">
      <items>
        <item x="0"/>
        <item x="1"/>
        <item x="2"/>
        <item x="3"/>
        <item x="4"/>
        <item x="5"/>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compact="0" outline="0" multipleItemSelectionAllowed="1" showAll="0">
      <items>
        <item x="0"/>
        <item x="1"/>
        <item x="2"/>
        <item x="3"/>
        <item t="default"/>
      </items>
    </pivotField>
    <pivotField name="How Long Will You Continue to Pay Your Membership Dues" compact="0" outline="0" multipleItemSelectionAllowed="1" showAll="0">
      <items>
        <item x="0"/>
        <item x="1"/>
        <item x="2"/>
        <item x="3"/>
        <item x="4"/>
        <item t="default"/>
      </items>
    </pivotField>
    <pivotField name="What Would You Recommend for Gym Owners to Maintain Safety When Reopening (op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s>
  <rowFields>
    <field x="15"/>
  </rowFields>
  <pageFields>
    <pageField fld="3"/>
  </pageFields>
  <dataFields>
    <dataField name="AVERAGE of How Eager Are You to Train Again?" fld="14" subtotal="average" baseField="0"/>
  </dataFields>
</pivotTableDefinition>
</file>

<file path=xl/pivotTables/pivotTable2.xml><?xml version="1.0" encoding="utf-8"?>
<pivotTableDefinition xmlns="http://schemas.openxmlformats.org/spreadsheetml/2006/main" name="Pivot Table 2 2" cacheId="1" dataCaption="" compact="0" compactData="0">
  <location ref="E2:F9" firstHeaderRow="0" firstDataRow="1" firstDataCol="0"/>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compact="0" outline="0" multipleItemSelectionAllowed="1" showAll="0">
      <items>
        <item x="0"/>
        <item x="1"/>
        <item x="2"/>
        <item t="default"/>
      </items>
    </pivotField>
    <pivotField name="Martial Arts Conc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compact="0" outline="0" multipleItemSelectionAllowed="1" showAll="0">
      <items>
        <item x="0"/>
        <item x="1"/>
        <item x="2"/>
        <item x="3"/>
        <item x="4"/>
        <item t="default"/>
      </items>
    </pivotField>
    <pivotField name="How Eager Are You to Train Again?" axis="axisRow" dataField="1" compact="0" outline="0" multipleItemSelectionAllowed="1" showAll="0" sortType="ascending">
      <items>
        <item x="5"/>
        <item x="0"/>
        <item x="2"/>
        <item x="4"/>
        <item x="3"/>
        <item x="1"/>
        <item t="default"/>
      </items>
    </pivotField>
    <pivotField name="If Restrictions Were Lifted Today, You Would..." compact="0" outline="0" multipleItemSelectionAllowed="1" showAll="0">
      <items>
        <item x="0"/>
        <item x="1"/>
        <item x="2"/>
        <item x="3"/>
        <item x="4"/>
        <item x="5"/>
        <item t="default"/>
      </items>
    </pivotField>
    <pivotField name="Do You Feel Safe Training if There are Still COVID-19 Deaths in Your City?" compact="0" outline="0" multipleItemSelectionAllowed="1" showAll="0">
      <items>
        <item x="0"/>
        <item x="1"/>
        <item x="2"/>
        <item x="3"/>
        <item x="4"/>
        <item x="5"/>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compact="0" outline="0" multipleItemSelectionAllowed="1" showAll="0">
      <items>
        <item x="0"/>
        <item x="1"/>
        <item x="2"/>
        <item x="3"/>
        <item t="default"/>
      </items>
    </pivotField>
    <pivotField name="How Long Will You Continue to Pay Your Membership Dues" compact="0" outline="0" multipleItemSelectionAllowed="1" showAll="0">
      <items>
        <item x="0"/>
        <item x="1"/>
        <item x="2"/>
        <item x="3"/>
        <item x="4"/>
        <item t="default"/>
      </items>
    </pivotField>
    <pivotField name="What Would You Recommend for Gym Owners to Maintain Safety When Reopening (op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s>
  <rowFields>
    <field x="14"/>
  </rowFields>
  <dataFields>
    <dataField name="COUNTA of How Eager Are You to Train Again?" fld="14" subtotal="count" baseField="0"/>
  </dataFields>
</pivotTableDefinition>
</file>

<file path=xl/pivotTables/pivotTable3.xml><?xml version="1.0" encoding="utf-8"?>
<pivotTableDefinition xmlns="http://schemas.openxmlformats.org/spreadsheetml/2006/main" name="Pivot Table 2 3" cacheId="1" dataCaption="" compact="0" compactData="0">
  <location ref="E11:F18" firstHeaderRow="0" firstDataRow="1" firstDataCol="0"/>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compact="0" outline="0" multipleItemSelectionAllowed="1" showAll="0">
      <items>
        <item x="0"/>
        <item x="1"/>
        <item x="2"/>
        <item t="default"/>
      </items>
    </pivotField>
    <pivotField name="Martial Arts Conc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compact="0" outline="0" multipleItemSelectionAllowed="1" showAll="0">
      <items>
        <item x="0"/>
        <item x="1"/>
        <item x="2"/>
        <item x="3"/>
        <item x="4"/>
        <item t="default"/>
      </items>
    </pivotField>
    <pivotField name="How Eager Are You to Train Again?" compact="0" outline="0" multipleItemSelectionAllowed="1" showAll="0">
      <items>
        <item x="0"/>
        <item x="1"/>
        <item x="2"/>
        <item x="3"/>
        <item x="4"/>
        <item x="5"/>
        <item t="default"/>
      </items>
    </pivotField>
    <pivotField name="If Restrictions Were Lifted Today, You Would..." dataField="1" compact="0" outline="0" multipleItemSelectionAllowed="1" showAll="0">
      <items>
        <item x="0"/>
        <item x="1"/>
        <item x="2"/>
        <item x="3"/>
        <item x="4"/>
        <item x="5"/>
        <item t="default"/>
      </items>
    </pivotField>
    <pivotField name="Do You Feel Safe Training if There are Still COVID-19 Deaths in Your City?" axis="axisRow" compact="0" outline="0" multipleItemSelectionAllowed="1" showAll="0" sortType="ascending">
      <items>
        <item x="5"/>
        <item x="2"/>
        <item x="0"/>
        <item x="1"/>
        <item x="3"/>
        <item x="4"/>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compact="0" outline="0" multipleItemSelectionAllowed="1" showAll="0">
      <items>
        <item x="0"/>
        <item x="1"/>
        <item x="2"/>
        <item x="3"/>
        <item t="default"/>
      </items>
    </pivotField>
    <pivotField name="How Long Will You Continue to Pay Your Membership Dues" compact="0" outline="0" multipleItemSelectionAllowed="1" showAll="0">
      <items>
        <item x="0"/>
        <item x="1"/>
        <item x="2"/>
        <item x="3"/>
        <item x="4"/>
        <item t="default"/>
      </items>
    </pivotField>
    <pivotField name="What Would You Recommend for Gym Owners to Maintain Safety When Reopening (op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s>
  <rowFields>
    <field x="16"/>
  </rowFields>
  <dataFields>
    <dataField name="COUNTA of If Restrictions Were Lifted Today, You Would..." fld="15" subtotal="count" baseField="0"/>
  </dataFields>
</pivotTableDefinition>
</file>

<file path=xl/pivotTables/pivotTable4.xml><?xml version="1.0" encoding="utf-8"?>
<pivotTableDefinition xmlns="http://schemas.openxmlformats.org/spreadsheetml/2006/main" name="Pivot Table 2 4" cacheId="1" dataCaption="" compact="0" compactData="0">
  <location ref="A13:B20" firstHeaderRow="0" firstDataRow="1" firstDataCol="0" rowPageCount="1" colPageCount="1"/>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axis="axisPage" compact="0" outline="0" multipleItemSelectionAllowed="1" showAll="0">
      <items>
        <item x="0"/>
        <item h="1" x="1"/>
        <item x="2"/>
        <item x="3"/>
        <item h="1" x="4"/>
        <item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compact="0" outline="0" multipleItemSelectionAllowed="1" showAll="0">
      <items>
        <item x="0"/>
        <item x="1"/>
        <item x="2"/>
        <item t="default"/>
      </items>
    </pivotField>
    <pivotField name="Martial Arts Conc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compact="0" outline="0" multipleItemSelectionAllowed="1" showAll="0">
      <items>
        <item x="0"/>
        <item x="1"/>
        <item x="2"/>
        <item x="3"/>
        <item x="4"/>
        <item t="default"/>
      </items>
    </pivotField>
    <pivotField name="How Eager Are You to Train Again?" dataField="1" compact="0" outline="0" multipleItemSelectionAllowed="1" showAll="0">
      <items>
        <item x="0"/>
        <item x="1"/>
        <item x="2"/>
        <item x="3"/>
        <item x="4"/>
        <item x="5"/>
        <item t="default"/>
      </items>
    </pivotField>
    <pivotField name="If Restrictions Were Lifted Today, You Would..." axis="axisRow" compact="0" outline="0" multipleItemSelectionAllowed="1" showAll="0" sortType="ascending">
      <items>
        <item x="5"/>
        <item x="4"/>
        <item x="1"/>
        <item x="3"/>
        <item x="0"/>
        <item x="2"/>
        <item t="default"/>
      </items>
    </pivotField>
    <pivotField name="Do You Feel Safe Training if There are Still COVID-19 Deaths in Your City?" compact="0" outline="0" multipleItemSelectionAllowed="1" showAll="0">
      <items>
        <item x="0"/>
        <item x="1"/>
        <item x="2"/>
        <item x="3"/>
        <item x="4"/>
        <item x="5"/>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compact="0" outline="0" multipleItemSelectionAllowed="1" showAll="0">
      <items>
        <item x="0"/>
        <item x="1"/>
        <item x="2"/>
        <item x="3"/>
        <item t="default"/>
      </items>
    </pivotField>
    <pivotField name="How Long Will You Continue to Pay Your Membership Dues" compact="0" outline="0" multipleItemSelectionAllowed="1" showAll="0">
      <items>
        <item x="0"/>
        <item x="1"/>
        <item x="2"/>
        <item x="3"/>
        <item x="4"/>
        <item t="default"/>
      </items>
    </pivotField>
    <pivotField name="What Would You Recommend for Gym Owners to Maintain Safety When Reopening (op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s>
  <rowFields>
    <field x="15"/>
  </rowFields>
  <pageFields>
    <pageField fld="3"/>
  </pageFields>
  <dataFields>
    <dataField name="COUNTA of How Eager Are You to Train Again?" fld="14" subtotal="count" baseField="0"/>
  </dataFields>
</pivotTableDefinition>
</file>

<file path=xl/pivotTables/pivotTable5.xml><?xml version="1.0" encoding="utf-8"?>
<pivotTableDefinition xmlns="http://schemas.openxmlformats.org/spreadsheetml/2006/main" name="Pivot Table 2 5" cacheId="1" dataCaption="" createdVersion="6" compact="0" compactData="0">
  <location ref="A23:B27" firstHeaderRow="0" firstDataRow="1" firstDataCol="0" rowPageCount="1" colPageCount="1"/>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compact="0" outline="0" multipleItemSelectionAllowed="1" showAll="0">
      <items>
        <item x="0"/>
        <item x="1"/>
        <item x="2"/>
        <item t="default"/>
      </items>
    </pivotField>
    <pivotField name="Martial Arts Concat"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compact="0" outline="0" multipleItemSelectionAllowed="1" showAll="0">
      <items>
        <item x="0"/>
        <item x="1"/>
        <item x="2"/>
        <item x="3"/>
        <item x="4"/>
        <item t="default"/>
      </items>
    </pivotField>
    <pivotField name="How Eager Are You to Train Again?" compact="0" outline="0" multipleItemSelectionAllowed="1" showAll="0">
      <items>
        <item x="0"/>
        <item x="1"/>
        <item x="2"/>
        <item x="3"/>
        <item x="4"/>
        <item x="5"/>
        <item t="default"/>
      </items>
    </pivotField>
    <pivotField name="If Restrictions Were Lifted Today, You Would..." compact="0" outline="0" multipleItemSelectionAllowed="1" showAll="0">
      <items>
        <item x="0"/>
        <item x="1"/>
        <item x="2"/>
        <item x="3"/>
        <item x="4"/>
        <item x="5"/>
        <item t="default"/>
      </items>
    </pivotField>
    <pivotField name="Do You Feel Safe Training if There are Still COVID-19 Deaths in Your City?" compact="0" outline="0" multipleItemSelectionAllowed="1" showAll="0">
      <items>
        <item x="0"/>
        <item x="1"/>
        <item x="2"/>
        <item x="3"/>
        <item x="4"/>
        <item x="5"/>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axis="axisRow" dataField="1" compact="0" outline="0" multipleItemSelectionAllowed="1" showAll="0" sortType="ascending">
      <items>
        <item x="3"/>
        <item x="2"/>
        <item x="1"/>
        <item x="0"/>
        <item t="default"/>
      </items>
    </pivotField>
    <pivotField name="How Long Will You Continue to Pay Your Membership Dues" compact="0" outline="0" multipleItemSelectionAllowed="1" showAll="0">
      <items>
        <item x="0"/>
        <item x="1"/>
        <item x="2"/>
        <item x="3"/>
        <item x="4"/>
        <item t="default"/>
      </items>
    </pivotField>
    <pivotField name="What Would You Recommend for Gym Owners to Maintain Safety When Reopening (op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s>
  <rowFields>
    <field x="18"/>
  </rowFields>
  <pageFields>
    <pageField fld="6"/>
  </pageFields>
  <dataFields>
    <dataField name="COUNTA of Have You Kept Your Membership Dues as Your School Has Remained Closed?" fld="18" subtotal="count" baseField="0"/>
  </dataFields>
  <filters>
    <filter fld="6" type="captionContains" evalOrder="-1" id="1" stringValue1="bjj">
      <autoFilter ref="A1">
        <filterColumn colId="0">
          <customFilters>
            <customFilter val="*bjj*"/>
          </customFilters>
        </filterColumn>
      </autoFilter>
    </filter>
  </filters>
</pivotTableDefinition>
</file>

<file path=xl/pivotTables/pivotTable6.xml><?xml version="1.0" encoding="utf-8"?>
<pivotTableDefinition xmlns="http://schemas.openxmlformats.org/spreadsheetml/2006/main" name="Pivot Table 2 6" cacheId="1" dataCaption="" compact="0" compactData="0">
  <location ref="A32:C56" firstHeaderRow="0" firstDataRow="2" firstDataCol="0"/>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compact="0" outline="0" multipleItemSelectionAllowed="1" showAll="0">
      <items>
        <item x="0"/>
        <item x="1"/>
        <item x="2"/>
        <item t="default"/>
      </items>
    </pivotField>
    <pivotField name="Martial Arts Conc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axis="axisRow" compact="0" outline="0" multipleItemSelectionAllowed="1" showAll="0" sortType="ascending">
      <items>
        <item x="4"/>
        <item x="2"/>
        <item x="0"/>
        <item x="3"/>
        <item x="1"/>
        <item t="default"/>
      </items>
    </pivotField>
    <pivotField name="How Eager Are You to Train Again?" compact="0" outline="0" multipleItemSelectionAllowed="1" showAll="0">
      <items>
        <item x="0"/>
        <item x="1"/>
        <item x="2"/>
        <item x="3"/>
        <item x="4"/>
        <item x="5"/>
        <item t="default"/>
      </items>
    </pivotField>
    <pivotField name="If Restrictions Were Lifted Today, You Would..." axis="axisRow" dataField="1" compact="0" outline="0" multipleItemSelectionAllowed="1" showAll="0" sortType="ascending">
      <items>
        <item x="5"/>
        <item x="4"/>
        <item x="1"/>
        <item x="3"/>
        <item x="0"/>
        <item x="2"/>
        <item t="default"/>
      </items>
    </pivotField>
    <pivotField name="Do You Feel Safe Training if There are Still COVID-19 Deaths in Your City?" compact="0" outline="0" multipleItemSelectionAllowed="1" showAll="0">
      <items>
        <item x="0"/>
        <item x="1"/>
        <item x="2"/>
        <item x="3"/>
        <item x="4"/>
        <item x="5"/>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compact="0" outline="0" multipleItemSelectionAllowed="1" showAll="0">
      <items>
        <item x="0"/>
        <item x="1"/>
        <item x="2"/>
        <item x="3"/>
        <item t="default"/>
      </items>
    </pivotField>
    <pivotField name="How Long Will You Continue to Pay Your Membership Dues" compact="0" outline="0" multipleItemSelectionAllowed="1" showAll="0">
      <items>
        <item x="0"/>
        <item x="1"/>
        <item x="2"/>
        <item x="3"/>
        <item x="4"/>
        <item t="default"/>
      </items>
    </pivotField>
    <pivotField name="What Would You Recommend for Gym Owners to Maintain Safety When Reopening (op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s>
  <rowFields>
    <field x="13"/>
    <field x="15"/>
  </rowFields>
  <dataFields>
    <dataField name="COUNTA of If Restrictions Were Lifted Today, You Would..." fld="15" subtotal="count" baseField="0"/>
  </dataFields>
</pivotTableDefinition>
</file>

<file path=xl/pivotTables/pivotTable7.xml><?xml version="1.0" encoding="utf-8"?>
<pivotTableDefinition xmlns="http://schemas.openxmlformats.org/spreadsheetml/2006/main" name="Pivot Table 2 7" cacheId="1" dataCaption="" compact="0" compactData="0">
  <location ref="A59:C75" firstHeaderRow="0" firstDataRow="2" firstDataCol="0"/>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axis="axisRow" compact="0" outline="0" multipleItemSelectionAllowed="1" showAll="0" sortType="ascending">
      <items>
        <item x="2"/>
        <item x="1"/>
        <item x="0"/>
        <item t="default"/>
      </items>
    </pivotField>
    <pivotField name="Martial Arts Conc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compact="0" outline="0" multipleItemSelectionAllowed="1" showAll="0">
      <items>
        <item x="0"/>
        <item x="1"/>
        <item x="2"/>
        <item x="3"/>
        <item x="4"/>
        <item t="default"/>
      </items>
    </pivotField>
    <pivotField name="How Eager Are You to Train Again?" compact="0" outline="0" multipleItemSelectionAllowed="1" showAll="0">
      <items>
        <item x="0"/>
        <item x="1"/>
        <item x="2"/>
        <item x="3"/>
        <item x="4"/>
        <item x="5"/>
        <item t="default"/>
      </items>
    </pivotField>
    <pivotField name="If Restrictions Were Lifted Today, You Would..." axis="axisRow" dataField="1" compact="0" outline="0" multipleItemSelectionAllowed="1" showAll="0" sortType="ascending">
      <items>
        <item x="5"/>
        <item x="4"/>
        <item x="1"/>
        <item x="3"/>
        <item x="0"/>
        <item x="2"/>
        <item t="default"/>
      </items>
    </pivotField>
    <pivotField name="Do You Feel Safe Training if There are Still COVID-19 Deaths in Your City?" compact="0" outline="0" multipleItemSelectionAllowed="1" showAll="0">
      <items>
        <item x="0"/>
        <item x="1"/>
        <item x="2"/>
        <item x="3"/>
        <item x="4"/>
        <item x="5"/>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compact="0" outline="0" multipleItemSelectionAllowed="1" showAll="0">
      <items>
        <item x="0"/>
        <item x="1"/>
        <item x="2"/>
        <item x="3"/>
        <item t="default"/>
      </items>
    </pivotField>
    <pivotField name="How Long Will You Continue to Pay Your Membership Dues" compact="0" outline="0" multipleItemSelectionAllowed="1" showAll="0">
      <items>
        <item x="0"/>
        <item x="1"/>
        <item x="2"/>
        <item x="3"/>
        <item x="4"/>
        <item t="default"/>
      </items>
    </pivotField>
    <pivotField name="What Would You Recommend for Gym Owners to Maintain Safety When Reopening (option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t="default"/>
      </items>
    </pivotField>
  </pivotFields>
  <rowFields>
    <field x="5"/>
    <field x="15"/>
  </rowFields>
  <dataFields>
    <dataField name="COUNTA of If Restrictions Were Lifted Today, You Would..." fld="15" subtotal="count" baseField="0"/>
  </dataFields>
</pivotTableDefinition>
</file>

<file path=xl/pivotTables/pivotTable8.xml><?xml version="1.0" encoding="utf-8"?>
<pivotTableDefinition xmlns="http://schemas.openxmlformats.org/spreadsheetml/2006/main" name="By Geography" cacheId="0" dataCaption="" compact="0" compactData="0">
  <location ref="A3:C41" firstHeaderRow="0" firstDataRow="2" firstDataCol="0" rowPageCount="1" colPageCount="1"/>
  <pivotFields>
    <pivotField name="What is Your Age?" compact="0" outline="0" multipleItemSelectionAllowed="1" showAll="0">
      <items>
        <item x="0"/>
        <item x="1"/>
        <item x="2"/>
        <item x="3"/>
        <item x="4"/>
        <item x="5"/>
        <item t="default"/>
      </items>
    </pivotField>
    <pivotField name="Where are You Lo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State" axis="axisRow" compact="0" outline="0" multipleItemSelectionAllowed="1" showAll="0" sortType="descending">
      <items>
        <item x="0"/>
        <item x="1"/>
        <item x="2"/>
        <item x="3"/>
        <item x="4"/>
        <item h="1" x="5"/>
        <item x="6"/>
        <item x="7"/>
        <item x="8"/>
        <item x="9"/>
        <item x="10"/>
        <item h="1" x="11"/>
        <item x="12"/>
        <item x="13"/>
        <item x="14"/>
        <item x="15"/>
        <item x="16"/>
        <item x="17"/>
        <item x="18"/>
        <item x="19"/>
        <item x="20"/>
        <item x="21"/>
        <item h="1" x="22"/>
        <item x="23"/>
        <item x="24"/>
        <item x="25"/>
        <item x="26"/>
        <item x="27"/>
        <item x="28"/>
        <item x="29"/>
        <item h="1" x="30"/>
        <item x="31"/>
        <item x="32"/>
        <item x="33"/>
        <item x="34"/>
        <item x="35"/>
        <item h="1" x="36"/>
        <item x="37"/>
        <item x="38"/>
        <item h="1" x="39"/>
        <item h="1" x="40"/>
        <item x="41"/>
        <item x="42"/>
        <item x="43"/>
        <item t="default"/>
      </items>
      <autoSortScope>
        <pivotArea>
          <references>
            <reference field="4294967294">
              <x v="1"/>
            </reference>
          </references>
        </pivotArea>
      </autoSortScope>
    </pivotField>
    <pivotField name="Region/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o You Have Children?" compact="0" outline="0" multipleItemSelectionAllowed="1" showAll="0">
      <items>
        <item x="0"/>
        <item x="1"/>
        <item x="2"/>
        <item t="default"/>
      </items>
    </pivotField>
    <pivotField name="Martial Arts Conc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Martial Art 1" compact="0" outline="0" multipleItemSelectionAllowed="1" showAll="0">
      <items>
        <item x="0"/>
        <item x="1"/>
        <item x="2"/>
        <item x="3"/>
        <item x="4"/>
        <item x="5"/>
        <item x="6"/>
        <item x="7"/>
        <item x="8"/>
        <item t="default"/>
      </items>
    </pivotField>
    <pivotField name="Martial Art 2" compact="0" outline="0" multipleItemSelectionAllowed="1" showAll="0">
      <items>
        <item x="0"/>
        <item x="1"/>
        <item x="2"/>
        <item x="3"/>
        <item x="4"/>
        <item x="5"/>
        <item x="6"/>
        <item x="7"/>
        <item t="default"/>
      </items>
    </pivotField>
    <pivotField name="Martial Art 3" compact="0" outline="0" multipleItemSelectionAllowed="1" showAll="0">
      <items>
        <item x="0"/>
        <item x="1"/>
        <item x="2"/>
        <item x="3"/>
        <item x="4"/>
        <item x="5"/>
        <item x="6"/>
        <item t="default"/>
      </items>
    </pivotField>
    <pivotField name="Martial Art 4" compact="0" outline="0" multipleItemSelectionAllowed="1" showAll="0">
      <items>
        <item x="0"/>
        <item x="1"/>
        <item x="2"/>
        <item x="3"/>
        <item t="default"/>
      </items>
    </pivotField>
    <pivotField name="Martial Art 5" compact="0" outline="0" multipleItemSelectionAllowed="1" showAll="0">
      <items>
        <item x="0"/>
        <item x="1"/>
        <item x="2"/>
        <item t="default"/>
      </items>
    </pivotField>
    <pivotField name="Martial Art 6" compact="0" outline="0" multipleItemSelectionAllowed="1" showAll="0">
      <items>
        <item x="0"/>
        <item x="1"/>
        <item t="default"/>
      </items>
    </pivotField>
    <pivotField name="How Long Have You Been Doing Your Martial Art(s)" compact="0" outline="0" multipleItemSelectionAllowed="1" showAll="0">
      <items>
        <item x="0"/>
        <item x="1"/>
        <item x="2"/>
        <item x="3"/>
        <item x="4"/>
        <item t="default"/>
      </items>
    </pivotField>
    <pivotField name="How Eager Are You to Train Again?" axis="axisPage" dataField="1" compact="0" outline="0" multipleItemSelectionAllowed="1" showAll="0">
      <items>
        <item x="0"/>
        <item x="1"/>
        <item x="2"/>
        <item x="3"/>
        <item x="4"/>
        <item x="5"/>
        <item t="default"/>
      </items>
    </pivotField>
    <pivotField name="If Restrictions Were Lifted Today, You Would..." compact="0" outline="0" multipleItemSelectionAllowed="1" showAll="0">
      <items>
        <item x="0"/>
        <item x="1"/>
        <item x="2"/>
        <item x="3"/>
        <item x="4"/>
        <item x="5"/>
        <item t="default"/>
      </items>
    </pivotField>
    <pivotField name="Do You Feel Safe Training if There are Still COVID-19 Deaths in Your City?" compact="0" outline="0" multipleItemSelectionAllowed="1" showAll="0">
      <items>
        <item x="0"/>
        <item x="1"/>
        <item x="2"/>
        <item x="3"/>
        <item x="4"/>
        <item x="5"/>
        <item t="default"/>
      </items>
    </pivotField>
    <pivotField name="Will the Pandemic Change Anything About the Way You Train (health, safety, frequency, type of martial art, etc.)" compact="0" outline="0" multipleItemSelectionAllowed="1" showAll="0">
      <items>
        <item x="0"/>
        <item x="1"/>
        <item x="2"/>
        <item x="3"/>
        <item x="4"/>
        <item x="5"/>
        <item t="default"/>
      </items>
    </pivotField>
    <pivotField name="Have You Kept Your Membership Dues as Your School Has Remained Closed?" compact="0" outline="0" multipleItemSelectionAllowed="1" showAll="0">
      <items>
        <item x="0"/>
        <item x="1"/>
        <item x="2"/>
        <item x="3"/>
        <item t="default"/>
      </items>
    </pivotField>
    <pivotField name="How Long Will You Continue to Pay Your Membership Dues" compact="0" outline="0" multipleItemSelectionAllowed="1" showAll="0">
      <items>
        <item x="0"/>
        <item x="1"/>
        <item x="2"/>
        <item x="3"/>
        <item x="4"/>
        <item t="default"/>
      </items>
    </pivotField>
  </pivotFields>
  <rowFields>
    <field x="3"/>
  </rowFields>
  <colFields>
    <field x="-2"/>
  </colFields>
  <pageFields>
    <pageField fld="14"/>
  </pageFields>
  <dataFields>
    <dataField name="COUNTA of How Eager Are You to Train Again?" fld="14" subtotal="count" baseField="0"/>
    <dataField name="AVERAGE of How Eager Are You to Train Again?" fld="14"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1.57"/>
    <col customWidth="1" min="2" max="7" width="21.57"/>
    <col customWidth="1" min="8" max="9" width="52.0"/>
    <col customWidth="1" min="10" max="21" width="21.57"/>
    <col customWidth="1" min="22" max="22" width="104.86"/>
    <col customWidth="1" min="23" max="28" width="21.57"/>
  </cols>
  <sheetData>
    <row r="1">
      <c r="A1" s="2" t="s">
        <v>1</v>
      </c>
      <c r="B1" s="2" t="s">
        <v>4</v>
      </c>
      <c r="C1" s="2" t="s">
        <v>5</v>
      </c>
      <c r="D1" s="3" t="s">
        <v>6</v>
      </c>
      <c r="E1" s="3" t="s">
        <v>7</v>
      </c>
      <c r="F1" s="3" t="s">
        <v>8</v>
      </c>
      <c r="G1" s="2" t="s">
        <v>9</v>
      </c>
      <c r="H1" s="3" t="s">
        <v>10</v>
      </c>
      <c r="I1" s="3" t="s">
        <v>11</v>
      </c>
      <c r="J1" s="3" t="s">
        <v>12</v>
      </c>
      <c r="K1" s="3" t="s">
        <v>13</v>
      </c>
      <c r="L1" s="3" t="s">
        <v>15</v>
      </c>
      <c r="M1" s="3" t="s">
        <v>16</v>
      </c>
      <c r="N1" s="3" t="s">
        <v>17</v>
      </c>
      <c r="O1" s="2" t="s">
        <v>18</v>
      </c>
      <c r="P1" s="2" t="s">
        <v>19</v>
      </c>
      <c r="Q1" s="2" t="s">
        <v>20</v>
      </c>
      <c r="R1" s="2" t="s">
        <v>22</v>
      </c>
      <c r="S1" s="2" t="s">
        <v>23</v>
      </c>
      <c r="T1" s="2" t="s">
        <v>25</v>
      </c>
      <c r="U1" s="2" t="s">
        <v>26</v>
      </c>
      <c r="V1" s="6" t="s">
        <v>28</v>
      </c>
    </row>
    <row r="2">
      <c r="A2" s="7">
        <v>43952.13403596065</v>
      </c>
      <c r="B2" s="3" t="s">
        <v>32</v>
      </c>
      <c r="C2" s="3" t="s">
        <v>33</v>
      </c>
      <c r="D2" s="3" t="s">
        <v>33</v>
      </c>
      <c r="E2" s="3" t="s">
        <v>34</v>
      </c>
      <c r="F2" s="3" t="s">
        <v>35</v>
      </c>
      <c r="G2" s="3" t="s">
        <v>36</v>
      </c>
      <c r="H2" s="3" t="str">
        <f t="shared" ref="H2:H262" si="1">CONCATENATE(I2,",",J2,",",K2,",",L2,",",M2,",",N2)</f>
        <v>BJJ,Judo,MMA,,,</v>
      </c>
      <c r="I2" s="3" t="s">
        <v>29</v>
      </c>
      <c r="J2" s="3" t="s">
        <v>27</v>
      </c>
      <c r="K2" s="3" t="s">
        <v>21</v>
      </c>
      <c r="L2" s="3"/>
      <c r="M2" s="3"/>
      <c r="N2" s="3"/>
      <c r="O2" s="3" t="s">
        <v>37</v>
      </c>
      <c r="P2" s="3">
        <v>1.0</v>
      </c>
      <c r="Q2" s="3" t="s">
        <v>38</v>
      </c>
      <c r="R2" s="3">
        <v>2.0</v>
      </c>
      <c r="S2" s="3">
        <v>4.0</v>
      </c>
      <c r="T2" s="3" t="s">
        <v>39</v>
      </c>
      <c r="U2" s="3" t="s">
        <v>40</v>
      </c>
      <c r="V2" s="8" t="s">
        <v>41</v>
      </c>
    </row>
    <row r="3">
      <c r="A3" s="7">
        <v>43952.25379011574</v>
      </c>
      <c r="B3" s="3" t="s">
        <v>32</v>
      </c>
      <c r="C3" s="9" t="s">
        <v>42</v>
      </c>
      <c r="D3" s="3"/>
      <c r="E3" s="9" t="s">
        <v>42</v>
      </c>
      <c r="F3" s="3" t="s">
        <v>35</v>
      </c>
      <c r="G3" s="3" t="s">
        <v>36</v>
      </c>
      <c r="H3" s="3" t="str">
        <f t="shared" si="1"/>
        <v>BJJ,Judo,,,,</v>
      </c>
      <c r="I3" s="3" t="s">
        <v>29</v>
      </c>
      <c r="J3" s="3" t="s">
        <v>27</v>
      </c>
      <c r="K3" s="3"/>
      <c r="L3" s="3"/>
      <c r="M3" s="3"/>
      <c r="N3" s="3"/>
      <c r="O3" s="3" t="s">
        <v>43</v>
      </c>
      <c r="P3" s="3">
        <v>1.0</v>
      </c>
      <c r="Q3" s="3" t="s">
        <v>38</v>
      </c>
      <c r="R3" s="3">
        <v>3.0</v>
      </c>
      <c r="S3" s="3">
        <v>4.0</v>
      </c>
      <c r="T3" s="3" t="s">
        <v>39</v>
      </c>
      <c r="U3" s="3" t="s">
        <v>40</v>
      </c>
      <c r="V3" s="6"/>
    </row>
    <row r="4">
      <c r="A4" s="7">
        <v>43950.49537878472</v>
      </c>
      <c r="B4" s="3" t="s">
        <v>44</v>
      </c>
      <c r="C4" s="3" t="s">
        <v>45</v>
      </c>
      <c r="D4" s="3" t="s">
        <v>46</v>
      </c>
      <c r="E4" s="3" t="s">
        <v>47</v>
      </c>
      <c r="F4" s="3"/>
      <c r="G4" s="3" t="s">
        <v>48</v>
      </c>
      <c r="H4" s="3" t="str">
        <f t="shared" si="1"/>
        <v>BJJ,Judo,Wrestling,,,</v>
      </c>
      <c r="I4" s="3" t="s">
        <v>29</v>
      </c>
      <c r="J4" s="3" t="s">
        <v>27</v>
      </c>
      <c r="K4" s="3" t="s">
        <v>31</v>
      </c>
      <c r="L4" s="3"/>
      <c r="M4" s="3"/>
      <c r="N4" s="3"/>
      <c r="O4" s="3" t="s">
        <v>43</v>
      </c>
      <c r="P4" s="3">
        <v>5.0</v>
      </c>
      <c r="Q4" s="3" t="s">
        <v>49</v>
      </c>
      <c r="R4" s="3">
        <v>1.0</v>
      </c>
      <c r="S4" s="3">
        <v>5.0</v>
      </c>
      <c r="T4" s="3" t="s">
        <v>39</v>
      </c>
      <c r="U4" s="3" t="s">
        <v>40</v>
      </c>
      <c r="V4" s="8" t="s">
        <v>50</v>
      </c>
    </row>
    <row r="5">
      <c r="A5" s="7">
        <v>43952.55191958333</v>
      </c>
      <c r="B5" s="3" t="s">
        <v>32</v>
      </c>
      <c r="C5" s="3" t="s">
        <v>51</v>
      </c>
      <c r="D5" s="3"/>
      <c r="E5" s="3" t="s">
        <v>52</v>
      </c>
      <c r="F5" s="3" t="s">
        <v>35</v>
      </c>
      <c r="G5" s="3" t="s">
        <v>36</v>
      </c>
      <c r="H5" s="3" t="str">
        <f t="shared" si="1"/>
        <v>BJJ,Judo,Wrestling,,,</v>
      </c>
      <c r="I5" s="3" t="s">
        <v>29</v>
      </c>
      <c r="J5" s="3" t="s">
        <v>27</v>
      </c>
      <c r="K5" s="3" t="s">
        <v>31</v>
      </c>
      <c r="L5" s="3"/>
      <c r="M5" s="3"/>
      <c r="N5" s="3"/>
      <c r="O5" s="3" t="s">
        <v>37</v>
      </c>
      <c r="P5" s="3">
        <v>2.0</v>
      </c>
      <c r="Q5" s="3" t="s">
        <v>49</v>
      </c>
      <c r="R5" s="3">
        <v>2.0</v>
      </c>
      <c r="S5" s="3">
        <v>4.0</v>
      </c>
      <c r="T5" s="3" t="s">
        <v>39</v>
      </c>
      <c r="U5" s="3" t="s">
        <v>53</v>
      </c>
      <c r="V5" s="6"/>
    </row>
    <row r="6">
      <c r="A6" s="7">
        <v>43954.36794560185</v>
      </c>
      <c r="B6" s="3" t="s">
        <v>32</v>
      </c>
      <c r="C6" s="3" t="s">
        <v>54</v>
      </c>
      <c r="E6" s="3" t="s">
        <v>52</v>
      </c>
      <c r="F6" s="3" t="s">
        <v>35</v>
      </c>
      <c r="G6" s="3" t="s">
        <v>36</v>
      </c>
      <c r="H6" s="3" t="str">
        <f t="shared" si="1"/>
        <v>BJJ,Judo,,,,</v>
      </c>
      <c r="I6" s="3" t="s">
        <v>29</v>
      </c>
      <c r="J6" s="3" t="s">
        <v>27</v>
      </c>
      <c r="K6" s="3"/>
      <c r="L6" s="3"/>
      <c r="M6" s="3"/>
      <c r="N6" s="3"/>
      <c r="O6" s="3" t="s">
        <v>55</v>
      </c>
      <c r="P6" s="3">
        <v>1.0</v>
      </c>
      <c r="Q6" s="3" t="s">
        <v>49</v>
      </c>
      <c r="R6" s="3">
        <v>1.0</v>
      </c>
      <c r="S6" s="3">
        <v>2.0</v>
      </c>
      <c r="T6" s="3" t="s">
        <v>39</v>
      </c>
      <c r="U6" s="3" t="s">
        <v>40</v>
      </c>
      <c r="V6" s="8" t="s">
        <v>56</v>
      </c>
    </row>
    <row r="7">
      <c r="A7" s="7">
        <v>43951.73846550926</v>
      </c>
      <c r="B7" s="3" t="s">
        <v>57</v>
      </c>
      <c r="C7" s="3" t="s">
        <v>58</v>
      </c>
      <c r="D7" s="3" t="s">
        <v>59</v>
      </c>
      <c r="E7" s="3" t="s">
        <v>60</v>
      </c>
      <c r="F7" s="3" t="s">
        <v>35</v>
      </c>
      <c r="G7" s="3" t="s">
        <v>48</v>
      </c>
      <c r="H7" s="3" t="str">
        <f t="shared" si="1"/>
        <v>BJJ,Judo,,,,</v>
      </c>
      <c r="I7" s="3" t="s">
        <v>29</v>
      </c>
      <c r="J7" s="3" t="s">
        <v>27</v>
      </c>
      <c r="K7" s="3"/>
      <c r="L7" s="3"/>
      <c r="M7" s="3"/>
      <c r="N7" s="3"/>
      <c r="O7" s="3" t="s">
        <v>37</v>
      </c>
      <c r="P7" s="3">
        <v>1.0</v>
      </c>
      <c r="Q7" s="3" t="s">
        <v>49</v>
      </c>
      <c r="R7" s="3">
        <v>1.0</v>
      </c>
      <c r="S7" s="3">
        <v>5.0</v>
      </c>
      <c r="T7" s="3" t="s">
        <v>61</v>
      </c>
      <c r="U7" s="3" t="s">
        <v>62</v>
      </c>
      <c r="V7" s="8" t="s">
        <v>63</v>
      </c>
    </row>
    <row r="8">
      <c r="A8" s="7">
        <v>43952.501605937505</v>
      </c>
      <c r="B8" s="3" t="s">
        <v>32</v>
      </c>
      <c r="C8" s="3" t="s">
        <v>64</v>
      </c>
      <c r="D8" s="3" t="s">
        <v>65</v>
      </c>
      <c r="E8" s="3" t="s">
        <v>66</v>
      </c>
      <c r="F8" s="3"/>
      <c r="G8" s="3" t="s">
        <v>36</v>
      </c>
      <c r="H8" s="3" t="str">
        <f t="shared" si="1"/>
        <v>BJJ,Judo,,,,</v>
      </c>
      <c r="I8" s="3" t="s">
        <v>29</v>
      </c>
      <c r="J8" s="3" t="s">
        <v>27</v>
      </c>
      <c r="K8" s="3"/>
      <c r="L8" s="3"/>
      <c r="M8" s="3"/>
      <c r="N8" s="3"/>
      <c r="O8" s="3" t="s">
        <v>37</v>
      </c>
      <c r="P8" s="3">
        <v>1.0</v>
      </c>
      <c r="Q8" s="3" t="s">
        <v>49</v>
      </c>
      <c r="R8" s="3">
        <v>3.0</v>
      </c>
      <c r="S8" s="3">
        <v>2.0</v>
      </c>
      <c r="T8" s="3" t="s">
        <v>39</v>
      </c>
      <c r="U8" s="3" t="s">
        <v>40</v>
      </c>
      <c r="V8" s="8" t="s">
        <v>67</v>
      </c>
    </row>
    <row r="9">
      <c r="A9" s="7">
        <v>43951.451924050925</v>
      </c>
      <c r="B9" s="3" t="s">
        <v>44</v>
      </c>
      <c r="C9" s="3" t="s">
        <v>68</v>
      </c>
      <c r="D9" s="3"/>
      <c r="E9" s="9" t="s">
        <v>69</v>
      </c>
      <c r="F9" s="3" t="s">
        <v>69</v>
      </c>
      <c r="G9" s="3" t="s">
        <v>48</v>
      </c>
      <c r="H9" s="3" t="str">
        <f t="shared" si="1"/>
        <v>BJJ,Judo,Karate,,,</v>
      </c>
      <c r="I9" s="3" t="s">
        <v>29</v>
      </c>
      <c r="J9" s="3" t="s">
        <v>27</v>
      </c>
      <c r="K9" s="3" t="s">
        <v>70</v>
      </c>
      <c r="L9" s="3"/>
      <c r="M9" s="3"/>
      <c r="N9" s="3"/>
      <c r="O9" s="3" t="s">
        <v>37</v>
      </c>
      <c r="P9" s="3">
        <v>2.0</v>
      </c>
      <c r="Q9" s="3" t="s">
        <v>38</v>
      </c>
      <c r="R9" s="3">
        <v>3.0</v>
      </c>
      <c r="S9" s="3">
        <v>3.0</v>
      </c>
      <c r="T9" s="3" t="s">
        <v>39</v>
      </c>
      <c r="U9" s="3" t="s">
        <v>40</v>
      </c>
      <c r="V9" s="6"/>
    </row>
    <row r="10">
      <c r="A10" s="7">
        <v>43952.087203194445</v>
      </c>
      <c r="B10" s="3" t="s">
        <v>71</v>
      </c>
      <c r="C10" s="3" t="s">
        <v>72</v>
      </c>
      <c r="D10" s="3" t="s">
        <v>73</v>
      </c>
      <c r="E10" s="3" t="s">
        <v>74</v>
      </c>
      <c r="F10" s="3" t="s">
        <v>35</v>
      </c>
      <c r="G10" s="3" t="s">
        <v>48</v>
      </c>
      <c r="H10" s="3" t="str">
        <f t="shared" si="1"/>
        <v>BJJ,Judo,,,,</v>
      </c>
      <c r="I10" s="3" t="s">
        <v>29</v>
      </c>
      <c r="J10" s="3" t="s">
        <v>27</v>
      </c>
      <c r="K10" s="3"/>
      <c r="L10" s="3"/>
      <c r="M10" s="3"/>
      <c r="N10" s="3"/>
      <c r="O10" s="3" t="s">
        <v>37</v>
      </c>
      <c r="P10" s="3">
        <v>1.0</v>
      </c>
      <c r="Q10" s="3" t="s">
        <v>49</v>
      </c>
      <c r="R10" s="3">
        <v>1.0</v>
      </c>
      <c r="S10" s="3">
        <v>5.0</v>
      </c>
      <c r="T10" s="3" t="s">
        <v>39</v>
      </c>
      <c r="U10" s="3" t="s">
        <v>40</v>
      </c>
      <c r="V10" s="6"/>
    </row>
    <row r="11">
      <c r="A11" s="7">
        <v>43952.097189120366</v>
      </c>
      <c r="B11" s="3" t="s">
        <v>32</v>
      </c>
      <c r="C11" s="3" t="s">
        <v>75</v>
      </c>
      <c r="D11" s="3"/>
      <c r="E11" s="3" t="s">
        <v>75</v>
      </c>
      <c r="F11" s="3" t="s">
        <v>35</v>
      </c>
      <c r="G11" s="3" t="s">
        <v>36</v>
      </c>
      <c r="H11" s="3" t="str">
        <f t="shared" si="1"/>
        <v>BJJ,Judo,,,,</v>
      </c>
      <c r="I11" s="3" t="s">
        <v>29</v>
      </c>
      <c r="J11" s="3" t="s">
        <v>27</v>
      </c>
      <c r="K11" s="3"/>
      <c r="L11" s="3"/>
      <c r="M11" s="3"/>
      <c r="N11" s="3"/>
      <c r="O11" s="3" t="s">
        <v>76</v>
      </c>
      <c r="P11" s="3">
        <v>1.0</v>
      </c>
      <c r="Q11" s="3" t="s">
        <v>38</v>
      </c>
      <c r="R11" s="3">
        <v>4.0</v>
      </c>
      <c r="S11" s="3">
        <v>4.0</v>
      </c>
      <c r="T11" s="3" t="s">
        <v>39</v>
      </c>
      <c r="U11" s="3" t="s">
        <v>40</v>
      </c>
      <c r="V11" s="8" t="s">
        <v>77</v>
      </c>
    </row>
    <row r="12">
      <c r="A12" s="7">
        <v>43950.58145518518</v>
      </c>
      <c r="B12" s="3" t="s">
        <v>44</v>
      </c>
      <c r="C12" s="3" t="s">
        <v>78</v>
      </c>
      <c r="D12" s="3" t="s">
        <v>79</v>
      </c>
      <c r="E12" s="3" t="s">
        <v>80</v>
      </c>
      <c r="F12" s="3" t="s">
        <v>35</v>
      </c>
      <c r="G12" s="3" t="s">
        <v>36</v>
      </c>
      <c r="H12" s="3" t="str">
        <f t="shared" si="1"/>
        <v>BJJ,Judo,Wrestling,,,</v>
      </c>
      <c r="I12" s="3" t="s">
        <v>29</v>
      </c>
      <c r="J12" s="3" t="s">
        <v>27</v>
      </c>
      <c r="K12" s="3" t="s">
        <v>31</v>
      </c>
      <c r="L12" s="3"/>
      <c r="M12" s="3"/>
      <c r="N12" s="3"/>
      <c r="O12" s="3" t="s">
        <v>76</v>
      </c>
      <c r="P12" s="3">
        <v>1.0</v>
      </c>
      <c r="Q12" s="3" t="s">
        <v>49</v>
      </c>
      <c r="R12" s="3">
        <v>3.0</v>
      </c>
      <c r="S12" s="3">
        <v>5.0</v>
      </c>
      <c r="T12" s="3" t="s">
        <v>39</v>
      </c>
      <c r="U12" s="3" t="s">
        <v>53</v>
      </c>
      <c r="V12" s="8" t="s">
        <v>81</v>
      </c>
    </row>
    <row r="13">
      <c r="A13" s="7">
        <v>43950.588518055556</v>
      </c>
      <c r="B13" s="3" t="s">
        <v>32</v>
      </c>
      <c r="C13" s="3" t="s">
        <v>82</v>
      </c>
      <c r="D13" s="3" t="s">
        <v>83</v>
      </c>
      <c r="E13" s="3" t="s">
        <v>80</v>
      </c>
      <c r="F13" s="3" t="s">
        <v>35</v>
      </c>
      <c r="G13" s="3" t="s">
        <v>36</v>
      </c>
      <c r="H13" s="3" t="str">
        <f t="shared" si="1"/>
        <v>BJJ,Judo,Wrestling,,,</v>
      </c>
      <c r="I13" s="3" t="s">
        <v>29</v>
      </c>
      <c r="J13" s="3" t="s">
        <v>27</v>
      </c>
      <c r="K13" s="3" t="s">
        <v>31</v>
      </c>
      <c r="L13" s="3"/>
      <c r="M13" s="3"/>
      <c r="N13" s="3"/>
      <c r="O13" s="3" t="s">
        <v>37</v>
      </c>
      <c r="P13" s="3">
        <v>1.0</v>
      </c>
      <c r="Q13" s="3" t="s">
        <v>49</v>
      </c>
      <c r="R13" s="3">
        <v>5.0</v>
      </c>
      <c r="S13" s="3">
        <v>1.0</v>
      </c>
      <c r="T13" s="3" t="s">
        <v>39</v>
      </c>
      <c r="U13" s="3" t="s">
        <v>40</v>
      </c>
      <c r="V13" s="6"/>
    </row>
    <row r="14">
      <c r="A14" s="7">
        <v>43951.74160112269</v>
      </c>
      <c r="B14" s="3" t="s">
        <v>32</v>
      </c>
      <c r="C14" s="3" t="s">
        <v>84</v>
      </c>
      <c r="D14" s="3"/>
      <c r="E14" s="3" t="s">
        <v>85</v>
      </c>
      <c r="F14" s="3" t="s">
        <v>35</v>
      </c>
      <c r="G14" s="3" t="s">
        <v>36</v>
      </c>
      <c r="H14" s="3" t="str">
        <f t="shared" si="1"/>
        <v>BJJ,Judo,,,,</v>
      </c>
      <c r="I14" s="3" t="s">
        <v>29</v>
      </c>
      <c r="J14" s="3" t="s">
        <v>27</v>
      </c>
      <c r="K14" s="3"/>
      <c r="L14" s="3"/>
      <c r="M14" s="3"/>
      <c r="N14" s="3"/>
      <c r="O14" s="3" t="s">
        <v>55</v>
      </c>
      <c r="P14" s="3">
        <v>2.0</v>
      </c>
      <c r="Q14" s="3" t="s">
        <v>86</v>
      </c>
      <c r="R14" s="3">
        <v>5.0</v>
      </c>
      <c r="S14" s="3">
        <v>2.0</v>
      </c>
      <c r="T14" s="3" t="s">
        <v>39</v>
      </c>
      <c r="U14" s="3" t="s">
        <v>87</v>
      </c>
      <c r="V14" s="8" t="s">
        <v>88</v>
      </c>
    </row>
    <row r="15">
      <c r="A15" s="7">
        <v>43952.11573942129</v>
      </c>
      <c r="B15" s="3" t="s">
        <v>32</v>
      </c>
      <c r="C15" s="3" t="s">
        <v>89</v>
      </c>
      <c r="D15" s="3"/>
      <c r="E15" s="3"/>
      <c r="F15" s="3" t="s">
        <v>89</v>
      </c>
      <c r="G15" s="3" t="s">
        <v>36</v>
      </c>
      <c r="H15" s="3" t="str">
        <f t="shared" si="1"/>
        <v>BJJ,Judo,Wrestling,,,</v>
      </c>
      <c r="I15" s="3" t="s">
        <v>29</v>
      </c>
      <c r="J15" s="3" t="s">
        <v>27</v>
      </c>
      <c r="K15" s="3" t="s">
        <v>31</v>
      </c>
      <c r="L15" s="3"/>
      <c r="M15" s="3"/>
      <c r="N15" s="3"/>
      <c r="O15" s="3" t="s">
        <v>37</v>
      </c>
      <c r="P15" s="3">
        <v>4.0</v>
      </c>
      <c r="Q15" s="3" t="s">
        <v>38</v>
      </c>
      <c r="R15" s="3">
        <v>3.0</v>
      </c>
      <c r="S15" s="3">
        <v>3.0</v>
      </c>
      <c r="T15" s="3" t="s">
        <v>61</v>
      </c>
      <c r="U15" s="3" t="s">
        <v>62</v>
      </c>
      <c r="V15" s="8" t="s">
        <v>90</v>
      </c>
    </row>
    <row r="16">
      <c r="A16" s="7">
        <v>43952.70390508102</v>
      </c>
      <c r="B16" s="3" t="s">
        <v>32</v>
      </c>
      <c r="C16" s="3" t="s">
        <v>91</v>
      </c>
      <c r="D16" s="3"/>
      <c r="E16" s="3"/>
      <c r="F16" s="3" t="s">
        <v>92</v>
      </c>
      <c r="G16" s="3" t="s">
        <v>36</v>
      </c>
      <c r="H16" s="3" t="str">
        <f t="shared" si="1"/>
        <v>BJJ,Judo,,,,</v>
      </c>
      <c r="I16" s="3" t="s">
        <v>29</v>
      </c>
      <c r="J16" s="3" t="s">
        <v>27</v>
      </c>
      <c r="K16" s="3"/>
      <c r="L16" s="3"/>
      <c r="M16" s="3"/>
      <c r="N16" s="3"/>
      <c r="O16" s="3" t="s">
        <v>37</v>
      </c>
      <c r="P16" s="3">
        <v>1.0</v>
      </c>
      <c r="Q16" s="3" t="s">
        <v>49</v>
      </c>
      <c r="R16" s="3">
        <v>3.0</v>
      </c>
      <c r="S16" s="3">
        <v>1.0</v>
      </c>
      <c r="T16" s="3" t="s">
        <v>39</v>
      </c>
      <c r="U16" s="3" t="s">
        <v>40</v>
      </c>
      <c r="V16" s="8" t="s">
        <v>93</v>
      </c>
    </row>
    <row r="17">
      <c r="A17" s="7">
        <v>43950.76320777778</v>
      </c>
      <c r="B17" s="3" t="s">
        <v>32</v>
      </c>
      <c r="C17" s="3" t="s">
        <v>94</v>
      </c>
      <c r="D17" s="3"/>
      <c r="E17" s="3"/>
      <c r="F17" s="3" t="s">
        <v>94</v>
      </c>
      <c r="G17" s="3" t="s">
        <v>36</v>
      </c>
      <c r="H17" s="3" t="str">
        <f t="shared" si="1"/>
        <v>BJJ,Judo,,,,</v>
      </c>
      <c r="I17" s="3" t="s">
        <v>29</v>
      </c>
      <c r="J17" s="3" t="s">
        <v>27</v>
      </c>
      <c r="K17" s="3"/>
      <c r="L17" s="3"/>
      <c r="M17" s="3"/>
      <c r="N17" s="3"/>
      <c r="O17" s="3" t="s">
        <v>43</v>
      </c>
      <c r="P17" s="3">
        <v>1.0</v>
      </c>
      <c r="Q17" s="3" t="s">
        <v>38</v>
      </c>
      <c r="R17" s="3">
        <v>5.0</v>
      </c>
      <c r="S17" s="3">
        <v>4.0</v>
      </c>
      <c r="T17" s="3" t="s">
        <v>39</v>
      </c>
      <c r="U17" s="3" t="s">
        <v>40</v>
      </c>
      <c r="V17" s="8" t="s">
        <v>95</v>
      </c>
    </row>
    <row r="18">
      <c r="A18" s="7">
        <v>43952.64361143518</v>
      </c>
      <c r="B18" s="3" t="s">
        <v>44</v>
      </c>
      <c r="C18" s="3" t="s">
        <v>96</v>
      </c>
      <c r="D18" s="3"/>
      <c r="E18" s="3"/>
      <c r="F18" s="3" t="s">
        <v>96</v>
      </c>
      <c r="G18" s="3" t="s">
        <v>36</v>
      </c>
      <c r="H18" s="3" t="str">
        <f t="shared" si="1"/>
        <v>BJJ,Judo,Wrestling,MMA,Kickboxing,</v>
      </c>
      <c r="I18" s="3" t="s">
        <v>29</v>
      </c>
      <c r="J18" s="3" t="s">
        <v>27</v>
      </c>
      <c r="K18" s="3" t="s">
        <v>31</v>
      </c>
      <c r="L18" s="3" t="s">
        <v>21</v>
      </c>
      <c r="M18" s="3" t="s">
        <v>24</v>
      </c>
      <c r="N18" s="3"/>
      <c r="O18" s="3" t="s">
        <v>37</v>
      </c>
      <c r="P18" s="3">
        <v>1.0</v>
      </c>
      <c r="Q18" s="3" t="s">
        <v>38</v>
      </c>
      <c r="R18" s="3">
        <v>4.0</v>
      </c>
      <c r="S18" s="3">
        <v>3.0</v>
      </c>
      <c r="T18" s="3" t="s">
        <v>39</v>
      </c>
      <c r="U18" s="3" t="s">
        <v>40</v>
      </c>
      <c r="V18" s="6"/>
    </row>
    <row r="19">
      <c r="A19" s="7">
        <v>43952.16010664352</v>
      </c>
      <c r="B19" s="3" t="s">
        <v>97</v>
      </c>
      <c r="C19" s="3" t="s">
        <v>98</v>
      </c>
      <c r="D19" s="3"/>
      <c r="E19" s="3"/>
      <c r="F19" s="3" t="s">
        <v>98</v>
      </c>
      <c r="G19" s="3" t="s">
        <v>48</v>
      </c>
      <c r="H19" s="3" t="str">
        <f t="shared" si="1"/>
        <v>BJJ,Judo,,,,</v>
      </c>
      <c r="I19" s="3" t="s">
        <v>29</v>
      </c>
      <c r="J19" s="3" t="s">
        <v>27</v>
      </c>
      <c r="K19" s="3"/>
      <c r="L19" s="3"/>
      <c r="M19" s="3"/>
      <c r="N19" s="3"/>
      <c r="O19" s="3" t="s">
        <v>37</v>
      </c>
      <c r="P19" s="3">
        <v>1.0</v>
      </c>
      <c r="Q19" s="3" t="s">
        <v>49</v>
      </c>
      <c r="R19" s="3">
        <v>1.0</v>
      </c>
      <c r="S19" s="3">
        <v>5.0</v>
      </c>
      <c r="T19" s="3" t="s">
        <v>39</v>
      </c>
      <c r="U19" s="3" t="s">
        <v>40</v>
      </c>
      <c r="V19" s="6"/>
    </row>
    <row r="20">
      <c r="A20" s="7">
        <v>43952.274026643514</v>
      </c>
      <c r="B20" s="3" t="s">
        <v>57</v>
      </c>
      <c r="C20" s="3" t="s">
        <v>92</v>
      </c>
      <c r="D20" s="3"/>
      <c r="E20" s="3"/>
      <c r="F20" s="3" t="s">
        <v>92</v>
      </c>
      <c r="G20" s="3" t="s">
        <v>36</v>
      </c>
      <c r="H20" s="3" t="str">
        <f t="shared" si="1"/>
        <v>BJJ,Judo,,,,</v>
      </c>
      <c r="I20" s="3" t="s">
        <v>29</v>
      </c>
      <c r="J20" s="3" t="s">
        <v>27</v>
      </c>
      <c r="K20" s="3"/>
      <c r="L20" s="3"/>
      <c r="M20" s="3"/>
      <c r="N20" s="3"/>
      <c r="O20" s="3" t="s">
        <v>37</v>
      </c>
      <c r="P20" s="3">
        <v>1.0</v>
      </c>
      <c r="Q20" s="3" t="s">
        <v>49</v>
      </c>
      <c r="R20" s="3">
        <v>5.0</v>
      </c>
      <c r="S20" s="3">
        <v>1.0</v>
      </c>
      <c r="T20" s="3" t="s">
        <v>61</v>
      </c>
      <c r="U20" s="3" t="s">
        <v>40</v>
      </c>
      <c r="V20" s="8" t="s">
        <v>99</v>
      </c>
    </row>
    <row r="21">
      <c r="A21" s="7">
        <v>43952.76697728009</v>
      </c>
      <c r="B21" s="3" t="s">
        <v>44</v>
      </c>
      <c r="C21" s="3" t="s">
        <v>100</v>
      </c>
      <c r="D21" s="3"/>
      <c r="E21" s="3" t="s">
        <v>101</v>
      </c>
      <c r="F21" s="3" t="s">
        <v>35</v>
      </c>
      <c r="G21" s="3" t="s">
        <v>48</v>
      </c>
      <c r="H21" s="3" t="str">
        <f t="shared" si="1"/>
        <v>BJJ,Kickboxing,,,,</v>
      </c>
      <c r="I21" s="3" t="s">
        <v>29</v>
      </c>
      <c r="J21" s="3" t="s">
        <v>24</v>
      </c>
      <c r="K21" s="3"/>
      <c r="L21" s="3"/>
      <c r="M21" s="3"/>
      <c r="N21" s="3"/>
      <c r="O21" s="3" t="s">
        <v>76</v>
      </c>
      <c r="P21" s="3">
        <v>2.0</v>
      </c>
      <c r="Q21" s="3" t="s">
        <v>49</v>
      </c>
      <c r="R21" s="3">
        <v>4.0</v>
      </c>
      <c r="S21" s="3">
        <v>3.0</v>
      </c>
      <c r="T21" s="3" t="s">
        <v>39</v>
      </c>
      <c r="U21" s="3" t="s">
        <v>40</v>
      </c>
      <c r="V21" s="6"/>
    </row>
    <row r="22">
      <c r="A22" s="7">
        <v>43952.13225313657</v>
      </c>
      <c r="B22" s="3" t="s">
        <v>44</v>
      </c>
      <c r="C22" s="3" t="s">
        <v>102</v>
      </c>
      <c r="D22" s="3"/>
      <c r="E22" s="3" t="s">
        <v>103</v>
      </c>
      <c r="F22" s="3"/>
      <c r="G22" s="3" t="s">
        <v>48</v>
      </c>
      <c r="H22" s="3" t="str">
        <f t="shared" si="1"/>
        <v>BJJ,Kickboxing,,,,</v>
      </c>
      <c r="I22" s="3" t="s">
        <v>29</v>
      </c>
      <c r="J22" s="3" t="s">
        <v>24</v>
      </c>
      <c r="K22" s="3"/>
      <c r="L22" s="3"/>
      <c r="M22" s="3"/>
      <c r="N22" s="3"/>
      <c r="O22" s="3" t="s">
        <v>43</v>
      </c>
      <c r="P22" s="3">
        <v>1.0</v>
      </c>
      <c r="Q22" s="3" t="s">
        <v>38</v>
      </c>
      <c r="R22" s="3">
        <v>4.0</v>
      </c>
      <c r="S22" s="3">
        <v>2.0</v>
      </c>
      <c r="T22" s="3" t="s">
        <v>39</v>
      </c>
      <c r="U22" s="3" t="s">
        <v>40</v>
      </c>
      <c r="V22" s="6"/>
    </row>
    <row r="23">
      <c r="A23" s="7">
        <v>43951.477603761574</v>
      </c>
      <c r="B23" s="3" t="s">
        <v>32</v>
      </c>
      <c r="C23" s="3" t="s">
        <v>104</v>
      </c>
      <c r="D23" s="3" t="s">
        <v>59</v>
      </c>
      <c r="E23" s="3" t="s">
        <v>60</v>
      </c>
      <c r="F23" s="3" t="s">
        <v>35</v>
      </c>
      <c r="G23" s="3" t="s">
        <v>36</v>
      </c>
      <c r="H23" s="3" t="str">
        <f t="shared" si="1"/>
        <v>BJJ,Kickboxing,,,,</v>
      </c>
      <c r="I23" s="3" t="s">
        <v>29</v>
      </c>
      <c r="J23" s="3" t="s">
        <v>24</v>
      </c>
      <c r="K23" s="3"/>
      <c r="L23" s="3"/>
      <c r="M23" s="3"/>
      <c r="N23" s="3"/>
      <c r="O23" s="3" t="s">
        <v>37</v>
      </c>
      <c r="P23" s="3">
        <v>5.0</v>
      </c>
      <c r="Q23" s="3" t="s">
        <v>49</v>
      </c>
      <c r="R23" s="3">
        <v>3.0</v>
      </c>
      <c r="S23" s="3">
        <v>2.0</v>
      </c>
      <c r="T23" s="3" t="s">
        <v>39</v>
      </c>
      <c r="U23" s="3" t="s">
        <v>40</v>
      </c>
      <c r="V23" s="8" t="s">
        <v>105</v>
      </c>
    </row>
    <row r="24">
      <c r="A24" s="7">
        <v>43950.73460797453</v>
      </c>
      <c r="B24" s="3" t="s">
        <v>44</v>
      </c>
      <c r="C24" s="3" t="s">
        <v>65</v>
      </c>
      <c r="D24" s="3" t="s">
        <v>65</v>
      </c>
      <c r="E24" s="3" t="s">
        <v>66</v>
      </c>
      <c r="F24" s="3" t="s">
        <v>106</v>
      </c>
      <c r="G24" s="3" t="s">
        <v>48</v>
      </c>
      <c r="H24" s="3" t="str">
        <f t="shared" si="1"/>
        <v>BJJ,Kickboxing,,,,</v>
      </c>
      <c r="I24" s="3" t="s">
        <v>29</v>
      </c>
      <c r="J24" s="3" t="s">
        <v>24</v>
      </c>
      <c r="K24" s="3"/>
      <c r="L24" s="3"/>
      <c r="M24" s="3"/>
      <c r="N24" s="3"/>
      <c r="O24" s="3" t="s">
        <v>43</v>
      </c>
      <c r="P24" s="3">
        <v>1.0</v>
      </c>
      <c r="Q24" s="3" t="s">
        <v>49</v>
      </c>
      <c r="R24" s="3">
        <v>3.0</v>
      </c>
      <c r="S24" s="3">
        <v>2.0</v>
      </c>
      <c r="T24" s="3" t="s">
        <v>39</v>
      </c>
      <c r="U24" s="3" t="s">
        <v>62</v>
      </c>
      <c r="V24" s="8" t="s">
        <v>107</v>
      </c>
    </row>
    <row r="25">
      <c r="A25" s="7">
        <v>43952.6199714699</v>
      </c>
      <c r="B25" s="3" t="s">
        <v>32</v>
      </c>
      <c r="C25" s="3" t="s">
        <v>108</v>
      </c>
      <c r="D25" s="3"/>
      <c r="E25" s="3" t="s">
        <v>101</v>
      </c>
      <c r="F25" s="3" t="s">
        <v>35</v>
      </c>
      <c r="G25" s="3" t="s">
        <v>48</v>
      </c>
      <c r="H25" s="3" t="str">
        <f t="shared" si="1"/>
        <v>BJJ,MMA,,,,</v>
      </c>
      <c r="I25" s="3" t="s">
        <v>29</v>
      </c>
      <c r="J25" s="3" t="s">
        <v>21</v>
      </c>
      <c r="K25" s="3"/>
      <c r="L25" s="3"/>
      <c r="M25" s="3"/>
      <c r="N25" s="3"/>
      <c r="O25" s="3" t="s">
        <v>76</v>
      </c>
      <c r="P25" s="3">
        <v>1.0</v>
      </c>
      <c r="Q25" s="3" t="s">
        <v>38</v>
      </c>
      <c r="R25" s="3">
        <v>4.0</v>
      </c>
      <c r="S25" s="3">
        <v>3.0</v>
      </c>
      <c r="T25" s="3" t="s">
        <v>39</v>
      </c>
      <c r="U25" s="3" t="s">
        <v>40</v>
      </c>
      <c r="V25" s="6"/>
    </row>
    <row r="26">
      <c r="A26" s="7">
        <v>43952.42600162037</v>
      </c>
      <c r="B26" s="3" t="s">
        <v>32</v>
      </c>
      <c r="C26" s="3" t="s">
        <v>109</v>
      </c>
      <c r="D26" s="3" t="s">
        <v>110</v>
      </c>
      <c r="E26" s="3" t="s">
        <v>103</v>
      </c>
      <c r="F26" s="3" t="s">
        <v>35</v>
      </c>
      <c r="G26" s="3" t="s">
        <v>36</v>
      </c>
      <c r="H26" s="3" t="str">
        <f t="shared" si="1"/>
        <v>BJJ,MMA,,,,</v>
      </c>
      <c r="I26" s="3" t="s">
        <v>29</v>
      </c>
      <c r="J26" s="3" t="s">
        <v>21</v>
      </c>
      <c r="K26" s="3"/>
      <c r="L26" s="3"/>
      <c r="M26" s="3"/>
      <c r="N26" s="3"/>
      <c r="O26" s="3" t="s">
        <v>37</v>
      </c>
      <c r="P26" s="3">
        <v>2.0</v>
      </c>
      <c r="Q26" s="3" t="s">
        <v>111</v>
      </c>
      <c r="R26" s="3">
        <v>4.0</v>
      </c>
      <c r="S26" s="3">
        <v>1.0</v>
      </c>
      <c r="T26" s="3" t="s">
        <v>39</v>
      </c>
      <c r="U26" s="3" t="s">
        <v>40</v>
      </c>
      <c r="V26" s="8" t="s">
        <v>112</v>
      </c>
    </row>
    <row r="27">
      <c r="A27" s="7">
        <v>43951.73306337963</v>
      </c>
      <c r="B27" s="3" t="s">
        <v>32</v>
      </c>
      <c r="C27" s="3" t="s">
        <v>113</v>
      </c>
      <c r="D27" s="3"/>
      <c r="E27" s="3" t="s">
        <v>103</v>
      </c>
      <c r="F27" s="3" t="s">
        <v>35</v>
      </c>
      <c r="G27" s="3" t="s">
        <v>36</v>
      </c>
      <c r="H27" s="3" t="str">
        <f t="shared" si="1"/>
        <v>BJJ,MMA,,,,</v>
      </c>
      <c r="I27" s="3" t="s">
        <v>29</v>
      </c>
      <c r="J27" s="3" t="s">
        <v>21</v>
      </c>
      <c r="K27" s="3"/>
      <c r="L27" s="3"/>
      <c r="M27" s="3"/>
      <c r="N27" s="3"/>
      <c r="O27" s="3" t="s">
        <v>37</v>
      </c>
      <c r="P27" s="3">
        <v>2.0</v>
      </c>
      <c r="Q27" s="3" t="s">
        <v>49</v>
      </c>
      <c r="R27" s="3">
        <v>5.0</v>
      </c>
      <c r="S27" s="3">
        <v>2.0</v>
      </c>
      <c r="T27" s="3" t="s">
        <v>61</v>
      </c>
      <c r="U27" s="3" t="s">
        <v>40</v>
      </c>
      <c r="V27" s="6"/>
    </row>
    <row r="28">
      <c r="A28" s="7">
        <v>43950.48598030093</v>
      </c>
      <c r="B28" s="3" t="s">
        <v>32</v>
      </c>
      <c r="C28" s="3" t="s">
        <v>114</v>
      </c>
      <c r="D28" s="3" t="s">
        <v>83</v>
      </c>
      <c r="E28" s="3" t="s">
        <v>114</v>
      </c>
      <c r="F28" s="3" t="s">
        <v>35</v>
      </c>
      <c r="G28" s="3" t="s">
        <v>36</v>
      </c>
      <c r="H28" s="3" t="str">
        <f t="shared" si="1"/>
        <v>BJJ,MMA,,,,</v>
      </c>
      <c r="I28" s="3" t="s">
        <v>29</v>
      </c>
      <c r="J28" s="3" t="s">
        <v>21</v>
      </c>
      <c r="K28" s="3"/>
      <c r="L28" s="3"/>
      <c r="M28" s="3"/>
      <c r="N28" s="3"/>
      <c r="O28" s="3" t="s">
        <v>37</v>
      </c>
      <c r="P28" s="3">
        <v>1.0</v>
      </c>
      <c r="Q28" s="3" t="s">
        <v>86</v>
      </c>
      <c r="R28" s="3">
        <v>4.0</v>
      </c>
      <c r="S28" s="3">
        <v>4.0</v>
      </c>
      <c r="T28" s="3" t="s">
        <v>39</v>
      </c>
      <c r="U28" s="3" t="s">
        <v>62</v>
      </c>
      <c r="V28" s="8" t="s">
        <v>115</v>
      </c>
    </row>
    <row r="29">
      <c r="A29" s="7">
        <v>43951.464862824076</v>
      </c>
      <c r="B29" s="3" t="s">
        <v>32</v>
      </c>
      <c r="C29" s="3" t="s">
        <v>116</v>
      </c>
      <c r="D29" s="3" t="s">
        <v>59</v>
      </c>
      <c r="E29" s="3" t="s">
        <v>60</v>
      </c>
      <c r="F29" s="3" t="s">
        <v>35</v>
      </c>
      <c r="G29" s="3" t="s">
        <v>48</v>
      </c>
      <c r="H29" s="3" t="str">
        <f t="shared" si="1"/>
        <v>BJJ,MMA,Kickboxing,,,</v>
      </c>
      <c r="I29" s="3" t="s">
        <v>29</v>
      </c>
      <c r="J29" s="3" t="s">
        <v>21</v>
      </c>
      <c r="K29" s="3" t="s">
        <v>24</v>
      </c>
      <c r="L29" s="3"/>
      <c r="M29" s="3"/>
      <c r="N29" s="3"/>
      <c r="O29" s="3" t="s">
        <v>37</v>
      </c>
      <c r="P29" s="3">
        <v>1.0</v>
      </c>
      <c r="Q29" s="3" t="s">
        <v>49</v>
      </c>
      <c r="R29" s="3">
        <v>3.0</v>
      </c>
      <c r="S29" s="3">
        <v>2.0</v>
      </c>
      <c r="T29" s="3" t="s">
        <v>61</v>
      </c>
      <c r="U29" s="3" t="s">
        <v>62</v>
      </c>
      <c r="V29" s="8" t="s">
        <v>117</v>
      </c>
    </row>
    <row r="30">
      <c r="A30" s="7">
        <v>43951.4738630787</v>
      </c>
      <c r="B30" s="3" t="s">
        <v>32</v>
      </c>
      <c r="C30" s="3" t="s">
        <v>104</v>
      </c>
      <c r="D30" s="3" t="s">
        <v>59</v>
      </c>
      <c r="E30" s="3" t="s">
        <v>60</v>
      </c>
      <c r="F30" s="3" t="s">
        <v>35</v>
      </c>
      <c r="G30" s="3" t="s">
        <v>48</v>
      </c>
      <c r="H30" s="3" t="str">
        <f t="shared" si="1"/>
        <v>BJJ,MMA,Kickboxing,,,</v>
      </c>
      <c r="I30" s="3" t="s">
        <v>29</v>
      </c>
      <c r="J30" s="3" t="s">
        <v>21</v>
      </c>
      <c r="K30" s="3" t="s">
        <v>24</v>
      </c>
      <c r="L30" s="3"/>
      <c r="M30" s="3"/>
      <c r="N30" s="3"/>
      <c r="O30" s="3" t="s">
        <v>37</v>
      </c>
      <c r="P30" s="3">
        <v>1.0</v>
      </c>
      <c r="Q30" s="3" t="s">
        <v>49</v>
      </c>
      <c r="R30" s="3">
        <v>2.0</v>
      </c>
      <c r="S30" s="3">
        <v>4.0</v>
      </c>
      <c r="T30" s="3" t="s">
        <v>39</v>
      </c>
      <c r="U30" s="3" t="s">
        <v>40</v>
      </c>
      <c r="V30" s="8" t="s">
        <v>118</v>
      </c>
    </row>
    <row r="31">
      <c r="A31" s="7">
        <v>43951.70545451389</v>
      </c>
      <c r="B31" s="3" t="s">
        <v>97</v>
      </c>
      <c r="C31" s="3" t="s">
        <v>119</v>
      </c>
      <c r="D31" s="3"/>
      <c r="E31" s="3" t="s">
        <v>120</v>
      </c>
      <c r="F31" s="3" t="s">
        <v>35</v>
      </c>
      <c r="G31" s="3" t="s">
        <v>48</v>
      </c>
      <c r="H31" s="3" t="str">
        <f t="shared" si="1"/>
        <v>BJJ,MMA,Kickboxing,,,</v>
      </c>
      <c r="I31" s="3" t="s">
        <v>29</v>
      </c>
      <c r="J31" s="3" t="s">
        <v>21</v>
      </c>
      <c r="K31" s="3" t="s">
        <v>24</v>
      </c>
      <c r="L31" s="3"/>
      <c r="M31" s="3"/>
      <c r="N31" s="3"/>
      <c r="O31" s="3" t="s">
        <v>43</v>
      </c>
      <c r="P31" s="3">
        <v>4.0</v>
      </c>
      <c r="Q31" s="3" t="s">
        <v>49</v>
      </c>
      <c r="R31" s="3">
        <v>3.0</v>
      </c>
      <c r="S31" s="3">
        <v>2.0</v>
      </c>
      <c r="T31" s="3" t="s">
        <v>61</v>
      </c>
      <c r="U31" s="3" t="s">
        <v>40</v>
      </c>
      <c r="V31" s="8" t="s">
        <v>121</v>
      </c>
    </row>
    <row r="32">
      <c r="A32" s="7">
        <v>43951.140534687496</v>
      </c>
      <c r="B32" s="3" t="s">
        <v>44</v>
      </c>
      <c r="C32" s="3" t="s">
        <v>122</v>
      </c>
      <c r="D32" s="3"/>
      <c r="E32" s="3" t="s">
        <v>75</v>
      </c>
      <c r="F32" s="3" t="s">
        <v>35</v>
      </c>
      <c r="G32" s="3" t="s">
        <v>48</v>
      </c>
      <c r="H32" s="3" t="str">
        <f t="shared" si="1"/>
        <v>BJJ,MMA,,,,</v>
      </c>
      <c r="I32" s="3" t="s">
        <v>29</v>
      </c>
      <c r="J32" s="3" t="s">
        <v>21</v>
      </c>
      <c r="K32" s="3"/>
      <c r="L32" s="3"/>
      <c r="M32" s="3"/>
      <c r="N32" s="3"/>
      <c r="O32" s="3" t="s">
        <v>76</v>
      </c>
      <c r="P32" s="3">
        <v>1.0</v>
      </c>
      <c r="Q32" s="3" t="s">
        <v>49</v>
      </c>
      <c r="R32" s="3">
        <v>2.0</v>
      </c>
      <c r="S32" s="3">
        <v>5.0</v>
      </c>
      <c r="T32" s="3" t="s">
        <v>61</v>
      </c>
      <c r="U32" s="3" t="s">
        <v>62</v>
      </c>
      <c r="V32" s="8" t="s">
        <v>123</v>
      </c>
    </row>
    <row r="33">
      <c r="A33" s="7">
        <v>43951.544909108794</v>
      </c>
      <c r="B33" s="3" t="s">
        <v>71</v>
      </c>
      <c r="C33" s="3" t="s">
        <v>124</v>
      </c>
      <c r="D33" s="3" t="s">
        <v>124</v>
      </c>
      <c r="E33" s="3" t="s">
        <v>80</v>
      </c>
      <c r="F33" s="3" t="s">
        <v>35</v>
      </c>
      <c r="G33" s="3" t="s">
        <v>48</v>
      </c>
      <c r="H33" s="3" t="str">
        <f t="shared" si="1"/>
        <v>BJJ,MMA,Kickboxing,,,</v>
      </c>
      <c r="I33" s="3" t="s">
        <v>29</v>
      </c>
      <c r="J33" s="3" t="s">
        <v>21</v>
      </c>
      <c r="K33" s="3" t="s">
        <v>24</v>
      </c>
      <c r="L33" s="3"/>
      <c r="M33" s="3"/>
      <c r="N33" s="3"/>
      <c r="O33" s="3" t="s">
        <v>43</v>
      </c>
      <c r="P33" s="3">
        <v>2.0</v>
      </c>
      <c r="Q33" s="3" t="s">
        <v>38</v>
      </c>
      <c r="R33" s="3">
        <v>4.0</v>
      </c>
      <c r="S33" s="3">
        <v>5.0</v>
      </c>
      <c r="T33" s="3" t="s">
        <v>39</v>
      </c>
      <c r="U33" s="3" t="s">
        <v>40</v>
      </c>
      <c r="V33" s="8" t="s">
        <v>125</v>
      </c>
    </row>
    <row r="34">
      <c r="A34" s="7">
        <v>43951.875126134255</v>
      </c>
      <c r="B34" s="3" t="s">
        <v>32</v>
      </c>
      <c r="C34" s="3" t="s">
        <v>126</v>
      </c>
      <c r="D34" s="3" t="s">
        <v>127</v>
      </c>
      <c r="E34" s="3"/>
      <c r="F34" s="3" t="s">
        <v>89</v>
      </c>
      <c r="G34" s="3" t="s">
        <v>36</v>
      </c>
      <c r="H34" s="3" t="str">
        <f t="shared" si="1"/>
        <v>BJJ,MMA,,,,</v>
      </c>
      <c r="I34" s="3" t="s">
        <v>29</v>
      </c>
      <c r="J34" s="3" t="s">
        <v>21</v>
      </c>
      <c r="K34" s="3"/>
      <c r="L34" s="3"/>
      <c r="M34" s="3"/>
      <c r="N34" s="3"/>
      <c r="O34" s="3" t="s">
        <v>76</v>
      </c>
      <c r="P34" s="3">
        <v>1.0</v>
      </c>
      <c r="Q34" s="3" t="s">
        <v>38</v>
      </c>
      <c r="R34" s="3">
        <v>4.0</v>
      </c>
      <c r="S34" s="3">
        <v>4.0</v>
      </c>
      <c r="T34" s="3" t="s">
        <v>39</v>
      </c>
      <c r="U34" s="3" t="s">
        <v>87</v>
      </c>
      <c r="V34" s="6"/>
    </row>
    <row r="35">
      <c r="A35" s="7">
        <v>43952.18274773148</v>
      </c>
      <c r="B35" s="3" t="s">
        <v>44</v>
      </c>
      <c r="C35" s="3" t="s">
        <v>128</v>
      </c>
      <c r="D35" s="3"/>
      <c r="E35" s="3"/>
      <c r="F35" s="3" t="s">
        <v>128</v>
      </c>
      <c r="G35" s="3" t="s">
        <v>48</v>
      </c>
      <c r="H35" s="3" t="str">
        <f t="shared" si="1"/>
        <v>BJJ,MMA,Kickboxing,,,</v>
      </c>
      <c r="I35" s="3" t="s">
        <v>29</v>
      </c>
      <c r="J35" s="3" t="s">
        <v>21</v>
      </c>
      <c r="K35" s="3" t="s">
        <v>24</v>
      </c>
      <c r="L35" s="3"/>
      <c r="M35" s="3"/>
      <c r="N35" s="3"/>
      <c r="O35" s="3" t="s">
        <v>76</v>
      </c>
      <c r="P35" s="3">
        <v>1.0</v>
      </c>
      <c r="Q35" s="3" t="s">
        <v>49</v>
      </c>
      <c r="R35" s="3">
        <v>2.0</v>
      </c>
      <c r="S35" s="3">
        <v>5.0</v>
      </c>
      <c r="T35" s="3" t="s">
        <v>39</v>
      </c>
      <c r="U35" s="3" t="s">
        <v>40</v>
      </c>
      <c r="V35" s="6"/>
    </row>
    <row r="36">
      <c r="A36" s="7">
        <v>43952.20689530093</v>
      </c>
      <c r="B36" s="3" t="s">
        <v>32</v>
      </c>
      <c r="C36" s="3" t="s">
        <v>129</v>
      </c>
      <c r="D36" s="3"/>
      <c r="E36" s="3"/>
      <c r="F36" s="3" t="s">
        <v>128</v>
      </c>
      <c r="G36" s="3" t="s">
        <v>36</v>
      </c>
      <c r="H36" s="3" t="str">
        <f t="shared" si="1"/>
        <v>BJJ,MMA,,,,</v>
      </c>
      <c r="I36" s="3" t="s">
        <v>29</v>
      </c>
      <c r="J36" s="3" t="s">
        <v>21</v>
      </c>
      <c r="K36" s="3"/>
      <c r="L36" s="3"/>
      <c r="M36" s="3"/>
      <c r="N36" s="3"/>
      <c r="O36" s="3" t="s">
        <v>37</v>
      </c>
      <c r="P36" s="3">
        <v>1.0</v>
      </c>
      <c r="Q36" s="3" t="s">
        <v>49</v>
      </c>
      <c r="R36" s="3">
        <v>1.0</v>
      </c>
      <c r="S36" s="3">
        <v>5.0</v>
      </c>
      <c r="T36" s="3" t="s">
        <v>39</v>
      </c>
      <c r="U36" s="3" t="s">
        <v>40</v>
      </c>
      <c r="V36" s="8" t="s">
        <v>130</v>
      </c>
    </row>
    <row r="37">
      <c r="A37" s="7">
        <v>43951.57676340277</v>
      </c>
      <c r="B37" s="3" t="s">
        <v>71</v>
      </c>
      <c r="C37" s="3" t="s">
        <v>131</v>
      </c>
      <c r="D37" s="3"/>
      <c r="E37" s="3"/>
      <c r="F37" s="3" t="s">
        <v>132</v>
      </c>
      <c r="G37" s="3" t="s">
        <v>48</v>
      </c>
      <c r="H37" s="3" t="str">
        <f t="shared" si="1"/>
        <v>BJJ,MMA,Kickboxing,,,</v>
      </c>
      <c r="I37" s="3" t="s">
        <v>29</v>
      </c>
      <c r="J37" s="3" t="s">
        <v>21</v>
      </c>
      <c r="K37" s="3" t="s">
        <v>24</v>
      </c>
      <c r="L37" s="3"/>
      <c r="M37" s="3"/>
      <c r="N37" s="3"/>
      <c r="O37" s="3" t="s">
        <v>37</v>
      </c>
      <c r="P37" s="3">
        <v>1.0</v>
      </c>
      <c r="Q37" s="3" t="s">
        <v>49</v>
      </c>
      <c r="R37" s="3">
        <v>1.0</v>
      </c>
      <c r="S37" s="3">
        <v>3.0</v>
      </c>
      <c r="T37" s="3" t="s">
        <v>39</v>
      </c>
      <c r="U37" s="3" t="s">
        <v>40</v>
      </c>
      <c r="V37" s="8" t="s">
        <v>133</v>
      </c>
    </row>
    <row r="38">
      <c r="A38" s="7">
        <v>43952.12414143518</v>
      </c>
      <c r="B38" s="3" t="s">
        <v>32</v>
      </c>
      <c r="C38" s="3" t="s">
        <v>134</v>
      </c>
      <c r="D38" s="3" t="s">
        <v>135</v>
      </c>
      <c r="E38" s="3"/>
      <c r="F38" s="3" t="s">
        <v>136</v>
      </c>
      <c r="G38" s="3" t="s">
        <v>48</v>
      </c>
      <c r="H38" s="3" t="str">
        <f t="shared" si="1"/>
        <v>BJJ,MMA,,,,</v>
      </c>
      <c r="I38" s="3" t="s">
        <v>29</v>
      </c>
      <c r="J38" s="3" t="s">
        <v>21</v>
      </c>
      <c r="K38" s="3"/>
      <c r="L38" s="3"/>
      <c r="M38" s="3"/>
      <c r="N38" s="3"/>
      <c r="O38" s="3" t="s">
        <v>37</v>
      </c>
      <c r="P38" s="3">
        <v>1.0</v>
      </c>
      <c r="Q38" s="3" t="s">
        <v>38</v>
      </c>
      <c r="R38" s="3">
        <v>2.0</v>
      </c>
      <c r="S38" s="3">
        <v>5.0</v>
      </c>
      <c r="T38" s="3" t="s">
        <v>61</v>
      </c>
      <c r="U38" s="3" t="s">
        <v>62</v>
      </c>
      <c r="V38" s="6"/>
    </row>
    <row r="39">
      <c r="A39" s="7">
        <v>43952.60820873843</v>
      </c>
      <c r="B39" s="3" t="s">
        <v>32</v>
      </c>
      <c r="C39" s="3" t="s">
        <v>101</v>
      </c>
      <c r="E39" s="3" t="s">
        <v>101</v>
      </c>
      <c r="F39" s="3" t="s">
        <v>35</v>
      </c>
      <c r="H39" s="3" t="str">
        <f t="shared" si="1"/>
        <v>BJJ,Muay Thai,MMA,Kickboxing,,</v>
      </c>
      <c r="I39" s="3" t="s">
        <v>29</v>
      </c>
      <c r="J39" s="3" t="s">
        <v>14</v>
      </c>
      <c r="K39" s="3" t="s">
        <v>21</v>
      </c>
      <c r="L39" s="3" t="s">
        <v>24</v>
      </c>
      <c r="M39" s="3"/>
      <c r="N39" s="3"/>
      <c r="O39" s="3" t="s">
        <v>76</v>
      </c>
      <c r="P39" s="3">
        <v>1.0</v>
      </c>
      <c r="Q39" s="3" t="s">
        <v>38</v>
      </c>
      <c r="R39" s="3">
        <v>3.0</v>
      </c>
      <c r="S39" s="3">
        <v>4.0</v>
      </c>
      <c r="T39" s="3" t="s">
        <v>61</v>
      </c>
      <c r="U39" s="3" t="s">
        <v>62</v>
      </c>
      <c r="V39" s="6"/>
    </row>
    <row r="40">
      <c r="A40" s="7">
        <v>43951.77425974537</v>
      </c>
      <c r="B40" s="3" t="s">
        <v>97</v>
      </c>
      <c r="C40" s="3" t="s">
        <v>103</v>
      </c>
      <c r="D40" s="3"/>
      <c r="E40" s="3" t="s">
        <v>103</v>
      </c>
      <c r="F40" s="3" t="s">
        <v>103</v>
      </c>
      <c r="G40" s="3" t="s">
        <v>48</v>
      </c>
      <c r="H40" s="3" t="str">
        <f t="shared" si="1"/>
        <v>BJJ,Muay Thai,Wrestling,MMA,Kickboxing,</v>
      </c>
      <c r="I40" s="3" t="s">
        <v>29</v>
      </c>
      <c r="J40" s="3" t="s">
        <v>14</v>
      </c>
      <c r="K40" s="3" t="s">
        <v>31</v>
      </c>
      <c r="L40" s="3" t="s">
        <v>21</v>
      </c>
      <c r="M40" s="3" t="s">
        <v>24</v>
      </c>
      <c r="N40" s="3"/>
      <c r="O40" s="3" t="s">
        <v>76</v>
      </c>
      <c r="P40" s="3">
        <v>1.0</v>
      </c>
      <c r="Q40" s="3" t="s">
        <v>111</v>
      </c>
      <c r="R40" s="3">
        <v>5.0</v>
      </c>
      <c r="S40" s="3">
        <v>1.0</v>
      </c>
      <c r="T40" s="3" t="s">
        <v>39</v>
      </c>
      <c r="U40" s="3" t="s">
        <v>40</v>
      </c>
      <c r="V40" s="8" t="s">
        <v>137</v>
      </c>
    </row>
    <row r="41">
      <c r="A41" s="7">
        <v>43950.747615416665</v>
      </c>
      <c r="B41" s="3" t="s">
        <v>32</v>
      </c>
      <c r="C41" s="3" t="s">
        <v>110</v>
      </c>
      <c r="D41" s="3" t="s">
        <v>110</v>
      </c>
      <c r="E41" s="3" t="s">
        <v>103</v>
      </c>
      <c r="F41" s="3" t="s">
        <v>35</v>
      </c>
      <c r="G41" s="3" t="s">
        <v>36</v>
      </c>
      <c r="H41" s="3" t="str">
        <f t="shared" si="1"/>
        <v>BJJ,Muay Thai,,,,</v>
      </c>
      <c r="I41" s="3" t="s">
        <v>29</v>
      </c>
      <c r="J41" s="3" t="s">
        <v>14</v>
      </c>
      <c r="K41" s="3"/>
      <c r="L41" s="3"/>
      <c r="M41" s="3"/>
      <c r="N41" s="3"/>
      <c r="O41" s="3" t="s">
        <v>37</v>
      </c>
      <c r="P41" s="3">
        <v>1.0</v>
      </c>
      <c r="Q41" s="3" t="s">
        <v>49</v>
      </c>
      <c r="R41" s="3">
        <v>3.0</v>
      </c>
      <c r="S41" s="3">
        <v>5.0</v>
      </c>
      <c r="T41" s="3" t="s">
        <v>39</v>
      </c>
      <c r="U41" s="3" t="s">
        <v>40</v>
      </c>
      <c r="V41" s="6"/>
    </row>
    <row r="42">
      <c r="A42" s="7">
        <v>43952.451784467594</v>
      </c>
      <c r="B42" s="3" t="s">
        <v>44</v>
      </c>
      <c r="C42" s="3" t="s">
        <v>138</v>
      </c>
      <c r="D42" s="3" t="s">
        <v>138</v>
      </c>
      <c r="E42" s="3" t="s">
        <v>139</v>
      </c>
      <c r="F42" s="3" t="s">
        <v>35</v>
      </c>
      <c r="G42" s="3" t="s">
        <v>48</v>
      </c>
      <c r="H42" s="3" t="str">
        <f t="shared" si="1"/>
        <v>BJJ,Muay Thai,Wrestling,,,</v>
      </c>
      <c r="I42" s="3" t="s">
        <v>29</v>
      </c>
      <c r="J42" s="3" t="s">
        <v>14</v>
      </c>
      <c r="K42" s="3" t="s">
        <v>31</v>
      </c>
      <c r="L42" s="3"/>
      <c r="M42" s="3"/>
      <c r="N42" s="3"/>
      <c r="O42" s="3" t="s">
        <v>43</v>
      </c>
      <c r="P42" s="3">
        <v>2.0</v>
      </c>
      <c r="Q42" s="3" t="s">
        <v>49</v>
      </c>
      <c r="R42" s="3">
        <v>3.0</v>
      </c>
      <c r="S42" s="3">
        <v>4.0</v>
      </c>
      <c r="T42" s="3" t="s">
        <v>39</v>
      </c>
      <c r="U42" s="3" t="s">
        <v>53</v>
      </c>
      <c r="V42" s="6"/>
    </row>
    <row r="43">
      <c r="A43" s="7">
        <v>43950.774342476856</v>
      </c>
      <c r="B43" s="3" t="s">
        <v>97</v>
      </c>
      <c r="C43" s="3" t="s">
        <v>140</v>
      </c>
      <c r="D43" s="3" t="s">
        <v>141</v>
      </c>
      <c r="E43" s="3" t="s">
        <v>142</v>
      </c>
      <c r="F43" s="3" t="s">
        <v>35</v>
      </c>
      <c r="G43" s="3" t="s">
        <v>48</v>
      </c>
      <c r="H43" s="3" t="str">
        <f t="shared" si="1"/>
        <v>BJJ,Muay Thai,MMA,,,</v>
      </c>
      <c r="I43" s="3" t="s">
        <v>29</v>
      </c>
      <c r="J43" s="3" t="s">
        <v>14</v>
      </c>
      <c r="K43" s="3" t="s">
        <v>21</v>
      </c>
      <c r="L43" s="3"/>
      <c r="M43" s="3"/>
      <c r="N43" s="3"/>
      <c r="O43" s="3" t="s">
        <v>76</v>
      </c>
      <c r="P43" s="3">
        <v>1.0</v>
      </c>
      <c r="Q43" s="3" t="s">
        <v>49</v>
      </c>
      <c r="R43" s="3">
        <v>3.0</v>
      </c>
      <c r="S43" s="3">
        <v>4.0</v>
      </c>
      <c r="T43" s="3" t="s">
        <v>39</v>
      </c>
      <c r="U43" s="3" t="s">
        <v>40</v>
      </c>
      <c r="V43" s="8" t="s">
        <v>143</v>
      </c>
    </row>
    <row r="44">
      <c r="A44" s="7">
        <v>43951.86204943287</v>
      </c>
      <c r="B44" s="3" t="s">
        <v>32</v>
      </c>
      <c r="C44" s="3" t="s">
        <v>144</v>
      </c>
      <c r="D44" s="3" t="s">
        <v>145</v>
      </c>
      <c r="E44" s="3" t="s">
        <v>146</v>
      </c>
      <c r="F44" s="3" t="s">
        <v>35</v>
      </c>
      <c r="G44" s="3" t="s">
        <v>48</v>
      </c>
      <c r="H44" s="3" t="str">
        <f t="shared" si="1"/>
        <v>BJJ,Muay Thai,Kickboxing,,,</v>
      </c>
      <c r="I44" s="3" t="s">
        <v>29</v>
      </c>
      <c r="J44" s="3" t="s">
        <v>14</v>
      </c>
      <c r="K44" s="3" t="s">
        <v>24</v>
      </c>
      <c r="L44" s="3"/>
      <c r="M44" s="3"/>
      <c r="N44" s="3"/>
      <c r="O44" s="3" t="s">
        <v>76</v>
      </c>
      <c r="P44" s="3">
        <v>1.0</v>
      </c>
      <c r="Q44" s="3" t="s">
        <v>38</v>
      </c>
      <c r="R44" s="3">
        <v>5.0</v>
      </c>
      <c r="S44" s="3">
        <v>2.0</v>
      </c>
      <c r="T44" s="3" t="s">
        <v>39</v>
      </c>
      <c r="U44" s="3" t="s">
        <v>53</v>
      </c>
      <c r="V44" s="8" t="s">
        <v>147</v>
      </c>
    </row>
    <row r="45">
      <c r="A45" s="7">
        <v>43952.66258016204</v>
      </c>
      <c r="B45" s="3" t="s">
        <v>97</v>
      </c>
      <c r="C45" s="3" t="s">
        <v>148</v>
      </c>
      <c r="D45" s="3" t="s">
        <v>145</v>
      </c>
      <c r="E45" s="3" t="s">
        <v>146</v>
      </c>
      <c r="F45" s="3" t="s">
        <v>35</v>
      </c>
      <c r="G45" s="3" t="s">
        <v>48</v>
      </c>
      <c r="H45" s="3" t="str">
        <f t="shared" si="1"/>
        <v>BJJ,Muay Thai,Wrestling,MMA,Kickboxing,</v>
      </c>
      <c r="I45" s="3" t="s">
        <v>29</v>
      </c>
      <c r="J45" s="3" t="s">
        <v>14</v>
      </c>
      <c r="K45" s="3" t="s">
        <v>31</v>
      </c>
      <c r="L45" s="3" t="s">
        <v>21</v>
      </c>
      <c r="M45" s="3" t="s">
        <v>24</v>
      </c>
      <c r="N45" s="3"/>
      <c r="O45" s="3" t="s">
        <v>37</v>
      </c>
      <c r="P45" s="3">
        <v>1.0</v>
      </c>
      <c r="Q45" s="3" t="s">
        <v>49</v>
      </c>
      <c r="R45" s="3">
        <v>3.0</v>
      </c>
      <c r="S45" s="3">
        <v>2.0</v>
      </c>
      <c r="T45" s="3" t="s">
        <v>39</v>
      </c>
      <c r="U45" s="3" t="s">
        <v>40</v>
      </c>
      <c r="V45" s="8" t="s">
        <v>149</v>
      </c>
    </row>
    <row r="46">
      <c r="A46" s="7">
        <v>43951.92150298611</v>
      </c>
      <c r="B46" s="3" t="s">
        <v>32</v>
      </c>
      <c r="C46" s="3" t="s">
        <v>150</v>
      </c>
      <c r="D46" s="3"/>
      <c r="E46" s="3" t="s">
        <v>151</v>
      </c>
      <c r="F46" s="3" t="s">
        <v>35</v>
      </c>
      <c r="G46" s="3" t="s">
        <v>36</v>
      </c>
      <c r="H46" s="3" t="str">
        <f t="shared" si="1"/>
        <v>BJJ,Muay Thai,,,,</v>
      </c>
      <c r="I46" s="3" t="s">
        <v>29</v>
      </c>
      <c r="J46" s="3" t="s">
        <v>14</v>
      </c>
      <c r="K46" s="3"/>
      <c r="L46" s="3"/>
      <c r="M46" s="3"/>
      <c r="N46" s="3"/>
      <c r="O46" s="3" t="s">
        <v>76</v>
      </c>
      <c r="P46" s="3">
        <v>1.0</v>
      </c>
      <c r="Q46" s="3" t="s">
        <v>38</v>
      </c>
      <c r="R46" s="3">
        <v>4.0</v>
      </c>
      <c r="S46" s="3">
        <v>2.0</v>
      </c>
      <c r="T46" s="3" t="s">
        <v>39</v>
      </c>
      <c r="U46" s="3" t="s">
        <v>53</v>
      </c>
      <c r="V46" s="8" t="s">
        <v>152</v>
      </c>
    </row>
    <row r="47">
      <c r="A47" s="7">
        <v>43950.504652303236</v>
      </c>
      <c r="B47" s="3" t="s">
        <v>44</v>
      </c>
      <c r="C47" s="3" t="s">
        <v>153</v>
      </c>
      <c r="D47" s="3" t="s">
        <v>59</v>
      </c>
      <c r="E47" s="3" t="s">
        <v>60</v>
      </c>
      <c r="F47" s="3" t="s">
        <v>35</v>
      </c>
      <c r="G47" s="3" t="s">
        <v>36</v>
      </c>
      <c r="H47" s="3" t="str">
        <f t="shared" si="1"/>
        <v>BJJ,Muay Thai,Kickboxing,,,</v>
      </c>
      <c r="I47" s="3" t="s">
        <v>29</v>
      </c>
      <c r="J47" s="3" t="s">
        <v>14</v>
      </c>
      <c r="K47" s="3" t="s">
        <v>24</v>
      </c>
      <c r="L47" s="3"/>
      <c r="M47" s="3"/>
      <c r="N47" s="3"/>
      <c r="O47" s="3" t="s">
        <v>43</v>
      </c>
      <c r="P47" s="3">
        <v>5.0</v>
      </c>
      <c r="Q47" s="3" t="s">
        <v>49</v>
      </c>
      <c r="R47" s="3">
        <v>3.0</v>
      </c>
      <c r="S47" s="3">
        <v>4.0</v>
      </c>
      <c r="T47" s="3" t="s">
        <v>39</v>
      </c>
      <c r="U47" s="3" t="s">
        <v>40</v>
      </c>
      <c r="V47" s="8" t="s">
        <v>154</v>
      </c>
    </row>
    <row r="48">
      <c r="A48" s="7">
        <v>43950.561340706015</v>
      </c>
      <c r="B48" s="3" t="s">
        <v>44</v>
      </c>
      <c r="C48" s="3" t="s">
        <v>155</v>
      </c>
      <c r="D48" s="3" t="s">
        <v>59</v>
      </c>
      <c r="E48" s="3" t="s">
        <v>60</v>
      </c>
      <c r="F48" s="3" t="s">
        <v>35</v>
      </c>
      <c r="G48" s="3" t="s">
        <v>48</v>
      </c>
      <c r="H48" s="3" t="str">
        <f t="shared" si="1"/>
        <v>BJJ,Muay Thai,,,,</v>
      </c>
      <c r="I48" s="3" t="s">
        <v>29</v>
      </c>
      <c r="J48" s="3" t="s">
        <v>14</v>
      </c>
      <c r="K48" s="3"/>
      <c r="L48" s="3"/>
      <c r="M48" s="3"/>
      <c r="N48" s="3"/>
      <c r="O48" s="3" t="s">
        <v>43</v>
      </c>
      <c r="P48" s="3">
        <v>5.0</v>
      </c>
      <c r="Q48" s="3" t="s">
        <v>38</v>
      </c>
      <c r="R48" s="3">
        <v>2.0</v>
      </c>
      <c r="S48" s="3">
        <v>4.0</v>
      </c>
      <c r="T48" s="3" t="s">
        <v>39</v>
      </c>
      <c r="U48" s="3" t="s">
        <v>40</v>
      </c>
      <c r="V48" s="8" t="s">
        <v>156</v>
      </c>
    </row>
    <row r="49">
      <c r="A49" s="7">
        <v>43951.51951521991</v>
      </c>
      <c r="B49" s="3" t="s">
        <v>44</v>
      </c>
      <c r="C49" s="3" t="s">
        <v>157</v>
      </c>
      <c r="D49" s="3" t="s">
        <v>158</v>
      </c>
      <c r="E49" s="3" t="s">
        <v>60</v>
      </c>
      <c r="F49" s="3"/>
      <c r="G49" s="3" t="s">
        <v>48</v>
      </c>
      <c r="H49" s="3" t="str">
        <f t="shared" si="1"/>
        <v>BJJ,Muay Thai,MMA,Kickboxing,,</v>
      </c>
      <c r="I49" s="3" t="s">
        <v>29</v>
      </c>
      <c r="J49" s="3" t="s">
        <v>14</v>
      </c>
      <c r="K49" s="3" t="s">
        <v>21</v>
      </c>
      <c r="L49" s="3" t="s">
        <v>24</v>
      </c>
      <c r="M49" s="3"/>
      <c r="N49" s="3"/>
      <c r="O49" s="3" t="s">
        <v>76</v>
      </c>
      <c r="P49" s="3">
        <v>1.0</v>
      </c>
      <c r="Q49" s="3" t="s">
        <v>38</v>
      </c>
      <c r="R49" s="3">
        <v>4.0</v>
      </c>
      <c r="S49" s="3">
        <v>4.0</v>
      </c>
      <c r="T49" s="3" t="s">
        <v>39</v>
      </c>
      <c r="U49" s="3" t="s">
        <v>40</v>
      </c>
      <c r="V49" s="6"/>
    </row>
    <row r="50">
      <c r="A50" s="7">
        <v>43951.75391605324</v>
      </c>
      <c r="B50" s="3" t="s">
        <v>44</v>
      </c>
      <c r="C50" s="3" t="s">
        <v>159</v>
      </c>
      <c r="D50" s="3" t="s">
        <v>160</v>
      </c>
      <c r="E50" s="3" t="s">
        <v>60</v>
      </c>
      <c r="F50" s="3"/>
      <c r="G50" s="3" t="s">
        <v>48</v>
      </c>
      <c r="H50" s="3" t="str">
        <f t="shared" si="1"/>
        <v>BJJ,Muay Thai,,,,</v>
      </c>
      <c r="I50" s="3" t="s">
        <v>29</v>
      </c>
      <c r="J50" s="3" t="s">
        <v>14</v>
      </c>
      <c r="K50" s="3"/>
      <c r="L50" s="3"/>
      <c r="M50" s="3"/>
      <c r="N50" s="3"/>
      <c r="O50" s="3" t="s">
        <v>76</v>
      </c>
      <c r="P50" s="3">
        <v>1.0</v>
      </c>
      <c r="Q50" s="3" t="s">
        <v>49</v>
      </c>
      <c r="R50" s="3">
        <v>1.0</v>
      </c>
      <c r="S50" s="3">
        <v>5.0</v>
      </c>
      <c r="T50" s="3" t="s">
        <v>39</v>
      </c>
      <c r="U50" s="3" t="s">
        <v>40</v>
      </c>
      <c r="V50" s="6"/>
    </row>
    <row r="51">
      <c r="A51" s="7">
        <v>43952.26079572916</v>
      </c>
      <c r="B51" s="3" t="s">
        <v>32</v>
      </c>
      <c r="C51" s="3" t="s">
        <v>161</v>
      </c>
      <c r="D51" s="3"/>
      <c r="E51" s="3" t="s">
        <v>162</v>
      </c>
      <c r="F51" s="3" t="s">
        <v>35</v>
      </c>
      <c r="G51" s="3" t="s">
        <v>36</v>
      </c>
      <c r="H51" s="3" t="str">
        <f t="shared" si="1"/>
        <v>BJJ,Muay Thai,,,,</v>
      </c>
      <c r="I51" s="3" t="s">
        <v>29</v>
      </c>
      <c r="J51" s="3" t="s">
        <v>14</v>
      </c>
      <c r="K51" s="3"/>
      <c r="L51" s="3"/>
      <c r="M51" s="3"/>
      <c r="N51" s="3"/>
      <c r="O51" s="3" t="s">
        <v>76</v>
      </c>
      <c r="P51" s="3">
        <v>1.0</v>
      </c>
      <c r="Q51" s="3" t="s">
        <v>49</v>
      </c>
      <c r="R51" s="3">
        <v>2.0</v>
      </c>
      <c r="S51" s="3">
        <v>4.0</v>
      </c>
      <c r="T51" s="3" t="s">
        <v>39</v>
      </c>
      <c r="U51" s="3" t="s">
        <v>40</v>
      </c>
      <c r="V51" s="6"/>
    </row>
    <row r="52">
      <c r="A52" s="7">
        <v>43950.63678775463</v>
      </c>
      <c r="B52" s="3" t="s">
        <v>71</v>
      </c>
      <c r="C52" s="3" t="s">
        <v>163</v>
      </c>
      <c r="D52" s="3" t="s">
        <v>164</v>
      </c>
      <c r="E52" s="3" t="s">
        <v>165</v>
      </c>
      <c r="F52" s="3" t="s">
        <v>35</v>
      </c>
      <c r="G52" s="3" t="s">
        <v>48</v>
      </c>
      <c r="H52" s="3" t="str">
        <f t="shared" si="1"/>
        <v>BJJ,Muay Thai,MMA,,,</v>
      </c>
      <c r="I52" s="3" t="s">
        <v>29</v>
      </c>
      <c r="J52" s="3" t="s">
        <v>14</v>
      </c>
      <c r="K52" s="3" t="s">
        <v>21</v>
      </c>
      <c r="L52" s="3"/>
      <c r="M52" s="3"/>
      <c r="N52" s="3"/>
      <c r="O52" s="3" t="s">
        <v>55</v>
      </c>
      <c r="P52" s="3">
        <v>1.0</v>
      </c>
      <c r="Q52" s="3" t="s">
        <v>49</v>
      </c>
      <c r="R52" s="3">
        <v>1.0</v>
      </c>
      <c r="S52" s="3">
        <v>5.0</v>
      </c>
      <c r="T52" s="3" t="s">
        <v>39</v>
      </c>
      <c r="U52" s="3" t="s">
        <v>40</v>
      </c>
      <c r="V52" s="8" t="s">
        <v>166</v>
      </c>
    </row>
    <row r="53">
      <c r="A53" s="7">
        <v>43950.46400335648</v>
      </c>
      <c r="B53" s="3" t="s">
        <v>32</v>
      </c>
      <c r="C53" s="3" t="s">
        <v>167</v>
      </c>
      <c r="D53" s="3" t="s">
        <v>83</v>
      </c>
      <c r="E53" s="3" t="s">
        <v>120</v>
      </c>
      <c r="F53" s="3" t="s">
        <v>35</v>
      </c>
      <c r="G53" s="3" t="s">
        <v>36</v>
      </c>
      <c r="H53" s="3" t="str">
        <f t="shared" si="1"/>
        <v>BJJ,Muay Thai,Judo,,,</v>
      </c>
      <c r="I53" s="3" t="s">
        <v>29</v>
      </c>
      <c r="J53" s="3" t="s">
        <v>14</v>
      </c>
      <c r="K53" s="3" t="s">
        <v>27</v>
      </c>
      <c r="L53" s="3"/>
      <c r="M53" s="3"/>
      <c r="N53" s="3"/>
      <c r="O53" s="3" t="s">
        <v>43</v>
      </c>
      <c r="P53" s="3">
        <v>1.0</v>
      </c>
      <c r="Q53" s="3" t="s">
        <v>49</v>
      </c>
      <c r="R53" s="3">
        <v>1.0</v>
      </c>
      <c r="S53" s="3">
        <v>5.0</v>
      </c>
      <c r="T53" s="3" t="s">
        <v>39</v>
      </c>
      <c r="U53" s="3" t="s">
        <v>53</v>
      </c>
      <c r="V53" s="6"/>
    </row>
    <row r="54">
      <c r="A54" s="7">
        <v>43950.79594790509</v>
      </c>
      <c r="B54" s="3" t="s">
        <v>71</v>
      </c>
      <c r="C54" s="3" t="s">
        <v>168</v>
      </c>
      <c r="D54" s="3"/>
      <c r="E54" s="3" t="s">
        <v>120</v>
      </c>
      <c r="F54" s="3" t="s">
        <v>35</v>
      </c>
      <c r="G54" s="3" t="s">
        <v>48</v>
      </c>
      <c r="H54" s="3" t="str">
        <f t="shared" si="1"/>
        <v>BJJ,Muay Thai,Wrestling,MMA,Kickboxing,</v>
      </c>
      <c r="I54" s="3" t="s">
        <v>29</v>
      </c>
      <c r="J54" s="3" t="s">
        <v>14</v>
      </c>
      <c r="K54" s="3" t="s">
        <v>31</v>
      </c>
      <c r="L54" s="3" t="s">
        <v>21</v>
      </c>
      <c r="M54" s="3" t="s">
        <v>24</v>
      </c>
      <c r="N54" s="3"/>
      <c r="O54" s="3" t="s">
        <v>76</v>
      </c>
      <c r="P54" s="3">
        <v>1.0</v>
      </c>
      <c r="Q54" s="3" t="s">
        <v>49</v>
      </c>
      <c r="R54" s="3">
        <v>4.0</v>
      </c>
      <c r="S54" s="3">
        <v>3.0</v>
      </c>
      <c r="T54" s="3" t="s">
        <v>169</v>
      </c>
      <c r="U54" s="3" t="s">
        <v>62</v>
      </c>
      <c r="V54" s="8" t="s">
        <v>170</v>
      </c>
    </row>
    <row r="55">
      <c r="A55" s="7">
        <v>43950.58577657407</v>
      </c>
      <c r="B55" s="3" t="s">
        <v>44</v>
      </c>
      <c r="C55" s="3" t="s">
        <v>171</v>
      </c>
      <c r="D55" s="3" t="s">
        <v>172</v>
      </c>
      <c r="E55" s="3" t="s">
        <v>75</v>
      </c>
      <c r="F55" s="3" t="s">
        <v>35</v>
      </c>
      <c r="G55" s="3" t="s">
        <v>48</v>
      </c>
      <c r="H55" s="3" t="str">
        <f t="shared" si="1"/>
        <v>BJJ,Muay Thai,,,,</v>
      </c>
      <c r="I55" s="3" t="s">
        <v>29</v>
      </c>
      <c r="J55" s="3" t="s">
        <v>14</v>
      </c>
      <c r="K55" s="3"/>
      <c r="L55" s="3"/>
      <c r="M55" s="3"/>
      <c r="N55" s="3"/>
      <c r="O55" s="3" t="s">
        <v>76</v>
      </c>
      <c r="P55" s="3">
        <v>1.0</v>
      </c>
      <c r="Q55" s="3" t="s">
        <v>38</v>
      </c>
      <c r="R55" s="3">
        <v>4.0</v>
      </c>
      <c r="S55" s="3">
        <v>3.0</v>
      </c>
      <c r="T55" s="3" t="s">
        <v>39</v>
      </c>
      <c r="U55" s="3" t="s">
        <v>40</v>
      </c>
      <c r="V55" s="8" t="s">
        <v>173</v>
      </c>
    </row>
    <row r="56">
      <c r="A56" s="7">
        <v>43951.5172469213</v>
      </c>
      <c r="B56" s="3" t="s">
        <v>97</v>
      </c>
      <c r="C56" s="3" t="s">
        <v>174</v>
      </c>
      <c r="D56" s="3" t="s">
        <v>172</v>
      </c>
      <c r="E56" s="3" t="s">
        <v>75</v>
      </c>
      <c r="F56" s="3" t="s">
        <v>35</v>
      </c>
      <c r="G56" s="3" t="s">
        <v>48</v>
      </c>
      <c r="H56" s="3" t="str">
        <f t="shared" si="1"/>
        <v>BJJ,Muay Thai,,,,</v>
      </c>
      <c r="I56" s="3" t="s">
        <v>29</v>
      </c>
      <c r="J56" s="3" t="s">
        <v>14</v>
      </c>
      <c r="K56" s="3"/>
      <c r="L56" s="3"/>
      <c r="M56" s="3"/>
      <c r="N56" s="3"/>
      <c r="O56" s="3" t="s">
        <v>55</v>
      </c>
      <c r="P56" s="3">
        <v>1.0</v>
      </c>
      <c r="Q56" s="3" t="s">
        <v>49</v>
      </c>
      <c r="R56" s="3">
        <v>4.0</v>
      </c>
      <c r="S56" s="3">
        <v>4.0</v>
      </c>
      <c r="T56" s="3" t="s">
        <v>39</v>
      </c>
      <c r="U56" s="3" t="s">
        <v>53</v>
      </c>
      <c r="V56" s="8" t="s">
        <v>175</v>
      </c>
    </row>
    <row r="57">
      <c r="A57" s="7">
        <v>43950.96581445602</v>
      </c>
      <c r="B57" s="3" t="s">
        <v>32</v>
      </c>
      <c r="C57" s="3" t="s">
        <v>176</v>
      </c>
      <c r="D57" s="3" t="s">
        <v>176</v>
      </c>
      <c r="E57" s="3" t="s">
        <v>177</v>
      </c>
      <c r="F57" s="3" t="s">
        <v>106</v>
      </c>
      <c r="G57" s="3" t="s">
        <v>48</v>
      </c>
      <c r="H57" s="3" t="str">
        <f t="shared" si="1"/>
        <v>BJJ,Muay Thai,Tae Kwon Do,Kickboxing,,</v>
      </c>
      <c r="I57" s="3" t="s">
        <v>29</v>
      </c>
      <c r="J57" s="3" t="s">
        <v>14</v>
      </c>
      <c r="K57" s="3" t="s">
        <v>178</v>
      </c>
      <c r="L57" s="3" t="s">
        <v>24</v>
      </c>
      <c r="M57" s="3"/>
      <c r="N57" s="3"/>
      <c r="O57" s="3" t="s">
        <v>37</v>
      </c>
      <c r="P57" s="3">
        <v>1.0</v>
      </c>
      <c r="Q57" s="3" t="s">
        <v>49</v>
      </c>
      <c r="R57" s="3">
        <v>3.0</v>
      </c>
      <c r="S57" s="3">
        <v>3.0</v>
      </c>
      <c r="T57" s="3" t="s">
        <v>39</v>
      </c>
      <c r="U57" s="3" t="s">
        <v>40</v>
      </c>
      <c r="V57" s="6"/>
    </row>
    <row r="58">
      <c r="A58" s="7">
        <v>43952.916657939815</v>
      </c>
      <c r="B58" s="3" t="s">
        <v>44</v>
      </c>
      <c r="C58" s="3" t="s">
        <v>89</v>
      </c>
      <c r="D58" s="3"/>
      <c r="E58" s="3"/>
      <c r="F58" s="3" t="s">
        <v>89</v>
      </c>
      <c r="G58" s="3" t="s">
        <v>48</v>
      </c>
      <c r="H58" s="3" t="str">
        <f t="shared" si="1"/>
        <v>BJJ,Muay Thai,MMA,,,</v>
      </c>
      <c r="I58" s="3" t="s">
        <v>29</v>
      </c>
      <c r="J58" s="3" t="s">
        <v>14</v>
      </c>
      <c r="K58" s="3" t="s">
        <v>21</v>
      </c>
      <c r="L58" s="3"/>
      <c r="M58" s="3"/>
      <c r="N58" s="3"/>
      <c r="O58" s="3" t="s">
        <v>55</v>
      </c>
      <c r="P58" s="3">
        <v>2.0</v>
      </c>
      <c r="Q58" s="3" t="s">
        <v>86</v>
      </c>
      <c r="R58" s="3">
        <v>5.0</v>
      </c>
      <c r="S58" s="3">
        <v>1.0</v>
      </c>
      <c r="T58" s="3" t="s">
        <v>39</v>
      </c>
      <c r="U58" s="3" t="s">
        <v>40</v>
      </c>
      <c r="V58" s="8" t="s">
        <v>179</v>
      </c>
    </row>
    <row r="59">
      <c r="A59" s="7">
        <v>43950.471918587966</v>
      </c>
      <c r="B59" s="3" t="s">
        <v>44</v>
      </c>
      <c r="C59" s="3" t="s">
        <v>106</v>
      </c>
      <c r="D59" s="3" t="s">
        <v>83</v>
      </c>
      <c r="E59" s="3"/>
      <c r="F59" s="3" t="s">
        <v>106</v>
      </c>
      <c r="G59" s="3" t="s">
        <v>48</v>
      </c>
      <c r="H59" s="3" t="str">
        <f t="shared" si="1"/>
        <v>BJJ,Muay Thai,Judo,Wrestling,MMA,Kickboxing</v>
      </c>
      <c r="I59" s="3" t="s">
        <v>29</v>
      </c>
      <c r="J59" s="3" t="s">
        <v>14</v>
      </c>
      <c r="K59" s="3" t="s">
        <v>27</v>
      </c>
      <c r="L59" s="3" t="s">
        <v>31</v>
      </c>
      <c r="M59" s="3" t="s">
        <v>21</v>
      </c>
      <c r="N59" s="3" t="s">
        <v>24</v>
      </c>
      <c r="O59" s="3" t="s">
        <v>43</v>
      </c>
      <c r="P59" s="3">
        <v>1.0</v>
      </c>
      <c r="Q59" s="3" t="s">
        <v>49</v>
      </c>
      <c r="R59" s="3">
        <v>1.0</v>
      </c>
      <c r="S59" s="3">
        <v>5.0</v>
      </c>
      <c r="T59" s="3" t="s">
        <v>39</v>
      </c>
      <c r="U59" s="3" t="s">
        <v>40</v>
      </c>
      <c r="V59" s="8" t="s">
        <v>180</v>
      </c>
    </row>
    <row r="60">
      <c r="A60" s="7">
        <v>43950.54206245371</v>
      </c>
      <c r="B60" s="3" t="s">
        <v>97</v>
      </c>
      <c r="C60" s="3" t="s">
        <v>106</v>
      </c>
      <c r="D60" s="3" t="s">
        <v>83</v>
      </c>
      <c r="E60" s="3"/>
      <c r="F60" s="3" t="s">
        <v>106</v>
      </c>
      <c r="G60" s="3" t="s">
        <v>48</v>
      </c>
      <c r="H60" s="3" t="str">
        <f t="shared" si="1"/>
        <v>BJJ,Muay Thai,,,,</v>
      </c>
      <c r="I60" s="3" t="s">
        <v>29</v>
      </c>
      <c r="J60" s="3" t="s">
        <v>14</v>
      </c>
      <c r="K60" s="3"/>
      <c r="L60" s="3"/>
      <c r="M60" s="3"/>
      <c r="N60" s="3"/>
      <c r="O60" s="3" t="s">
        <v>76</v>
      </c>
      <c r="P60" s="3">
        <v>1.0</v>
      </c>
      <c r="Q60" s="3" t="s">
        <v>38</v>
      </c>
      <c r="R60" s="3">
        <v>2.0</v>
      </c>
      <c r="S60" s="3">
        <v>5.0</v>
      </c>
      <c r="T60" s="3" t="s">
        <v>61</v>
      </c>
      <c r="U60" s="3" t="s">
        <v>62</v>
      </c>
      <c r="V60" s="6"/>
    </row>
    <row r="61">
      <c r="A61" s="7">
        <v>43951.73353837963</v>
      </c>
      <c r="B61" s="3" t="s">
        <v>44</v>
      </c>
      <c r="C61" s="3" t="s">
        <v>106</v>
      </c>
      <c r="D61" s="3"/>
      <c r="E61" s="3"/>
      <c r="F61" s="3" t="s">
        <v>106</v>
      </c>
      <c r="G61" s="3" t="s">
        <v>48</v>
      </c>
      <c r="H61" s="3" t="str">
        <f t="shared" si="1"/>
        <v>BJJ,Muay Thai,,,,</v>
      </c>
      <c r="I61" s="3" t="s">
        <v>29</v>
      </c>
      <c r="J61" s="3" t="s">
        <v>14</v>
      </c>
      <c r="K61" s="3"/>
      <c r="L61" s="3"/>
      <c r="M61" s="3"/>
      <c r="N61" s="3"/>
      <c r="O61" s="3" t="s">
        <v>43</v>
      </c>
      <c r="P61" s="3">
        <v>1.0</v>
      </c>
      <c r="Q61" s="3" t="s">
        <v>49</v>
      </c>
      <c r="R61" s="3">
        <v>4.0</v>
      </c>
      <c r="S61" s="3">
        <v>3.0</v>
      </c>
      <c r="T61" s="3" t="s">
        <v>39</v>
      </c>
      <c r="U61" s="3" t="s">
        <v>40</v>
      </c>
      <c r="V61" s="6"/>
    </row>
    <row r="62">
      <c r="A62" s="7">
        <v>43951.77617079861</v>
      </c>
      <c r="B62" s="3" t="s">
        <v>44</v>
      </c>
      <c r="C62" s="3" t="s">
        <v>106</v>
      </c>
      <c r="D62" s="3"/>
      <c r="E62" s="3"/>
      <c r="F62" s="3" t="s">
        <v>106</v>
      </c>
      <c r="G62" s="3" t="s">
        <v>36</v>
      </c>
      <c r="H62" s="3" t="str">
        <f t="shared" si="1"/>
        <v>BJJ,Muay Thai,,,,</v>
      </c>
      <c r="I62" s="3" t="s">
        <v>29</v>
      </c>
      <c r="J62" s="3" t="s">
        <v>14</v>
      </c>
      <c r="K62" s="3"/>
      <c r="L62" s="3"/>
      <c r="M62" s="3"/>
      <c r="N62" s="3"/>
      <c r="O62" s="3" t="s">
        <v>37</v>
      </c>
      <c r="P62" s="3">
        <v>2.0</v>
      </c>
      <c r="Q62" s="3" t="s">
        <v>49</v>
      </c>
      <c r="R62" s="3">
        <v>1.0</v>
      </c>
      <c r="S62" s="3">
        <v>5.0</v>
      </c>
      <c r="T62" s="3" t="s">
        <v>39</v>
      </c>
      <c r="U62" s="3" t="s">
        <v>40</v>
      </c>
      <c r="V62" s="8" t="s">
        <v>181</v>
      </c>
    </row>
    <row r="63">
      <c r="A63" s="7">
        <v>43950.537118402775</v>
      </c>
      <c r="B63" s="3" t="s">
        <v>44</v>
      </c>
      <c r="C63" s="3" t="s">
        <v>176</v>
      </c>
      <c r="D63" s="3" t="s">
        <v>176</v>
      </c>
      <c r="E63" s="3" t="s">
        <v>177</v>
      </c>
      <c r="F63" s="3" t="s">
        <v>106</v>
      </c>
      <c r="G63" s="3" t="s">
        <v>48</v>
      </c>
      <c r="H63" s="3" t="str">
        <f t="shared" si="1"/>
        <v>BJJ,Muay Thai,,,,</v>
      </c>
      <c r="I63" s="3" t="s">
        <v>29</v>
      </c>
      <c r="J63" s="3" t="s">
        <v>14</v>
      </c>
      <c r="K63" s="3"/>
      <c r="L63" s="3"/>
      <c r="M63" s="3"/>
      <c r="N63" s="3"/>
      <c r="O63" s="3" t="s">
        <v>76</v>
      </c>
      <c r="P63" s="3">
        <v>1.0</v>
      </c>
      <c r="Q63" s="3" t="s">
        <v>49</v>
      </c>
      <c r="R63" s="3">
        <v>3.0</v>
      </c>
      <c r="S63" s="3">
        <v>1.0</v>
      </c>
      <c r="T63" s="3" t="s">
        <v>39</v>
      </c>
      <c r="U63" s="3" t="s">
        <v>53</v>
      </c>
      <c r="V63" s="8" t="s">
        <v>182</v>
      </c>
    </row>
    <row r="64">
      <c r="A64" s="7">
        <v>43951.81302693287</v>
      </c>
      <c r="B64" s="3" t="s">
        <v>44</v>
      </c>
      <c r="C64" s="3" t="s">
        <v>183</v>
      </c>
      <c r="D64" s="3" t="s">
        <v>184</v>
      </c>
      <c r="E64" s="3"/>
      <c r="F64" s="3" t="s">
        <v>94</v>
      </c>
      <c r="G64" s="3" t="s">
        <v>48</v>
      </c>
      <c r="H64" s="3" t="str">
        <f t="shared" si="1"/>
        <v>BJJ,Muay Thai,Judo,Wrestling,,</v>
      </c>
      <c r="I64" s="3" t="s">
        <v>29</v>
      </c>
      <c r="J64" s="3" t="s">
        <v>14</v>
      </c>
      <c r="K64" s="3" t="s">
        <v>27</v>
      </c>
      <c r="L64" s="3" t="s">
        <v>31</v>
      </c>
      <c r="M64" s="3"/>
      <c r="N64" s="3"/>
      <c r="O64" s="3" t="s">
        <v>76</v>
      </c>
      <c r="P64" s="3">
        <v>1.0</v>
      </c>
      <c r="Q64" s="3" t="s">
        <v>38</v>
      </c>
      <c r="R64" s="3">
        <v>4.0</v>
      </c>
      <c r="S64" s="3">
        <v>2.0</v>
      </c>
      <c r="T64" s="3" t="s">
        <v>39</v>
      </c>
      <c r="U64" s="3" t="s">
        <v>40</v>
      </c>
      <c r="V64" s="8" t="s">
        <v>185</v>
      </c>
    </row>
    <row r="65">
      <c r="A65" s="7">
        <v>43951.67683685185</v>
      </c>
      <c r="B65" s="3" t="s">
        <v>44</v>
      </c>
      <c r="C65" s="3" t="s">
        <v>186</v>
      </c>
      <c r="D65" s="3" t="s">
        <v>187</v>
      </c>
      <c r="E65" s="3"/>
      <c r="F65" s="3" t="s">
        <v>94</v>
      </c>
      <c r="G65" s="3" t="s">
        <v>48</v>
      </c>
      <c r="H65" s="3" t="str">
        <f t="shared" si="1"/>
        <v>BJJ,Muay Thai,,,,</v>
      </c>
      <c r="I65" s="3" t="s">
        <v>29</v>
      </c>
      <c r="J65" s="3" t="s">
        <v>14</v>
      </c>
      <c r="K65" s="3"/>
      <c r="L65" s="3"/>
      <c r="M65" s="3"/>
      <c r="N65" s="3"/>
      <c r="O65" s="3" t="s">
        <v>76</v>
      </c>
      <c r="P65" s="3">
        <v>4.0</v>
      </c>
      <c r="Q65" s="3" t="s">
        <v>49</v>
      </c>
      <c r="R65" s="3">
        <v>3.0</v>
      </c>
      <c r="S65" s="3">
        <v>2.0</v>
      </c>
      <c r="T65" s="3" t="s">
        <v>39</v>
      </c>
      <c r="U65" s="3" t="s">
        <v>40</v>
      </c>
      <c r="V65" s="6"/>
    </row>
    <row r="66">
      <c r="A66" s="7">
        <v>43951.649586886575</v>
      </c>
      <c r="B66" s="3" t="s">
        <v>32</v>
      </c>
      <c r="C66" s="3" t="s">
        <v>94</v>
      </c>
      <c r="D66" s="3"/>
      <c r="E66" s="3"/>
      <c r="F66" s="3" t="s">
        <v>94</v>
      </c>
      <c r="G66" s="3" t="s">
        <v>48</v>
      </c>
      <c r="H66" s="3" t="str">
        <f t="shared" si="1"/>
        <v>BJJ,Muay Thai,,,,</v>
      </c>
      <c r="I66" s="3" t="s">
        <v>29</v>
      </c>
      <c r="J66" s="3" t="s">
        <v>14</v>
      </c>
      <c r="K66" s="3"/>
      <c r="L66" s="3"/>
      <c r="M66" s="3"/>
      <c r="N66" s="3"/>
      <c r="O66" s="3" t="s">
        <v>37</v>
      </c>
      <c r="P66" s="3">
        <v>1.0</v>
      </c>
      <c r="Q66" s="3" t="s">
        <v>49</v>
      </c>
      <c r="R66" s="3">
        <v>2.0</v>
      </c>
      <c r="S66" s="3">
        <v>5.0</v>
      </c>
      <c r="T66" s="3" t="s">
        <v>39</v>
      </c>
      <c r="U66" s="3" t="s">
        <v>40</v>
      </c>
      <c r="V66" s="8" t="s">
        <v>188</v>
      </c>
    </row>
    <row r="67">
      <c r="A67" s="7">
        <v>43950.635396412035</v>
      </c>
      <c r="B67" s="3" t="s">
        <v>97</v>
      </c>
      <c r="C67" s="3" t="s">
        <v>189</v>
      </c>
      <c r="D67" s="3" t="s">
        <v>83</v>
      </c>
      <c r="E67" s="3"/>
      <c r="F67" s="3" t="s">
        <v>136</v>
      </c>
      <c r="G67" s="3" t="s">
        <v>48</v>
      </c>
      <c r="H67" s="3" t="str">
        <f t="shared" si="1"/>
        <v>BJJ,Muay Thai,Wrestling,MMA,,</v>
      </c>
      <c r="I67" s="3" t="s">
        <v>29</v>
      </c>
      <c r="J67" s="3" t="s">
        <v>14</v>
      </c>
      <c r="K67" s="3" t="s">
        <v>31</v>
      </c>
      <c r="L67" s="3" t="s">
        <v>21</v>
      </c>
      <c r="M67" s="3"/>
      <c r="N67" s="3"/>
      <c r="O67" s="3" t="s">
        <v>76</v>
      </c>
      <c r="P67" s="3">
        <v>1.0</v>
      </c>
      <c r="Q67" s="3" t="s">
        <v>49</v>
      </c>
      <c r="R67" s="3">
        <v>4.0</v>
      </c>
      <c r="S67" s="3">
        <v>5.0</v>
      </c>
      <c r="T67" s="3" t="s">
        <v>169</v>
      </c>
      <c r="U67" s="3" t="s">
        <v>53</v>
      </c>
      <c r="V67" s="8" t="s">
        <v>190</v>
      </c>
    </row>
    <row r="68">
      <c r="A68" s="7">
        <v>43950.45689296296</v>
      </c>
      <c r="B68" s="3" t="s">
        <v>44</v>
      </c>
      <c r="C68" s="3" t="s">
        <v>191</v>
      </c>
      <c r="D68" s="3" t="s">
        <v>192</v>
      </c>
      <c r="E68" s="3" t="s">
        <v>151</v>
      </c>
      <c r="F68" s="3" t="s">
        <v>35</v>
      </c>
      <c r="G68" s="3" t="s">
        <v>48</v>
      </c>
      <c r="H68" s="3" t="str">
        <f t="shared" si="1"/>
        <v>BJJ,Muay Thai,Wrestling,,,</v>
      </c>
      <c r="I68" s="3" t="s">
        <v>29</v>
      </c>
      <c r="J68" s="3" t="s">
        <v>14</v>
      </c>
      <c r="K68" s="3" t="s">
        <v>31</v>
      </c>
      <c r="L68" s="3"/>
      <c r="M68" s="3"/>
      <c r="N68" s="3"/>
      <c r="O68" s="3" t="s">
        <v>37</v>
      </c>
      <c r="P68" s="3">
        <v>1.0</v>
      </c>
      <c r="Q68" s="3" t="s">
        <v>49</v>
      </c>
      <c r="R68" s="3">
        <v>3.0</v>
      </c>
      <c r="S68" s="3">
        <v>5.0</v>
      </c>
      <c r="T68" s="3" t="s">
        <v>39</v>
      </c>
      <c r="U68" s="3" t="s">
        <v>40</v>
      </c>
      <c r="V68" s="8" t="s">
        <v>193</v>
      </c>
    </row>
    <row r="69">
      <c r="A69" s="7">
        <v>43950.45780230324</v>
      </c>
      <c r="B69" s="3" t="s">
        <v>32</v>
      </c>
      <c r="C69" s="3" t="s">
        <v>194</v>
      </c>
      <c r="D69" s="3" t="s">
        <v>83</v>
      </c>
      <c r="E69" s="3"/>
      <c r="F69" s="3" t="s">
        <v>35</v>
      </c>
      <c r="G69" s="3" t="s">
        <v>36</v>
      </c>
      <c r="H69" s="3" t="str">
        <f t="shared" si="1"/>
        <v>BJJ,Muay Thai,Judo,Wrestling,,</v>
      </c>
      <c r="I69" s="3" t="s">
        <v>29</v>
      </c>
      <c r="J69" s="3" t="s">
        <v>14</v>
      </c>
      <c r="K69" s="3" t="s">
        <v>27</v>
      </c>
      <c r="L69" s="3" t="s">
        <v>31</v>
      </c>
      <c r="M69" s="3"/>
      <c r="N69" s="3"/>
      <c r="O69" s="3" t="s">
        <v>37</v>
      </c>
      <c r="P69" s="3">
        <v>2.0</v>
      </c>
      <c r="Q69" s="3" t="s">
        <v>86</v>
      </c>
      <c r="R69" s="3">
        <v>3.0</v>
      </c>
      <c r="S69" s="3">
        <v>2.0</v>
      </c>
      <c r="T69" s="3" t="s">
        <v>61</v>
      </c>
      <c r="U69" s="3" t="s">
        <v>62</v>
      </c>
      <c r="V69" s="8" t="s">
        <v>195</v>
      </c>
    </row>
    <row r="70">
      <c r="A70" s="7">
        <v>43950.52734829861</v>
      </c>
      <c r="B70" s="3" t="s">
        <v>44</v>
      </c>
      <c r="C70" s="3" t="s">
        <v>196</v>
      </c>
      <c r="D70" s="3" t="s">
        <v>59</v>
      </c>
      <c r="E70" s="3"/>
      <c r="F70" s="3"/>
      <c r="G70" s="3" t="s">
        <v>48</v>
      </c>
      <c r="H70" s="3" t="str">
        <f t="shared" si="1"/>
        <v>BJJ,Muay Thai,,,,</v>
      </c>
      <c r="I70" s="3" t="s">
        <v>29</v>
      </c>
      <c r="J70" s="3" t="s">
        <v>14</v>
      </c>
      <c r="K70" s="3"/>
      <c r="L70" s="3"/>
      <c r="M70" s="3"/>
      <c r="N70" s="3"/>
      <c r="O70" s="3" t="s">
        <v>43</v>
      </c>
      <c r="P70" s="3">
        <v>1.0</v>
      </c>
      <c r="Q70" s="3" t="s">
        <v>49</v>
      </c>
      <c r="R70" s="3">
        <v>3.0</v>
      </c>
      <c r="S70" s="3">
        <v>1.0</v>
      </c>
      <c r="T70" s="3" t="s">
        <v>61</v>
      </c>
      <c r="U70" s="3" t="s">
        <v>62</v>
      </c>
      <c r="V70" s="8" t="s">
        <v>197</v>
      </c>
    </row>
    <row r="71">
      <c r="A71" s="7">
        <v>43950.73258997685</v>
      </c>
      <c r="B71" s="3" t="s">
        <v>71</v>
      </c>
      <c r="C71" s="3" t="s">
        <v>198</v>
      </c>
      <c r="D71" s="3"/>
      <c r="E71" s="3" t="s">
        <v>103</v>
      </c>
      <c r="F71" s="3" t="s">
        <v>35</v>
      </c>
      <c r="G71" s="3" t="s">
        <v>48</v>
      </c>
      <c r="H71" s="3" t="str">
        <f t="shared" si="1"/>
        <v>BJJ,Tae Kwon Do,,,,</v>
      </c>
      <c r="I71" s="3" t="s">
        <v>29</v>
      </c>
      <c r="J71" s="3" t="s">
        <v>178</v>
      </c>
      <c r="K71" s="3"/>
      <c r="L71" s="3"/>
      <c r="M71" s="3"/>
      <c r="N71" s="3"/>
      <c r="O71" s="3" t="s">
        <v>37</v>
      </c>
      <c r="P71" s="3">
        <v>1.0</v>
      </c>
      <c r="Q71" s="3" t="s">
        <v>38</v>
      </c>
      <c r="R71" s="3">
        <v>3.0</v>
      </c>
      <c r="S71" s="3">
        <v>5.0</v>
      </c>
      <c r="T71" s="3" t="s">
        <v>61</v>
      </c>
      <c r="U71" s="3" t="s">
        <v>62</v>
      </c>
      <c r="V71" s="6"/>
    </row>
    <row r="72">
      <c r="A72" s="7">
        <v>43951.73740864583</v>
      </c>
      <c r="B72" s="3" t="s">
        <v>97</v>
      </c>
      <c r="C72" s="3" t="s">
        <v>199</v>
      </c>
      <c r="D72" s="3"/>
      <c r="E72" s="3" t="s">
        <v>146</v>
      </c>
      <c r="F72" s="3" t="s">
        <v>35</v>
      </c>
      <c r="G72" s="3" t="s">
        <v>48</v>
      </c>
      <c r="H72" s="3" t="str">
        <f t="shared" si="1"/>
        <v>BJJ,Tae Kwon Do,,,,</v>
      </c>
      <c r="I72" s="3" t="s">
        <v>29</v>
      </c>
      <c r="J72" s="3" t="s">
        <v>178</v>
      </c>
      <c r="K72" s="3"/>
      <c r="L72" s="3"/>
      <c r="M72" s="3"/>
      <c r="N72" s="3"/>
      <c r="O72" s="3" t="s">
        <v>37</v>
      </c>
      <c r="P72" s="3">
        <v>1.0</v>
      </c>
      <c r="Q72" s="3" t="s">
        <v>49</v>
      </c>
      <c r="R72" s="3">
        <v>3.0</v>
      </c>
      <c r="S72" s="3">
        <v>3.0</v>
      </c>
      <c r="T72" s="3" t="s">
        <v>39</v>
      </c>
      <c r="U72" s="3" t="s">
        <v>40</v>
      </c>
      <c r="V72" s="8" t="s">
        <v>200</v>
      </c>
    </row>
    <row r="73">
      <c r="A73" s="7">
        <v>43951.9803660301</v>
      </c>
      <c r="B73" s="3" t="s">
        <v>44</v>
      </c>
      <c r="C73" s="3" t="s">
        <v>201</v>
      </c>
      <c r="D73" s="3"/>
      <c r="E73" s="3" t="s">
        <v>201</v>
      </c>
      <c r="F73" s="3" t="s">
        <v>35</v>
      </c>
      <c r="G73" s="3" t="s">
        <v>48</v>
      </c>
      <c r="H73" s="3" t="str">
        <f t="shared" si="1"/>
        <v>BJJ,Tae Kwon Do,Kickboxing,,,</v>
      </c>
      <c r="I73" s="3" t="s">
        <v>29</v>
      </c>
      <c r="J73" s="3" t="s">
        <v>178</v>
      </c>
      <c r="K73" s="3" t="s">
        <v>24</v>
      </c>
      <c r="L73" s="3"/>
      <c r="M73" s="3"/>
      <c r="N73" s="3"/>
      <c r="O73" s="3" t="s">
        <v>37</v>
      </c>
      <c r="P73" s="3">
        <v>2.0</v>
      </c>
      <c r="Q73" s="3" t="s">
        <v>38</v>
      </c>
      <c r="R73" s="3">
        <v>4.0</v>
      </c>
      <c r="S73" s="3">
        <v>3.0</v>
      </c>
      <c r="T73" s="3" t="s">
        <v>39</v>
      </c>
      <c r="U73" s="3" t="s">
        <v>40</v>
      </c>
      <c r="V73" s="8" t="s">
        <v>202</v>
      </c>
    </row>
    <row r="74">
      <c r="A74" s="7">
        <v>43950.83366251158</v>
      </c>
      <c r="B74" s="3" t="s">
        <v>32</v>
      </c>
      <c r="C74" s="3" t="s">
        <v>203</v>
      </c>
      <c r="D74" s="3" t="s">
        <v>83</v>
      </c>
      <c r="E74" s="3"/>
      <c r="F74" s="3" t="s">
        <v>35</v>
      </c>
      <c r="G74" s="3" t="s">
        <v>36</v>
      </c>
      <c r="H74" s="3" t="str">
        <f t="shared" si="1"/>
        <v>BJJ,Tae Kwon Do,,,,</v>
      </c>
      <c r="I74" s="3" t="s">
        <v>29</v>
      </c>
      <c r="J74" s="3" t="s">
        <v>178</v>
      </c>
      <c r="K74" s="3"/>
      <c r="L74" s="3"/>
      <c r="M74" s="3"/>
      <c r="N74" s="3"/>
      <c r="O74" s="3" t="s">
        <v>43</v>
      </c>
      <c r="P74" s="3">
        <v>1.0</v>
      </c>
      <c r="Q74" s="3" t="s">
        <v>49</v>
      </c>
      <c r="R74" s="3">
        <v>3.0</v>
      </c>
      <c r="S74" s="3">
        <v>3.0</v>
      </c>
      <c r="T74" s="3" t="s">
        <v>39</v>
      </c>
      <c r="U74" s="3" t="s">
        <v>40</v>
      </c>
      <c r="V74" s="8" t="s">
        <v>204</v>
      </c>
    </row>
    <row r="75">
      <c r="A75" s="7">
        <v>43950.76498021991</v>
      </c>
      <c r="B75" s="3" t="s">
        <v>97</v>
      </c>
      <c r="D75" s="3"/>
      <c r="E75" s="3"/>
      <c r="F75" s="3"/>
      <c r="G75" s="3" t="s">
        <v>48</v>
      </c>
      <c r="H75" s="3" t="str">
        <f t="shared" si="1"/>
        <v>BJJ,Tae Kwon Do,,,,</v>
      </c>
      <c r="I75" s="3" t="s">
        <v>29</v>
      </c>
      <c r="J75" s="3" t="s">
        <v>178</v>
      </c>
      <c r="K75" s="3"/>
      <c r="L75" s="3"/>
      <c r="M75" s="3"/>
      <c r="N75" s="3"/>
      <c r="O75" s="3" t="s">
        <v>55</v>
      </c>
      <c r="P75" s="3">
        <v>1.0</v>
      </c>
      <c r="Q75" s="3" t="s">
        <v>38</v>
      </c>
      <c r="R75" s="3">
        <v>5.0</v>
      </c>
      <c r="S75" s="3">
        <v>2.0</v>
      </c>
      <c r="T75" s="3" t="s">
        <v>61</v>
      </c>
      <c r="U75" s="3" t="s">
        <v>62</v>
      </c>
      <c r="V75" s="6"/>
    </row>
    <row r="76">
      <c r="A76" s="7">
        <v>43952.09849276621</v>
      </c>
      <c r="B76" s="3" t="s">
        <v>32</v>
      </c>
      <c r="D76" s="3"/>
      <c r="E76" s="3"/>
      <c r="F76" s="3"/>
      <c r="G76" s="3" t="s">
        <v>36</v>
      </c>
      <c r="H76" s="3" t="str">
        <f t="shared" si="1"/>
        <v>BJJ,Tae Kwon Do,Judo,MMA,Kickboxing,</v>
      </c>
      <c r="I76" s="3" t="s">
        <v>29</v>
      </c>
      <c r="J76" s="3" t="s">
        <v>178</v>
      </c>
      <c r="K76" s="3" t="s">
        <v>27</v>
      </c>
      <c r="L76" s="3" t="s">
        <v>21</v>
      </c>
      <c r="M76" s="3" t="s">
        <v>24</v>
      </c>
      <c r="N76" s="3"/>
      <c r="O76" s="3" t="s">
        <v>37</v>
      </c>
      <c r="P76" s="3">
        <v>1.0</v>
      </c>
      <c r="Q76" s="3" t="s">
        <v>49</v>
      </c>
      <c r="R76" s="3">
        <v>3.0</v>
      </c>
      <c r="S76" s="3">
        <v>5.0</v>
      </c>
      <c r="T76" s="3" t="s">
        <v>61</v>
      </c>
      <c r="U76" s="3" t="s">
        <v>62</v>
      </c>
      <c r="V76" s="6"/>
    </row>
    <row r="77">
      <c r="A77" s="7">
        <v>43951.96474826389</v>
      </c>
      <c r="B77" s="3" t="s">
        <v>44</v>
      </c>
      <c r="C77" s="3" t="s">
        <v>205</v>
      </c>
      <c r="D77" s="3" t="s">
        <v>206</v>
      </c>
      <c r="E77" s="3" t="s">
        <v>207</v>
      </c>
      <c r="F77" s="3" t="s">
        <v>35</v>
      </c>
      <c r="G77" s="3" t="s">
        <v>48</v>
      </c>
      <c r="H77" s="3" t="str">
        <f t="shared" si="1"/>
        <v>BJJ,Wrestling,,,,</v>
      </c>
      <c r="I77" s="3" t="s">
        <v>29</v>
      </c>
      <c r="J77" s="3" t="s">
        <v>31</v>
      </c>
      <c r="K77" s="3"/>
      <c r="L77" s="3"/>
      <c r="M77" s="3"/>
      <c r="N77" s="3"/>
      <c r="O77" s="3" t="s">
        <v>43</v>
      </c>
      <c r="P77" s="3">
        <v>2.0</v>
      </c>
      <c r="Q77" s="3" t="s">
        <v>38</v>
      </c>
      <c r="R77" s="3">
        <v>3.0</v>
      </c>
      <c r="S77" s="3">
        <v>2.0</v>
      </c>
      <c r="T77" s="3" t="s">
        <v>39</v>
      </c>
      <c r="U77" s="3" t="s">
        <v>40</v>
      </c>
      <c r="V77" s="8" t="s">
        <v>208</v>
      </c>
    </row>
    <row r="78">
      <c r="A78" s="7">
        <v>43950.49731574074</v>
      </c>
      <c r="B78" s="3" t="s">
        <v>32</v>
      </c>
      <c r="C78" s="3" t="s">
        <v>209</v>
      </c>
      <c r="D78" s="3" t="s">
        <v>83</v>
      </c>
      <c r="E78" s="3" t="s">
        <v>209</v>
      </c>
      <c r="F78" s="3" t="s">
        <v>35</v>
      </c>
      <c r="G78" s="3" t="s">
        <v>36</v>
      </c>
      <c r="H78" s="3" t="str">
        <f t="shared" si="1"/>
        <v>BJJ,Wrestling,MMA,,,</v>
      </c>
      <c r="I78" s="3" t="s">
        <v>29</v>
      </c>
      <c r="J78" s="3" t="s">
        <v>31</v>
      </c>
      <c r="K78" s="3" t="s">
        <v>21</v>
      </c>
      <c r="L78" s="3"/>
      <c r="M78" s="3"/>
      <c r="N78" s="3"/>
      <c r="O78" s="3" t="s">
        <v>37</v>
      </c>
      <c r="P78" s="3">
        <v>1.0</v>
      </c>
      <c r="Q78" s="3" t="s">
        <v>49</v>
      </c>
      <c r="R78" s="3">
        <v>1.0</v>
      </c>
      <c r="S78" s="3">
        <v>5.0</v>
      </c>
      <c r="T78" s="3" t="s">
        <v>39</v>
      </c>
      <c r="U78" s="3" t="s">
        <v>40</v>
      </c>
      <c r="V78" s="6"/>
    </row>
    <row r="79">
      <c r="A79" s="7">
        <v>43952.434909166666</v>
      </c>
      <c r="B79" s="3" t="s">
        <v>44</v>
      </c>
      <c r="C79" s="3" t="s">
        <v>54</v>
      </c>
      <c r="D79" s="3"/>
      <c r="E79" s="3" t="s">
        <v>52</v>
      </c>
      <c r="F79" s="3" t="s">
        <v>35</v>
      </c>
      <c r="G79" s="3" t="s">
        <v>48</v>
      </c>
      <c r="H79" s="3" t="str">
        <f t="shared" si="1"/>
        <v>BJJ,Wrestling,,,,</v>
      </c>
      <c r="I79" s="3" t="s">
        <v>29</v>
      </c>
      <c r="J79" s="3" t="s">
        <v>31</v>
      </c>
      <c r="K79" s="3"/>
      <c r="L79" s="3"/>
      <c r="M79" s="3"/>
      <c r="N79" s="3"/>
      <c r="O79" s="3" t="s">
        <v>55</v>
      </c>
      <c r="P79" s="3">
        <v>1.0</v>
      </c>
      <c r="Q79" s="3" t="s">
        <v>49</v>
      </c>
      <c r="R79" s="3">
        <v>2.0</v>
      </c>
      <c r="S79" s="3">
        <v>5.0</v>
      </c>
      <c r="T79" s="3" t="s">
        <v>61</v>
      </c>
      <c r="U79" s="3" t="s">
        <v>62</v>
      </c>
      <c r="V79" s="8" t="s">
        <v>210</v>
      </c>
    </row>
    <row r="80">
      <c r="A80" s="7">
        <v>43950.60853619213</v>
      </c>
      <c r="B80" s="3" t="s">
        <v>97</v>
      </c>
      <c r="C80" s="3" t="s">
        <v>58</v>
      </c>
      <c r="D80" s="3" t="s">
        <v>59</v>
      </c>
      <c r="E80" s="3" t="s">
        <v>60</v>
      </c>
      <c r="F80" s="3" t="s">
        <v>35</v>
      </c>
      <c r="G80" s="3" t="s">
        <v>48</v>
      </c>
      <c r="H80" s="3" t="str">
        <f t="shared" si="1"/>
        <v>BJJ,Wrestling,,,,</v>
      </c>
      <c r="I80" s="3" t="s">
        <v>29</v>
      </c>
      <c r="J80" s="3" t="s">
        <v>31</v>
      </c>
      <c r="K80" s="3"/>
      <c r="L80" s="3"/>
      <c r="M80" s="3"/>
      <c r="N80" s="3"/>
      <c r="O80" s="3" t="s">
        <v>37</v>
      </c>
      <c r="P80" s="3">
        <v>5.0</v>
      </c>
      <c r="Q80" s="3" t="s">
        <v>49</v>
      </c>
      <c r="R80" s="3">
        <v>4.0</v>
      </c>
      <c r="S80" s="3">
        <v>2.0</v>
      </c>
      <c r="T80" s="3" t="s">
        <v>39</v>
      </c>
      <c r="U80" s="3" t="s">
        <v>53</v>
      </c>
      <c r="V80" s="8" t="s">
        <v>211</v>
      </c>
    </row>
    <row r="81">
      <c r="A81" s="7">
        <v>43950.69947386574</v>
      </c>
      <c r="B81" s="3" t="s">
        <v>44</v>
      </c>
      <c r="C81" s="3" t="s">
        <v>212</v>
      </c>
      <c r="D81" s="3" t="s">
        <v>59</v>
      </c>
      <c r="E81" s="3" t="s">
        <v>60</v>
      </c>
      <c r="F81" s="3" t="s">
        <v>35</v>
      </c>
      <c r="G81" s="3" t="s">
        <v>48</v>
      </c>
      <c r="H81" s="3" t="str">
        <f t="shared" si="1"/>
        <v>BJJ,Wrestling,,,,</v>
      </c>
      <c r="I81" s="3" t="s">
        <v>29</v>
      </c>
      <c r="J81" s="3" t="s">
        <v>31</v>
      </c>
      <c r="K81" s="3"/>
      <c r="L81" s="3"/>
      <c r="M81" s="3"/>
      <c r="N81" s="3"/>
      <c r="O81" s="3" t="s">
        <v>43</v>
      </c>
      <c r="P81" s="3">
        <v>1.0</v>
      </c>
      <c r="Q81" s="3" t="s">
        <v>49</v>
      </c>
      <c r="R81" s="3">
        <v>1.0</v>
      </c>
      <c r="S81" s="3">
        <v>3.0</v>
      </c>
      <c r="T81" s="3" t="s">
        <v>39</v>
      </c>
      <c r="U81" s="3" t="s">
        <v>40</v>
      </c>
      <c r="V81" s="8" t="s">
        <v>213</v>
      </c>
    </row>
    <row r="82">
      <c r="A82" s="7">
        <v>43950.70875696759</v>
      </c>
      <c r="B82" s="3" t="s">
        <v>97</v>
      </c>
      <c r="C82" s="3" t="s">
        <v>214</v>
      </c>
      <c r="D82" s="3" t="s">
        <v>65</v>
      </c>
      <c r="E82" s="3" t="s">
        <v>66</v>
      </c>
      <c r="F82" s="3" t="s">
        <v>106</v>
      </c>
      <c r="G82" s="3" t="s">
        <v>48</v>
      </c>
      <c r="H82" s="3" t="str">
        <f t="shared" si="1"/>
        <v>BJJ,Wrestling,,,,</v>
      </c>
      <c r="I82" s="3" t="s">
        <v>29</v>
      </c>
      <c r="J82" s="3" t="s">
        <v>31</v>
      </c>
      <c r="K82" s="3"/>
      <c r="L82" s="3"/>
      <c r="M82" s="3"/>
      <c r="N82" s="3"/>
      <c r="O82" s="3" t="s">
        <v>55</v>
      </c>
      <c r="P82" s="3">
        <v>2.0</v>
      </c>
      <c r="Q82" s="3" t="s">
        <v>38</v>
      </c>
      <c r="R82" s="3">
        <v>2.0</v>
      </c>
      <c r="S82" s="3">
        <v>5.0</v>
      </c>
      <c r="T82" s="3" t="s">
        <v>169</v>
      </c>
      <c r="U82" s="3" t="s">
        <v>62</v>
      </c>
      <c r="V82" s="6"/>
    </row>
    <row r="83">
      <c r="A83" s="7">
        <v>43952.39925787037</v>
      </c>
      <c r="B83" s="3" t="s">
        <v>32</v>
      </c>
      <c r="C83" s="3" t="s">
        <v>215</v>
      </c>
      <c r="D83" s="3" t="s">
        <v>216</v>
      </c>
      <c r="E83" s="3" t="s">
        <v>217</v>
      </c>
      <c r="F83" s="3" t="s">
        <v>35</v>
      </c>
      <c r="G83" s="3" t="s">
        <v>48</v>
      </c>
      <c r="H83" s="3" t="str">
        <f t="shared" si="1"/>
        <v>BJJ,Wrestling,,,,</v>
      </c>
      <c r="I83" s="3" t="s">
        <v>29</v>
      </c>
      <c r="J83" s="3" t="s">
        <v>31</v>
      </c>
      <c r="K83" s="3"/>
      <c r="L83" s="3"/>
      <c r="M83" s="3"/>
      <c r="N83" s="3"/>
      <c r="O83" s="3" t="s">
        <v>37</v>
      </c>
      <c r="P83" s="3">
        <v>4.0</v>
      </c>
      <c r="Q83" s="3" t="s">
        <v>49</v>
      </c>
      <c r="R83" s="3">
        <v>1.0</v>
      </c>
      <c r="S83" s="3">
        <v>3.0</v>
      </c>
      <c r="T83" s="3" t="s">
        <v>39</v>
      </c>
      <c r="U83" s="3" t="s">
        <v>40</v>
      </c>
      <c r="V83" s="8" t="s">
        <v>218</v>
      </c>
    </row>
    <row r="84">
      <c r="A84" s="7">
        <v>43952.30053299769</v>
      </c>
      <c r="B84" s="3" t="s">
        <v>44</v>
      </c>
      <c r="C84" s="3" t="s">
        <v>89</v>
      </c>
      <c r="D84" s="3"/>
      <c r="E84" s="3"/>
      <c r="F84" s="3" t="s">
        <v>89</v>
      </c>
      <c r="G84" s="3" t="s">
        <v>48</v>
      </c>
      <c r="H84" s="3" t="str">
        <f t="shared" si="1"/>
        <v>BJJ,Wrestling,MMA,,,</v>
      </c>
      <c r="I84" s="3" t="s">
        <v>29</v>
      </c>
      <c r="J84" s="3" t="s">
        <v>31</v>
      </c>
      <c r="K84" s="3" t="s">
        <v>21</v>
      </c>
      <c r="L84" s="3"/>
      <c r="M84" s="3"/>
      <c r="N84" s="3"/>
      <c r="O84" s="3" t="s">
        <v>76</v>
      </c>
      <c r="P84" s="3">
        <v>1.0</v>
      </c>
      <c r="Q84" s="3" t="s">
        <v>49</v>
      </c>
      <c r="R84" s="3">
        <v>1.0</v>
      </c>
      <c r="S84" s="3">
        <v>5.0</v>
      </c>
      <c r="T84" s="3" t="s">
        <v>169</v>
      </c>
      <c r="U84" s="3" t="s">
        <v>62</v>
      </c>
      <c r="V84" s="8" t="s">
        <v>219</v>
      </c>
    </row>
    <row r="85">
      <c r="A85" s="7">
        <v>43952.01054427083</v>
      </c>
      <c r="B85" s="3" t="s">
        <v>32</v>
      </c>
      <c r="C85" s="3" t="s">
        <v>220</v>
      </c>
      <c r="D85" s="3"/>
      <c r="E85" s="3"/>
      <c r="F85" s="3" t="s">
        <v>221</v>
      </c>
      <c r="G85" s="3" t="s">
        <v>48</v>
      </c>
      <c r="H85" s="3" t="str">
        <f t="shared" si="1"/>
        <v>BJJ,Wrestling,,,,</v>
      </c>
      <c r="I85" s="3" t="s">
        <v>29</v>
      </c>
      <c r="J85" s="3" t="s">
        <v>31</v>
      </c>
      <c r="K85" s="3"/>
      <c r="L85" s="3"/>
      <c r="M85" s="3"/>
      <c r="N85" s="3"/>
      <c r="O85" s="3" t="s">
        <v>37</v>
      </c>
      <c r="P85" s="3">
        <v>3.0</v>
      </c>
      <c r="Q85" s="3" t="s">
        <v>86</v>
      </c>
      <c r="R85" s="3">
        <v>4.0</v>
      </c>
      <c r="S85" s="3">
        <v>2.0</v>
      </c>
      <c r="T85" s="3" t="s">
        <v>39</v>
      </c>
      <c r="U85" s="3" t="s">
        <v>87</v>
      </c>
      <c r="V85" s="8" t="s">
        <v>222</v>
      </c>
    </row>
    <row r="86">
      <c r="A86" s="7">
        <v>43951.21068914352</v>
      </c>
      <c r="B86" s="3" t="s">
        <v>97</v>
      </c>
      <c r="C86" s="3" t="s">
        <v>223</v>
      </c>
      <c r="D86" s="3"/>
      <c r="E86" s="3"/>
      <c r="F86" s="3" t="s">
        <v>223</v>
      </c>
      <c r="G86" s="3" t="s">
        <v>48</v>
      </c>
      <c r="H86" s="3" t="str">
        <f t="shared" si="1"/>
        <v>BJJ,Wrestling,,,,</v>
      </c>
      <c r="I86" s="3" t="s">
        <v>29</v>
      </c>
      <c r="J86" s="3" t="s">
        <v>31</v>
      </c>
      <c r="K86" s="3"/>
      <c r="L86" s="3"/>
      <c r="M86" s="3"/>
      <c r="N86" s="3"/>
      <c r="O86" s="3" t="s">
        <v>55</v>
      </c>
      <c r="P86" s="3">
        <v>2.0</v>
      </c>
      <c r="Q86" s="3" t="s">
        <v>86</v>
      </c>
      <c r="R86" s="3">
        <v>4.0</v>
      </c>
      <c r="S86" s="3">
        <v>1.0</v>
      </c>
      <c r="T86" s="3" t="s">
        <v>169</v>
      </c>
      <c r="U86" s="3" t="s">
        <v>62</v>
      </c>
      <c r="V86" s="8" t="s">
        <v>224</v>
      </c>
    </row>
    <row r="87">
      <c r="A87" s="7">
        <v>43951.74587996528</v>
      </c>
      <c r="B87" s="3" t="s">
        <v>32</v>
      </c>
      <c r="C87" s="3" t="s">
        <v>225</v>
      </c>
      <c r="D87" s="3"/>
      <c r="E87" s="3"/>
      <c r="F87" s="3" t="s">
        <v>94</v>
      </c>
      <c r="G87" s="3" t="s">
        <v>48</v>
      </c>
      <c r="H87" s="3" t="str">
        <f t="shared" si="1"/>
        <v>BJJ,Wrestling,,,,</v>
      </c>
      <c r="I87" s="3" t="s">
        <v>29</v>
      </c>
      <c r="J87" s="3" t="s">
        <v>31</v>
      </c>
      <c r="K87" s="3"/>
      <c r="L87" s="3"/>
      <c r="M87" s="3"/>
      <c r="N87" s="3"/>
      <c r="O87" s="3" t="s">
        <v>37</v>
      </c>
      <c r="P87" s="3">
        <v>1.0</v>
      </c>
      <c r="Q87" s="3" t="s">
        <v>49</v>
      </c>
      <c r="R87" s="3">
        <v>2.0</v>
      </c>
      <c r="S87" s="3">
        <v>3.0</v>
      </c>
      <c r="T87" s="3" t="s">
        <v>39</v>
      </c>
      <c r="U87" s="3" t="s">
        <v>40</v>
      </c>
      <c r="V87" s="6"/>
    </row>
    <row r="88">
      <c r="A88" s="7">
        <v>43950.538944155094</v>
      </c>
      <c r="B88" s="3" t="s">
        <v>44</v>
      </c>
      <c r="C88" s="3" t="s">
        <v>34</v>
      </c>
      <c r="D88" s="3" t="s">
        <v>83</v>
      </c>
      <c r="E88" s="3" t="s">
        <v>34</v>
      </c>
      <c r="F88" s="3" t="s">
        <v>35</v>
      </c>
      <c r="G88" s="3" t="s">
        <v>48</v>
      </c>
      <c r="H88" s="3" t="str">
        <f t="shared" si="1"/>
        <v>BJJ,,,,,</v>
      </c>
      <c r="I88" s="3" t="s">
        <v>29</v>
      </c>
      <c r="J88" s="3"/>
      <c r="K88" s="3"/>
      <c r="L88" s="3"/>
      <c r="M88" s="3"/>
      <c r="N88" s="3"/>
      <c r="O88" s="3" t="s">
        <v>43</v>
      </c>
      <c r="P88" s="3">
        <v>2.0</v>
      </c>
      <c r="Q88" s="3" t="s">
        <v>38</v>
      </c>
      <c r="R88" s="3">
        <v>5.0</v>
      </c>
      <c r="S88" s="3">
        <v>3.0</v>
      </c>
      <c r="T88" s="3" t="s">
        <v>39</v>
      </c>
      <c r="U88" s="3" t="s">
        <v>40</v>
      </c>
      <c r="V88" s="6"/>
    </row>
    <row r="89">
      <c r="A89" s="7">
        <v>43950.53757423611</v>
      </c>
      <c r="B89" s="3" t="s">
        <v>44</v>
      </c>
      <c r="C89" s="3" t="s">
        <v>226</v>
      </c>
      <c r="D89" s="3" t="s">
        <v>33</v>
      </c>
      <c r="E89" s="3" t="s">
        <v>34</v>
      </c>
      <c r="F89" s="3" t="s">
        <v>35</v>
      </c>
      <c r="G89" s="3" t="s">
        <v>48</v>
      </c>
      <c r="H89" s="3" t="str">
        <f t="shared" si="1"/>
        <v>BJJ,,,,,</v>
      </c>
      <c r="I89" s="3" t="s">
        <v>29</v>
      </c>
      <c r="J89" s="3"/>
      <c r="K89" s="3"/>
      <c r="L89" s="3"/>
      <c r="M89" s="3"/>
      <c r="N89" s="3"/>
      <c r="O89" s="3" t="s">
        <v>37</v>
      </c>
      <c r="P89" s="3">
        <v>1.0</v>
      </c>
      <c r="Q89" s="3" t="s">
        <v>49</v>
      </c>
      <c r="R89" s="3">
        <v>4.0</v>
      </c>
      <c r="S89" s="3">
        <v>4.0</v>
      </c>
      <c r="T89" s="3" t="s">
        <v>39</v>
      </c>
      <c r="U89" s="3" t="s">
        <v>40</v>
      </c>
      <c r="V89" s="6"/>
    </row>
    <row r="90">
      <c r="A90" s="7">
        <v>43951.48704420139</v>
      </c>
      <c r="B90" s="3" t="s">
        <v>97</v>
      </c>
      <c r="C90" s="3" t="s">
        <v>227</v>
      </c>
      <c r="D90" s="3"/>
      <c r="E90" s="3" t="s">
        <v>228</v>
      </c>
      <c r="F90" s="3" t="s">
        <v>35</v>
      </c>
      <c r="G90" s="3" t="s">
        <v>48</v>
      </c>
      <c r="H90" s="3" t="str">
        <f t="shared" si="1"/>
        <v>BJJ,,,,,</v>
      </c>
      <c r="I90" s="3" t="s">
        <v>29</v>
      </c>
      <c r="J90" s="3"/>
      <c r="K90" s="3"/>
      <c r="L90" s="3"/>
      <c r="M90" s="3"/>
      <c r="N90" s="3"/>
      <c r="O90" s="3" t="s">
        <v>55</v>
      </c>
      <c r="P90" s="3">
        <v>1.0</v>
      </c>
      <c r="Q90" s="3" t="s">
        <v>49</v>
      </c>
      <c r="R90" s="3">
        <v>2.0</v>
      </c>
      <c r="S90" s="3">
        <v>3.0</v>
      </c>
      <c r="T90" s="3" t="s">
        <v>39</v>
      </c>
      <c r="U90" s="3" t="s">
        <v>40</v>
      </c>
      <c r="V90" s="8" t="s">
        <v>229</v>
      </c>
    </row>
    <row r="91">
      <c r="A91" s="7">
        <v>43950.65157221065</v>
      </c>
      <c r="B91" s="3" t="s">
        <v>32</v>
      </c>
      <c r="C91" s="3" t="s">
        <v>230</v>
      </c>
      <c r="D91" s="3" t="s">
        <v>83</v>
      </c>
      <c r="E91" s="3" t="s">
        <v>103</v>
      </c>
      <c r="F91" s="3" t="s">
        <v>35</v>
      </c>
      <c r="G91" s="3" t="s">
        <v>36</v>
      </c>
      <c r="H91" s="3" t="str">
        <f t="shared" si="1"/>
        <v>BJJ,,,,,</v>
      </c>
      <c r="I91" s="3" t="s">
        <v>29</v>
      </c>
      <c r="J91" s="3"/>
      <c r="K91" s="3"/>
      <c r="L91" s="3"/>
      <c r="M91" s="3"/>
      <c r="N91" s="3"/>
      <c r="O91" s="3" t="s">
        <v>37</v>
      </c>
      <c r="P91" s="3">
        <v>1.0</v>
      </c>
      <c r="Q91" s="3" t="s">
        <v>86</v>
      </c>
      <c r="R91" s="3">
        <v>4.0</v>
      </c>
      <c r="S91" s="3">
        <v>3.0</v>
      </c>
      <c r="T91" s="3" t="s">
        <v>39</v>
      </c>
      <c r="U91" s="3" t="s">
        <v>53</v>
      </c>
      <c r="V91" s="6"/>
    </row>
    <row r="92">
      <c r="A92" s="7">
        <v>43950.76989053241</v>
      </c>
      <c r="B92" s="3" t="s">
        <v>44</v>
      </c>
      <c r="C92" s="3" t="s">
        <v>103</v>
      </c>
      <c r="D92" s="3"/>
      <c r="E92" s="3" t="s">
        <v>103</v>
      </c>
      <c r="F92" s="3" t="s">
        <v>35</v>
      </c>
      <c r="G92" s="3" t="s">
        <v>48</v>
      </c>
      <c r="H92" s="3" t="str">
        <f t="shared" si="1"/>
        <v>BJJ,,,,,</v>
      </c>
      <c r="I92" s="3" t="s">
        <v>29</v>
      </c>
      <c r="J92" s="3"/>
      <c r="K92" s="3"/>
      <c r="L92" s="3"/>
      <c r="M92" s="3"/>
      <c r="N92" s="3"/>
      <c r="O92" s="3" t="s">
        <v>37</v>
      </c>
      <c r="P92" s="3">
        <v>1.0</v>
      </c>
      <c r="Q92" s="3" t="s">
        <v>38</v>
      </c>
      <c r="R92" s="3">
        <v>3.0</v>
      </c>
      <c r="S92" s="3">
        <v>1.0</v>
      </c>
      <c r="T92" s="3" t="s">
        <v>39</v>
      </c>
      <c r="U92" s="3" t="s">
        <v>53</v>
      </c>
      <c r="V92" s="8" t="s">
        <v>231</v>
      </c>
    </row>
    <row r="93">
      <c r="A93" s="7">
        <v>43950.776617337964</v>
      </c>
      <c r="B93" s="3" t="s">
        <v>44</v>
      </c>
      <c r="C93" s="3" t="s">
        <v>103</v>
      </c>
      <c r="D93" s="3"/>
      <c r="E93" s="3" t="s">
        <v>103</v>
      </c>
      <c r="F93" s="3" t="s">
        <v>35</v>
      </c>
      <c r="G93" s="3" t="s">
        <v>48</v>
      </c>
      <c r="H93" s="3" t="str">
        <f t="shared" si="1"/>
        <v>BJJ,,,,,</v>
      </c>
      <c r="I93" s="3" t="s">
        <v>29</v>
      </c>
      <c r="J93" s="3"/>
      <c r="K93" s="3"/>
      <c r="L93" s="3"/>
      <c r="M93" s="3"/>
      <c r="N93" s="3"/>
      <c r="O93" s="3" t="s">
        <v>76</v>
      </c>
      <c r="P93" s="3">
        <v>5.0</v>
      </c>
      <c r="Q93" s="3" t="s">
        <v>49</v>
      </c>
      <c r="R93" s="3">
        <v>1.0</v>
      </c>
      <c r="S93" s="3">
        <v>3.0</v>
      </c>
      <c r="T93" s="3" t="s">
        <v>39</v>
      </c>
      <c r="U93" s="3" t="s">
        <v>53</v>
      </c>
      <c r="V93" s="6"/>
    </row>
    <row r="94">
      <c r="A94" s="7">
        <v>43950.86581002315</v>
      </c>
      <c r="B94" s="3" t="s">
        <v>44</v>
      </c>
      <c r="C94" s="3" t="s">
        <v>103</v>
      </c>
      <c r="D94" s="3"/>
      <c r="E94" s="3" t="s">
        <v>103</v>
      </c>
      <c r="F94" s="3" t="s">
        <v>35</v>
      </c>
      <c r="G94" s="3" t="s">
        <v>48</v>
      </c>
      <c r="H94" s="3" t="str">
        <f t="shared" si="1"/>
        <v>BJJ,,,,,</v>
      </c>
      <c r="I94" s="3" t="s">
        <v>29</v>
      </c>
      <c r="J94" s="3"/>
      <c r="K94" s="3"/>
      <c r="L94" s="3"/>
      <c r="M94" s="3"/>
      <c r="N94" s="3"/>
      <c r="O94" s="3" t="s">
        <v>76</v>
      </c>
      <c r="P94" s="3">
        <v>1.0</v>
      </c>
      <c r="Q94" s="3" t="s">
        <v>49</v>
      </c>
      <c r="R94" s="3">
        <v>1.0</v>
      </c>
      <c r="S94" s="3">
        <v>4.0</v>
      </c>
      <c r="T94" s="3" t="s">
        <v>39</v>
      </c>
      <c r="U94" s="3" t="s">
        <v>53</v>
      </c>
      <c r="V94" s="6"/>
    </row>
    <row r="95">
      <c r="A95" s="7">
        <v>43950.90617815973</v>
      </c>
      <c r="B95" s="3" t="s">
        <v>44</v>
      </c>
      <c r="C95" s="3" t="s">
        <v>103</v>
      </c>
      <c r="D95" s="3"/>
      <c r="E95" s="3" t="s">
        <v>103</v>
      </c>
      <c r="F95" s="3" t="s">
        <v>35</v>
      </c>
      <c r="G95" s="3" t="s">
        <v>48</v>
      </c>
      <c r="H95" s="3" t="str">
        <f t="shared" si="1"/>
        <v>BJJ,,,,,</v>
      </c>
      <c r="I95" s="3" t="s">
        <v>29</v>
      </c>
      <c r="J95" s="3"/>
      <c r="K95" s="3"/>
      <c r="L95" s="3"/>
      <c r="M95" s="3"/>
      <c r="N95" s="3"/>
      <c r="O95" s="3" t="s">
        <v>37</v>
      </c>
      <c r="P95" s="3">
        <v>1.0</v>
      </c>
      <c r="Q95" s="3" t="s">
        <v>49</v>
      </c>
      <c r="R95" s="3">
        <v>2.0</v>
      </c>
      <c r="S95" s="3">
        <v>4.0</v>
      </c>
      <c r="T95" s="3" t="s">
        <v>39</v>
      </c>
      <c r="U95" s="3" t="s">
        <v>40</v>
      </c>
      <c r="V95" s="8" t="s">
        <v>232</v>
      </c>
    </row>
    <row r="96">
      <c r="A96" s="7">
        <v>43951.98783524305</v>
      </c>
      <c r="B96" s="3" t="s">
        <v>32</v>
      </c>
      <c r="C96" s="3" t="s">
        <v>233</v>
      </c>
      <c r="D96" s="3"/>
      <c r="E96" s="3" t="s">
        <v>103</v>
      </c>
      <c r="F96" s="3" t="s">
        <v>35</v>
      </c>
      <c r="G96" s="3" t="s">
        <v>36</v>
      </c>
      <c r="H96" s="3" t="str">
        <f t="shared" si="1"/>
        <v>BJJ,,,,,</v>
      </c>
      <c r="I96" s="3" t="s">
        <v>29</v>
      </c>
      <c r="J96" s="3"/>
      <c r="K96" s="3"/>
      <c r="L96" s="3"/>
      <c r="M96" s="3"/>
      <c r="N96" s="3"/>
      <c r="O96" s="3" t="s">
        <v>55</v>
      </c>
      <c r="P96" s="3">
        <v>4.0</v>
      </c>
      <c r="Q96" s="3" t="s">
        <v>111</v>
      </c>
      <c r="R96" s="3">
        <v>5.0</v>
      </c>
      <c r="S96" s="3">
        <v>1.0</v>
      </c>
      <c r="T96" s="3" t="s">
        <v>39</v>
      </c>
      <c r="U96" s="3" t="s">
        <v>87</v>
      </c>
      <c r="V96" s="6"/>
    </row>
    <row r="97">
      <c r="A97" s="7">
        <v>43951.742365659724</v>
      </c>
      <c r="B97" s="3" t="s">
        <v>32</v>
      </c>
      <c r="C97" s="3" t="s">
        <v>234</v>
      </c>
      <c r="D97" s="3"/>
      <c r="E97" s="3" t="s">
        <v>103</v>
      </c>
      <c r="F97" s="3"/>
      <c r="G97" s="3" t="s">
        <v>48</v>
      </c>
      <c r="H97" s="3" t="str">
        <f t="shared" si="1"/>
        <v>BJJ,,,,,</v>
      </c>
      <c r="I97" s="3" t="s">
        <v>29</v>
      </c>
      <c r="J97" s="3"/>
      <c r="K97" s="3"/>
      <c r="L97" s="3"/>
      <c r="M97" s="3"/>
      <c r="N97" s="3"/>
      <c r="O97" s="3" t="s">
        <v>37</v>
      </c>
      <c r="P97" s="3">
        <v>5.0</v>
      </c>
      <c r="Q97" s="3" t="s">
        <v>49</v>
      </c>
      <c r="R97" s="3">
        <v>1.0</v>
      </c>
      <c r="S97" s="3">
        <v>5.0</v>
      </c>
      <c r="T97" s="3" t="s">
        <v>39</v>
      </c>
      <c r="U97" s="3" t="s">
        <v>40</v>
      </c>
      <c r="V97" s="6"/>
    </row>
    <row r="98">
      <c r="A98" s="7">
        <v>43950.76099023148</v>
      </c>
      <c r="B98" s="3" t="s">
        <v>44</v>
      </c>
      <c r="C98" s="3" t="s">
        <v>235</v>
      </c>
      <c r="D98" s="3"/>
      <c r="E98" s="3" t="s">
        <v>103</v>
      </c>
      <c r="F98" s="3"/>
      <c r="G98" s="3" t="s">
        <v>36</v>
      </c>
      <c r="H98" s="3" t="str">
        <f t="shared" si="1"/>
        <v>BJJ,,,,,</v>
      </c>
      <c r="I98" s="3" t="s">
        <v>29</v>
      </c>
      <c r="J98" s="3"/>
      <c r="K98" s="3"/>
      <c r="L98" s="3"/>
      <c r="M98" s="3"/>
      <c r="N98" s="3"/>
      <c r="O98" s="3" t="s">
        <v>76</v>
      </c>
      <c r="P98" s="3">
        <v>1.0</v>
      </c>
      <c r="Q98" s="3" t="s">
        <v>49</v>
      </c>
      <c r="R98" s="3">
        <v>2.0</v>
      </c>
      <c r="S98" s="3">
        <v>5.0</v>
      </c>
      <c r="T98" s="3" t="s">
        <v>39</v>
      </c>
      <c r="U98" s="3" t="s">
        <v>53</v>
      </c>
      <c r="V98" s="8" t="s">
        <v>236</v>
      </c>
    </row>
    <row r="99">
      <c r="A99" s="7">
        <v>43950.782218506945</v>
      </c>
      <c r="B99" s="3" t="s">
        <v>32</v>
      </c>
      <c r="C99" s="9" t="s">
        <v>42</v>
      </c>
      <c r="D99" s="3"/>
      <c r="E99" s="9" t="s">
        <v>42</v>
      </c>
      <c r="F99" s="3" t="s">
        <v>35</v>
      </c>
      <c r="G99" s="3" t="s">
        <v>48</v>
      </c>
      <c r="H99" s="3" t="str">
        <f t="shared" si="1"/>
        <v>BJJ,,,,,</v>
      </c>
      <c r="I99" s="3" t="s">
        <v>29</v>
      </c>
      <c r="J99" s="3"/>
      <c r="K99" s="3"/>
      <c r="L99" s="3"/>
      <c r="M99" s="3"/>
      <c r="N99" s="3"/>
      <c r="O99" s="3" t="s">
        <v>37</v>
      </c>
      <c r="P99" s="3">
        <v>1.0</v>
      </c>
      <c r="Q99" s="3" t="s">
        <v>49</v>
      </c>
      <c r="R99" s="3">
        <v>3.0</v>
      </c>
      <c r="S99" s="3">
        <v>4.0</v>
      </c>
      <c r="T99" s="3" t="s">
        <v>39</v>
      </c>
      <c r="U99" s="3" t="s">
        <v>40</v>
      </c>
      <c r="V99" s="8" t="s">
        <v>237</v>
      </c>
    </row>
    <row r="100">
      <c r="A100" s="7">
        <v>43950.81634684028</v>
      </c>
      <c r="B100" s="3" t="s">
        <v>44</v>
      </c>
      <c r="C100" s="3" t="s">
        <v>142</v>
      </c>
      <c r="D100" s="3"/>
      <c r="E100" s="3" t="s">
        <v>142</v>
      </c>
      <c r="F100" s="3" t="s">
        <v>35</v>
      </c>
      <c r="G100" s="3" t="s">
        <v>48</v>
      </c>
      <c r="H100" s="3" t="str">
        <f t="shared" si="1"/>
        <v>BJJ,,,,,</v>
      </c>
      <c r="I100" s="3" t="s">
        <v>29</v>
      </c>
      <c r="J100" s="3"/>
      <c r="K100" s="3"/>
      <c r="L100" s="3"/>
      <c r="M100" s="3"/>
      <c r="N100" s="3"/>
      <c r="O100" s="3" t="s">
        <v>37</v>
      </c>
      <c r="P100" s="3">
        <v>1.0</v>
      </c>
      <c r="Q100" s="3" t="s">
        <v>49</v>
      </c>
      <c r="R100" s="3">
        <v>4.0</v>
      </c>
      <c r="S100" s="3">
        <v>2.0</v>
      </c>
      <c r="T100" s="3" t="s">
        <v>169</v>
      </c>
      <c r="U100" s="3" t="s">
        <v>62</v>
      </c>
      <c r="V100" s="6"/>
    </row>
    <row r="101">
      <c r="A101" s="7">
        <v>43950.669450243055</v>
      </c>
      <c r="B101" s="3" t="s">
        <v>32</v>
      </c>
      <c r="C101" s="3" t="s">
        <v>238</v>
      </c>
      <c r="D101" s="3" t="s">
        <v>83</v>
      </c>
      <c r="E101" s="3" t="s">
        <v>142</v>
      </c>
      <c r="F101" s="3" t="s">
        <v>35</v>
      </c>
      <c r="G101" s="3" t="s">
        <v>36</v>
      </c>
      <c r="H101" s="3" t="str">
        <f t="shared" si="1"/>
        <v>BJJ,,,,,</v>
      </c>
      <c r="I101" s="3" t="s">
        <v>29</v>
      </c>
      <c r="J101" s="3"/>
      <c r="K101" s="3"/>
      <c r="L101" s="3"/>
      <c r="M101" s="3"/>
      <c r="N101" s="3"/>
      <c r="O101" s="3" t="s">
        <v>37</v>
      </c>
      <c r="P101" s="3">
        <v>1.0</v>
      </c>
      <c r="Q101" s="3" t="s">
        <v>49</v>
      </c>
      <c r="R101" s="3">
        <v>1.0</v>
      </c>
      <c r="S101" s="3">
        <v>4.0</v>
      </c>
      <c r="T101" s="3" t="s">
        <v>39</v>
      </c>
      <c r="U101" s="3" t="s">
        <v>40</v>
      </c>
      <c r="V101" s="6"/>
    </row>
    <row r="102">
      <c r="A102" s="7">
        <v>43951.779092048615</v>
      </c>
      <c r="B102" s="3" t="s">
        <v>32</v>
      </c>
      <c r="C102" s="3" t="s">
        <v>239</v>
      </c>
      <c r="D102" s="3" t="s">
        <v>239</v>
      </c>
      <c r="E102" s="3" t="s">
        <v>240</v>
      </c>
      <c r="F102" s="3" t="s">
        <v>35</v>
      </c>
      <c r="G102" s="3" t="s">
        <v>48</v>
      </c>
      <c r="H102" s="3" t="str">
        <f t="shared" si="1"/>
        <v>BJJ,,,,,</v>
      </c>
      <c r="I102" s="3" t="s">
        <v>29</v>
      </c>
      <c r="J102" s="3"/>
      <c r="K102" s="3"/>
      <c r="L102" s="3"/>
      <c r="M102" s="3"/>
      <c r="N102" s="3"/>
      <c r="O102" s="3" t="s">
        <v>37</v>
      </c>
      <c r="P102" s="3">
        <v>1.0</v>
      </c>
      <c r="Q102" s="3" t="s">
        <v>38</v>
      </c>
      <c r="R102" s="3">
        <v>4.0</v>
      </c>
      <c r="S102" s="3">
        <v>5.0</v>
      </c>
      <c r="T102" s="3" t="s">
        <v>39</v>
      </c>
      <c r="U102" s="3" t="s">
        <v>40</v>
      </c>
      <c r="V102" s="6"/>
    </row>
    <row r="103">
      <c r="A103" s="7">
        <v>43952.501892291664</v>
      </c>
      <c r="B103" s="3" t="s">
        <v>44</v>
      </c>
      <c r="C103" s="3" t="s">
        <v>241</v>
      </c>
      <c r="D103" s="3"/>
      <c r="E103" s="3" t="s">
        <v>240</v>
      </c>
      <c r="F103" s="3" t="s">
        <v>35</v>
      </c>
      <c r="G103" s="3" t="s">
        <v>48</v>
      </c>
      <c r="H103" s="3" t="str">
        <f t="shared" si="1"/>
        <v>BJJ,,,,,</v>
      </c>
      <c r="I103" s="3" t="s">
        <v>29</v>
      </c>
      <c r="J103" s="3"/>
      <c r="K103" s="3"/>
      <c r="L103" s="3"/>
      <c r="M103" s="3"/>
      <c r="N103" s="3"/>
      <c r="O103" s="3" t="s">
        <v>43</v>
      </c>
      <c r="P103" s="3">
        <v>2.0</v>
      </c>
      <c r="Q103" s="3" t="s">
        <v>86</v>
      </c>
      <c r="R103" s="3">
        <v>4.0</v>
      </c>
      <c r="S103" s="3">
        <v>2.0</v>
      </c>
      <c r="T103" s="3" t="s">
        <v>39</v>
      </c>
      <c r="U103" s="3" t="s">
        <v>53</v>
      </c>
      <c r="V103" s="6"/>
    </row>
    <row r="104">
      <c r="A104" s="7">
        <v>43950.60463232639</v>
      </c>
      <c r="B104" s="3" t="s">
        <v>97</v>
      </c>
      <c r="C104" s="3" t="s">
        <v>240</v>
      </c>
      <c r="D104" s="3" t="s">
        <v>83</v>
      </c>
      <c r="E104" s="3" t="s">
        <v>240</v>
      </c>
      <c r="F104" s="3" t="s">
        <v>35</v>
      </c>
      <c r="G104" s="3" t="s">
        <v>48</v>
      </c>
      <c r="H104" s="3" t="str">
        <f t="shared" si="1"/>
        <v>BJJ,,,,,</v>
      </c>
      <c r="I104" s="3" t="s">
        <v>29</v>
      </c>
      <c r="J104" s="3"/>
      <c r="K104" s="3"/>
      <c r="L104" s="3"/>
      <c r="M104" s="3"/>
      <c r="N104" s="3"/>
      <c r="O104" s="3" t="s">
        <v>55</v>
      </c>
      <c r="P104" s="3">
        <v>1.0</v>
      </c>
      <c r="Q104" s="3" t="s">
        <v>49</v>
      </c>
      <c r="R104" s="3">
        <v>1.0</v>
      </c>
      <c r="S104" s="3">
        <v>5.0</v>
      </c>
      <c r="T104" s="3" t="s">
        <v>39</v>
      </c>
      <c r="U104" s="3" t="s">
        <v>40</v>
      </c>
      <c r="V104" s="6"/>
    </row>
    <row r="105">
      <c r="A105" s="7">
        <v>43951.12048045138</v>
      </c>
      <c r="B105" s="3" t="s">
        <v>44</v>
      </c>
      <c r="C105" s="3" t="s">
        <v>242</v>
      </c>
      <c r="D105" s="3"/>
      <c r="E105" s="3" t="s">
        <v>242</v>
      </c>
      <c r="F105" s="3" t="s">
        <v>35</v>
      </c>
      <c r="G105" s="3" t="s">
        <v>36</v>
      </c>
      <c r="H105" s="3" t="str">
        <f t="shared" si="1"/>
        <v>BJJ,,,,,</v>
      </c>
      <c r="I105" s="3" t="s">
        <v>29</v>
      </c>
      <c r="J105" s="3"/>
      <c r="K105" s="3"/>
      <c r="L105" s="3"/>
      <c r="M105" s="3"/>
      <c r="N105" s="3"/>
      <c r="O105" s="3" t="s">
        <v>76</v>
      </c>
      <c r="P105" s="3">
        <v>2.0</v>
      </c>
      <c r="Q105" s="3" t="s">
        <v>38</v>
      </c>
      <c r="R105" s="3">
        <v>5.0</v>
      </c>
      <c r="S105" s="3">
        <v>3.0</v>
      </c>
      <c r="T105" s="3" t="s">
        <v>39</v>
      </c>
      <c r="U105" s="3" t="s">
        <v>40</v>
      </c>
      <c r="V105" s="6"/>
    </row>
    <row r="106">
      <c r="A106" s="7">
        <v>43950.42296243056</v>
      </c>
      <c r="B106" s="3" t="s">
        <v>44</v>
      </c>
      <c r="C106" s="3" t="s">
        <v>145</v>
      </c>
      <c r="D106" s="3" t="s">
        <v>145</v>
      </c>
      <c r="E106" s="3" t="s">
        <v>146</v>
      </c>
      <c r="F106" s="3" t="s">
        <v>35</v>
      </c>
      <c r="G106" s="3" t="s">
        <v>48</v>
      </c>
      <c r="H106" s="3" t="str">
        <f t="shared" si="1"/>
        <v>BJJ,,,,,</v>
      </c>
      <c r="I106" s="3" t="s">
        <v>29</v>
      </c>
      <c r="J106" s="3"/>
      <c r="K106" s="3"/>
      <c r="L106" s="3"/>
      <c r="M106" s="3"/>
      <c r="N106" s="3"/>
      <c r="O106" s="3" t="s">
        <v>43</v>
      </c>
      <c r="P106" s="3">
        <v>5.0</v>
      </c>
      <c r="Q106" s="3" t="s">
        <v>111</v>
      </c>
      <c r="R106" s="3">
        <v>5.0</v>
      </c>
      <c r="S106" s="3">
        <v>4.0</v>
      </c>
      <c r="T106" s="3" t="s">
        <v>61</v>
      </c>
      <c r="U106" s="3" t="s">
        <v>62</v>
      </c>
      <c r="V106" s="8" t="s">
        <v>243</v>
      </c>
    </row>
    <row r="107">
      <c r="A107" s="7">
        <v>43952.0127044213</v>
      </c>
      <c r="B107" s="3" t="s">
        <v>32</v>
      </c>
      <c r="C107" s="3" t="s">
        <v>145</v>
      </c>
      <c r="D107" s="3" t="s">
        <v>145</v>
      </c>
      <c r="E107" s="3" t="s">
        <v>146</v>
      </c>
      <c r="F107" s="3" t="s">
        <v>35</v>
      </c>
      <c r="G107" s="3" t="s">
        <v>36</v>
      </c>
      <c r="H107" s="3" t="str">
        <f t="shared" si="1"/>
        <v>BJJ,,,,,</v>
      </c>
      <c r="I107" s="3" t="s">
        <v>29</v>
      </c>
      <c r="J107" s="3"/>
      <c r="K107" s="3"/>
      <c r="L107" s="3"/>
      <c r="M107" s="3"/>
      <c r="N107" s="3"/>
      <c r="O107" s="3" t="s">
        <v>43</v>
      </c>
      <c r="P107" s="3">
        <v>1.0</v>
      </c>
      <c r="Q107" s="3" t="s">
        <v>38</v>
      </c>
      <c r="R107" s="3">
        <v>5.0</v>
      </c>
      <c r="S107" s="3">
        <v>3.0</v>
      </c>
      <c r="T107" s="3" t="s">
        <v>39</v>
      </c>
      <c r="U107" s="3" t="s">
        <v>62</v>
      </c>
      <c r="V107" s="8" t="s">
        <v>244</v>
      </c>
    </row>
    <row r="108">
      <c r="A108" s="7">
        <v>43950.8515783912</v>
      </c>
      <c r="B108" s="3" t="s">
        <v>44</v>
      </c>
      <c r="C108" s="3" t="s">
        <v>201</v>
      </c>
      <c r="D108" s="3"/>
      <c r="E108" s="3" t="s">
        <v>201</v>
      </c>
      <c r="F108" s="3" t="s">
        <v>35</v>
      </c>
      <c r="G108" s="3" t="s">
        <v>48</v>
      </c>
      <c r="H108" s="3" t="str">
        <f t="shared" si="1"/>
        <v>BJJ,,,,,</v>
      </c>
      <c r="I108" s="3" t="s">
        <v>29</v>
      </c>
      <c r="J108" s="3"/>
      <c r="K108" s="3"/>
      <c r="L108" s="3"/>
      <c r="M108" s="3"/>
      <c r="N108" s="3"/>
      <c r="O108" s="3" t="s">
        <v>43</v>
      </c>
      <c r="P108" s="3">
        <v>1.0</v>
      </c>
      <c r="Q108" s="3" t="s">
        <v>49</v>
      </c>
      <c r="R108" s="3">
        <v>3.0</v>
      </c>
      <c r="S108" s="3">
        <v>4.0</v>
      </c>
      <c r="T108" s="3" t="s">
        <v>39</v>
      </c>
      <c r="U108" s="3" t="s">
        <v>40</v>
      </c>
      <c r="V108" s="8" t="s">
        <v>245</v>
      </c>
    </row>
    <row r="109">
      <c r="A109" s="7">
        <v>43950.74404880787</v>
      </c>
      <c r="B109" s="3" t="s">
        <v>32</v>
      </c>
      <c r="C109" s="3" t="s">
        <v>246</v>
      </c>
      <c r="D109" s="3"/>
      <c r="E109" s="3" t="s">
        <v>247</v>
      </c>
      <c r="F109" s="3" t="s">
        <v>136</v>
      </c>
      <c r="G109" s="3" t="s">
        <v>48</v>
      </c>
      <c r="H109" s="3" t="str">
        <f t="shared" si="1"/>
        <v>BJJ,,,,,</v>
      </c>
      <c r="I109" s="3" t="s">
        <v>29</v>
      </c>
      <c r="J109" s="3"/>
      <c r="K109" s="3"/>
      <c r="L109" s="3"/>
      <c r="M109" s="3"/>
      <c r="N109" s="3"/>
      <c r="O109" s="3" t="s">
        <v>76</v>
      </c>
      <c r="P109" s="3">
        <v>2.0</v>
      </c>
      <c r="Q109" s="3" t="s">
        <v>38</v>
      </c>
      <c r="R109" s="3">
        <v>4.0</v>
      </c>
      <c r="S109" s="3">
        <v>3.0</v>
      </c>
      <c r="T109" s="3" t="s">
        <v>169</v>
      </c>
      <c r="U109" s="3" t="s">
        <v>62</v>
      </c>
      <c r="V109" s="6"/>
    </row>
    <row r="110">
      <c r="A110" s="7">
        <v>43952.22135603009</v>
      </c>
      <c r="B110" s="3" t="s">
        <v>32</v>
      </c>
      <c r="C110" s="3" t="s">
        <v>248</v>
      </c>
      <c r="D110" s="3" t="s">
        <v>249</v>
      </c>
      <c r="E110" s="3" t="s">
        <v>250</v>
      </c>
      <c r="F110" s="3" t="s">
        <v>35</v>
      </c>
      <c r="G110" s="3" t="s">
        <v>48</v>
      </c>
      <c r="H110" s="3" t="str">
        <f t="shared" si="1"/>
        <v>BJJ,,,,,</v>
      </c>
      <c r="I110" s="3" t="s">
        <v>29</v>
      </c>
      <c r="J110" s="3"/>
      <c r="K110" s="3"/>
      <c r="L110" s="3"/>
      <c r="M110" s="3"/>
      <c r="N110" s="3"/>
      <c r="O110" s="3" t="s">
        <v>76</v>
      </c>
      <c r="P110" s="3">
        <v>1.0</v>
      </c>
      <c r="Q110" s="3" t="s">
        <v>49</v>
      </c>
      <c r="R110" s="3">
        <v>2.0</v>
      </c>
      <c r="S110" s="3">
        <v>4.0</v>
      </c>
      <c r="T110" s="3" t="s">
        <v>39</v>
      </c>
      <c r="U110" s="3" t="s">
        <v>40</v>
      </c>
      <c r="V110" s="8" t="s">
        <v>251</v>
      </c>
    </row>
    <row r="111">
      <c r="A111" s="7">
        <v>43950.84047466435</v>
      </c>
      <c r="B111" s="3" t="s">
        <v>32</v>
      </c>
      <c r="C111" s="3" t="s">
        <v>252</v>
      </c>
      <c r="D111" s="3" t="s">
        <v>253</v>
      </c>
      <c r="E111" s="3" t="s">
        <v>250</v>
      </c>
      <c r="F111" s="3" t="s">
        <v>35</v>
      </c>
      <c r="G111" s="3" t="s">
        <v>36</v>
      </c>
      <c r="H111" s="3" t="str">
        <f t="shared" si="1"/>
        <v>BJJ,,,,,</v>
      </c>
      <c r="I111" s="3" t="s">
        <v>29</v>
      </c>
      <c r="J111" s="3"/>
      <c r="K111" s="3"/>
      <c r="L111" s="3"/>
      <c r="M111" s="3"/>
      <c r="N111" s="3"/>
      <c r="O111" s="3" t="s">
        <v>55</v>
      </c>
      <c r="P111" s="3">
        <v>1.0</v>
      </c>
      <c r="Q111" s="3" t="s">
        <v>38</v>
      </c>
      <c r="R111" s="3">
        <v>5.0</v>
      </c>
      <c r="S111" s="3">
        <v>4.0</v>
      </c>
      <c r="T111" s="3" t="s">
        <v>39</v>
      </c>
      <c r="U111" s="3" t="s">
        <v>53</v>
      </c>
      <c r="V111" s="8" t="s">
        <v>254</v>
      </c>
    </row>
    <row r="112">
      <c r="A112" s="7">
        <v>43950.74813719907</v>
      </c>
      <c r="B112" s="3" t="s">
        <v>44</v>
      </c>
      <c r="C112" s="3" t="s">
        <v>255</v>
      </c>
      <c r="D112" s="3"/>
      <c r="E112" s="3" t="s">
        <v>256</v>
      </c>
      <c r="F112" s="3" t="s">
        <v>35</v>
      </c>
      <c r="G112" s="3" t="s">
        <v>36</v>
      </c>
      <c r="H112" s="3" t="str">
        <f t="shared" si="1"/>
        <v>BJJ,,,,,</v>
      </c>
      <c r="I112" s="3" t="s">
        <v>29</v>
      </c>
      <c r="J112" s="3"/>
      <c r="K112" s="3"/>
      <c r="L112" s="3"/>
      <c r="M112" s="3"/>
      <c r="N112" s="3"/>
      <c r="O112" s="3" t="s">
        <v>76</v>
      </c>
      <c r="P112" s="3">
        <v>1.0</v>
      </c>
      <c r="Q112" s="3" t="s">
        <v>49</v>
      </c>
      <c r="R112" s="3">
        <v>2.0</v>
      </c>
      <c r="S112" s="3">
        <v>3.0</v>
      </c>
      <c r="T112" s="3" t="s">
        <v>39</v>
      </c>
      <c r="U112" s="3" t="s">
        <v>40</v>
      </c>
      <c r="V112" s="8" t="s">
        <v>257</v>
      </c>
    </row>
    <row r="113">
      <c r="A113" s="7">
        <v>43950.94097923611</v>
      </c>
      <c r="B113" s="3" t="s">
        <v>32</v>
      </c>
      <c r="C113" s="3" t="s">
        <v>258</v>
      </c>
      <c r="D113" s="3"/>
      <c r="E113" s="3" t="s">
        <v>256</v>
      </c>
      <c r="F113" s="3" t="s">
        <v>35</v>
      </c>
      <c r="G113" s="3" t="s">
        <v>48</v>
      </c>
      <c r="H113" s="3" t="str">
        <f t="shared" si="1"/>
        <v>BJJ,,,,,</v>
      </c>
      <c r="I113" s="3" t="s">
        <v>29</v>
      </c>
      <c r="J113" s="3"/>
      <c r="K113" s="3"/>
      <c r="L113" s="3"/>
      <c r="M113" s="3"/>
      <c r="N113" s="3"/>
      <c r="O113" s="3" t="s">
        <v>37</v>
      </c>
      <c r="P113" s="3">
        <v>3.0</v>
      </c>
      <c r="Q113" s="3" t="s">
        <v>86</v>
      </c>
      <c r="R113" s="3">
        <v>5.0</v>
      </c>
      <c r="S113" s="3">
        <v>1.0</v>
      </c>
      <c r="T113" s="3" t="s">
        <v>61</v>
      </c>
      <c r="U113" s="3" t="s">
        <v>62</v>
      </c>
      <c r="V113" s="8" t="s">
        <v>259</v>
      </c>
    </row>
    <row r="114">
      <c r="A114" s="7">
        <v>43950.55387880787</v>
      </c>
      <c r="B114" s="3" t="s">
        <v>44</v>
      </c>
      <c r="C114" s="3" t="s">
        <v>260</v>
      </c>
      <c r="D114" s="3" t="s">
        <v>83</v>
      </c>
      <c r="E114" s="3" t="s">
        <v>261</v>
      </c>
      <c r="F114" s="3" t="s">
        <v>35</v>
      </c>
      <c r="G114" s="3" t="s">
        <v>48</v>
      </c>
      <c r="H114" s="3" t="str">
        <f t="shared" si="1"/>
        <v>BJJ,,,,,</v>
      </c>
      <c r="I114" s="3" t="s">
        <v>29</v>
      </c>
      <c r="J114" s="3"/>
      <c r="K114" s="3"/>
      <c r="L114" s="3"/>
      <c r="M114" s="3"/>
      <c r="N114" s="3"/>
      <c r="O114" s="3" t="s">
        <v>43</v>
      </c>
      <c r="P114" s="3">
        <v>2.0</v>
      </c>
      <c r="Q114" s="3" t="s">
        <v>49</v>
      </c>
      <c r="R114" s="3">
        <v>2.0</v>
      </c>
      <c r="S114" s="3">
        <v>4.0</v>
      </c>
      <c r="T114" s="3" t="s">
        <v>39</v>
      </c>
      <c r="U114" s="3" t="s">
        <v>40</v>
      </c>
      <c r="V114" s="6"/>
    </row>
    <row r="115">
      <c r="A115" s="7">
        <v>43951.7747240162</v>
      </c>
      <c r="B115" s="3" t="s">
        <v>32</v>
      </c>
      <c r="C115" s="3" t="s">
        <v>262</v>
      </c>
      <c r="D115" s="3" t="s">
        <v>263</v>
      </c>
      <c r="E115" s="3" t="s">
        <v>47</v>
      </c>
      <c r="F115" s="3"/>
      <c r="G115" s="3" t="s">
        <v>36</v>
      </c>
      <c r="H115" s="3" t="str">
        <f t="shared" si="1"/>
        <v>BJJ,,,,,</v>
      </c>
      <c r="I115" s="3" t="s">
        <v>29</v>
      </c>
      <c r="J115" s="3"/>
      <c r="K115" s="3"/>
      <c r="L115" s="3"/>
      <c r="M115" s="3"/>
      <c r="N115" s="3"/>
      <c r="O115" s="3" t="s">
        <v>37</v>
      </c>
      <c r="P115" s="3">
        <v>2.0</v>
      </c>
      <c r="Q115" s="3" t="s">
        <v>38</v>
      </c>
      <c r="R115" s="3">
        <v>2.0</v>
      </c>
      <c r="S115" s="3">
        <v>3.0</v>
      </c>
      <c r="T115" s="3" t="s">
        <v>39</v>
      </c>
      <c r="U115" s="3" t="s">
        <v>40</v>
      </c>
      <c r="V115" s="8" t="s">
        <v>264</v>
      </c>
    </row>
    <row r="116">
      <c r="A116" s="7">
        <v>43950.495862615746</v>
      </c>
      <c r="B116" s="3" t="s">
        <v>44</v>
      </c>
      <c r="C116" s="3" t="s">
        <v>45</v>
      </c>
      <c r="D116" s="3" t="s">
        <v>46</v>
      </c>
      <c r="E116" s="3" t="s">
        <v>47</v>
      </c>
      <c r="F116" s="3"/>
      <c r="G116" s="3" t="s">
        <v>48</v>
      </c>
      <c r="H116" s="3" t="str">
        <f t="shared" si="1"/>
        <v>BJJ,,,,,</v>
      </c>
      <c r="I116" s="3" t="s">
        <v>29</v>
      </c>
      <c r="J116" s="3"/>
      <c r="K116" s="3"/>
      <c r="L116" s="3"/>
      <c r="M116" s="3"/>
      <c r="N116" s="3"/>
      <c r="O116" s="3" t="s">
        <v>55</v>
      </c>
      <c r="P116" s="3">
        <v>1.0</v>
      </c>
      <c r="Q116" s="3" t="s">
        <v>38</v>
      </c>
      <c r="R116" s="3">
        <v>3.0</v>
      </c>
      <c r="S116" s="3">
        <v>3.0</v>
      </c>
      <c r="T116" s="3" t="s">
        <v>169</v>
      </c>
      <c r="U116" s="3" t="s">
        <v>62</v>
      </c>
      <c r="V116" s="6"/>
    </row>
    <row r="117">
      <c r="A117" s="7">
        <v>43952.943119930555</v>
      </c>
      <c r="B117" s="3" t="s">
        <v>32</v>
      </c>
      <c r="C117" s="3" t="s">
        <v>265</v>
      </c>
      <c r="D117" s="3"/>
      <c r="E117" s="3" t="s">
        <v>266</v>
      </c>
      <c r="F117" s="3" t="s">
        <v>35</v>
      </c>
      <c r="G117" s="3" t="s">
        <v>36</v>
      </c>
      <c r="H117" s="3" t="str">
        <f t="shared" si="1"/>
        <v>BJJ,,,,,</v>
      </c>
      <c r="I117" s="3" t="s">
        <v>29</v>
      </c>
      <c r="J117" s="3"/>
      <c r="K117" s="3"/>
      <c r="L117" s="3"/>
      <c r="M117" s="3"/>
      <c r="N117" s="3"/>
      <c r="O117" s="3" t="s">
        <v>37</v>
      </c>
      <c r="P117" s="3">
        <v>2.0</v>
      </c>
      <c r="Q117" s="3" t="s">
        <v>86</v>
      </c>
      <c r="R117" s="3">
        <v>4.0</v>
      </c>
      <c r="S117" s="3">
        <v>2.0</v>
      </c>
      <c r="T117" s="3" t="s">
        <v>39</v>
      </c>
      <c r="U117" s="3" t="s">
        <v>53</v>
      </c>
      <c r="V117" s="6"/>
    </row>
    <row r="118">
      <c r="A118" s="7">
        <v>43950.49073722222</v>
      </c>
      <c r="B118" s="3" t="s">
        <v>44</v>
      </c>
      <c r="C118" s="3" t="s">
        <v>52</v>
      </c>
      <c r="D118" s="3" t="s">
        <v>83</v>
      </c>
      <c r="E118" s="3" t="s">
        <v>52</v>
      </c>
      <c r="F118" s="3" t="s">
        <v>35</v>
      </c>
      <c r="G118" s="3" t="s">
        <v>36</v>
      </c>
      <c r="H118" s="3" t="str">
        <f t="shared" si="1"/>
        <v>BJJ,,,,,</v>
      </c>
      <c r="I118" s="3" t="s">
        <v>29</v>
      </c>
      <c r="J118" s="3"/>
      <c r="K118" s="3"/>
      <c r="L118" s="3"/>
      <c r="M118" s="3"/>
      <c r="N118" s="3"/>
      <c r="O118" s="3" t="s">
        <v>37</v>
      </c>
      <c r="P118" s="3">
        <v>1.0</v>
      </c>
      <c r="Q118" s="3" t="s">
        <v>49</v>
      </c>
      <c r="R118" s="3">
        <v>3.0</v>
      </c>
      <c r="S118" s="3">
        <v>3.0</v>
      </c>
      <c r="T118" s="3" t="s">
        <v>39</v>
      </c>
      <c r="U118" s="3" t="s">
        <v>40</v>
      </c>
      <c r="V118" s="8" t="s">
        <v>267</v>
      </c>
    </row>
    <row r="119">
      <c r="A119" s="7">
        <v>43950.534896666664</v>
      </c>
      <c r="B119" s="3" t="s">
        <v>44</v>
      </c>
      <c r="C119" s="3" t="s">
        <v>52</v>
      </c>
      <c r="D119" s="3" t="s">
        <v>83</v>
      </c>
      <c r="E119" s="3" t="s">
        <v>52</v>
      </c>
      <c r="F119" s="3" t="s">
        <v>35</v>
      </c>
      <c r="G119" s="3" t="s">
        <v>48</v>
      </c>
      <c r="H119" s="3" t="str">
        <f t="shared" si="1"/>
        <v>BJJ,,,,,</v>
      </c>
      <c r="I119" s="3" t="s">
        <v>29</v>
      </c>
      <c r="J119" s="3"/>
      <c r="K119" s="3"/>
      <c r="L119" s="3"/>
      <c r="M119" s="3"/>
      <c r="N119" s="3"/>
      <c r="O119" s="3" t="s">
        <v>76</v>
      </c>
      <c r="P119" s="3">
        <v>5.0</v>
      </c>
      <c r="Q119" s="3" t="s">
        <v>49</v>
      </c>
      <c r="R119" s="3">
        <v>2.0</v>
      </c>
      <c r="S119" s="3">
        <v>3.0</v>
      </c>
      <c r="T119" s="3" t="s">
        <v>169</v>
      </c>
      <c r="U119" s="3" t="s">
        <v>62</v>
      </c>
      <c r="V119" s="6"/>
    </row>
    <row r="120">
      <c r="A120" s="7">
        <v>43950.590650474536</v>
      </c>
      <c r="B120" s="3" t="s">
        <v>32</v>
      </c>
      <c r="C120" s="3" t="s">
        <v>52</v>
      </c>
      <c r="D120" s="3" t="s">
        <v>83</v>
      </c>
      <c r="E120" s="3" t="s">
        <v>52</v>
      </c>
      <c r="F120" s="3" t="s">
        <v>35</v>
      </c>
      <c r="G120" s="3" t="s">
        <v>48</v>
      </c>
      <c r="H120" s="3" t="str">
        <f t="shared" si="1"/>
        <v>BJJ,,,,,</v>
      </c>
      <c r="I120" s="3" t="s">
        <v>29</v>
      </c>
      <c r="J120" s="3"/>
      <c r="K120" s="3"/>
      <c r="L120" s="3"/>
      <c r="M120" s="3"/>
      <c r="N120" s="3"/>
      <c r="O120" s="3" t="s">
        <v>37</v>
      </c>
      <c r="P120" s="3">
        <v>2.0</v>
      </c>
      <c r="Q120" s="3" t="s">
        <v>86</v>
      </c>
      <c r="R120" s="3">
        <v>5.0</v>
      </c>
      <c r="S120" s="3">
        <v>2.0</v>
      </c>
      <c r="T120" s="3" t="s">
        <v>169</v>
      </c>
      <c r="U120" s="3" t="s">
        <v>62</v>
      </c>
      <c r="V120" s="8" t="s">
        <v>268</v>
      </c>
    </row>
    <row r="121">
      <c r="A121" s="7">
        <v>43951.74386353009</v>
      </c>
      <c r="B121" s="3" t="s">
        <v>57</v>
      </c>
      <c r="C121" s="3" t="s">
        <v>52</v>
      </c>
      <c r="D121" s="3"/>
      <c r="E121" s="3" t="s">
        <v>52</v>
      </c>
      <c r="F121" s="3" t="s">
        <v>35</v>
      </c>
      <c r="G121" s="3" t="s">
        <v>36</v>
      </c>
      <c r="H121" s="3" t="str">
        <f t="shared" si="1"/>
        <v>BJJ,,,,,</v>
      </c>
      <c r="I121" s="3" t="s">
        <v>29</v>
      </c>
      <c r="J121" s="3"/>
      <c r="K121" s="3"/>
      <c r="L121" s="3"/>
      <c r="M121" s="3"/>
      <c r="N121" s="3"/>
      <c r="O121" s="3" t="s">
        <v>37</v>
      </c>
      <c r="P121" s="3">
        <v>2.0</v>
      </c>
      <c r="Q121" s="3" t="s">
        <v>38</v>
      </c>
      <c r="R121" s="3">
        <v>3.0</v>
      </c>
      <c r="S121" s="3">
        <v>5.0</v>
      </c>
      <c r="T121" s="3" t="s">
        <v>39</v>
      </c>
      <c r="U121" s="3" t="s">
        <v>62</v>
      </c>
      <c r="V121" s="6"/>
    </row>
    <row r="122">
      <c r="A122" s="7">
        <v>43951.78815393518</v>
      </c>
      <c r="B122" s="3" t="s">
        <v>32</v>
      </c>
      <c r="C122" s="3" t="s">
        <v>52</v>
      </c>
      <c r="D122" s="3"/>
      <c r="E122" s="3" t="s">
        <v>52</v>
      </c>
      <c r="F122" s="3" t="s">
        <v>35</v>
      </c>
      <c r="G122" s="3" t="s">
        <v>48</v>
      </c>
      <c r="H122" s="3" t="str">
        <f t="shared" si="1"/>
        <v>BJJ,,,,,</v>
      </c>
      <c r="I122" s="3" t="s">
        <v>29</v>
      </c>
      <c r="J122" s="3"/>
      <c r="K122" s="3"/>
      <c r="L122" s="3"/>
      <c r="M122" s="3"/>
      <c r="N122" s="3"/>
      <c r="O122" s="3" t="s">
        <v>43</v>
      </c>
      <c r="P122" s="3">
        <v>1.0</v>
      </c>
      <c r="Q122" s="3" t="s">
        <v>49</v>
      </c>
      <c r="R122" s="3">
        <v>2.0</v>
      </c>
      <c r="S122" s="3">
        <v>5.0</v>
      </c>
      <c r="T122" s="3" t="s">
        <v>39</v>
      </c>
      <c r="U122" s="3" t="s">
        <v>40</v>
      </c>
      <c r="V122" s="8" t="s">
        <v>269</v>
      </c>
    </row>
    <row r="123">
      <c r="A123" s="7">
        <v>43951.87458949074</v>
      </c>
      <c r="B123" s="3" t="s">
        <v>32</v>
      </c>
      <c r="C123" s="3" t="s">
        <v>52</v>
      </c>
      <c r="D123" s="3"/>
      <c r="E123" s="3" t="s">
        <v>52</v>
      </c>
      <c r="F123" s="3" t="s">
        <v>35</v>
      </c>
      <c r="G123" s="3" t="s">
        <v>36</v>
      </c>
      <c r="H123" s="3" t="str">
        <f t="shared" si="1"/>
        <v>BJJ,,,,,</v>
      </c>
      <c r="I123" s="3" t="s">
        <v>29</v>
      </c>
      <c r="J123" s="3"/>
      <c r="K123" s="3"/>
      <c r="L123" s="3"/>
      <c r="M123" s="3"/>
      <c r="N123" s="3"/>
      <c r="O123" s="3" t="s">
        <v>76</v>
      </c>
      <c r="P123" s="3">
        <v>1.0</v>
      </c>
      <c r="Q123" s="3" t="s">
        <v>38</v>
      </c>
      <c r="R123" s="3">
        <v>3.0</v>
      </c>
      <c r="S123" s="3">
        <v>3.0</v>
      </c>
      <c r="T123" s="3" t="s">
        <v>39</v>
      </c>
      <c r="U123" s="3" t="s">
        <v>40</v>
      </c>
      <c r="V123" s="8" t="s">
        <v>270</v>
      </c>
    </row>
    <row r="124">
      <c r="A124" s="7">
        <v>43952.35611840278</v>
      </c>
      <c r="B124" s="3" t="s">
        <v>32</v>
      </c>
      <c r="C124" s="3" t="s">
        <v>52</v>
      </c>
      <c r="D124" s="3"/>
      <c r="E124" s="3" t="s">
        <v>52</v>
      </c>
      <c r="F124" s="3" t="s">
        <v>35</v>
      </c>
      <c r="G124" s="3" t="s">
        <v>36</v>
      </c>
      <c r="H124" s="3" t="str">
        <f t="shared" si="1"/>
        <v>BJJ,,,,,</v>
      </c>
      <c r="I124" s="3" t="s">
        <v>29</v>
      </c>
      <c r="J124" s="3"/>
      <c r="K124" s="3"/>
      <c r="L124" s="3"/>
      <c r="M124" s="3"/>
      <c r="N124" s="3"/>
      <c r="O124" s="3" t="s">
        <v>43</v>
      </c>
      <c r="P124" s="3">
        <v>1.0</v>
      </c>
      <c r="Q124" s="3" t="s">
        <v>38</v>
      </c>
      <c r="R124" s="3">
        <v>3.0</v>
      </c>
      <c r="S124" s="3">
        <v>1.0</v>
      </c>
      <c r="T124" s="3" t="s">
        <v>39</v>
      </c>
      <c r="U124" s="3" t="s">
        <v>40</v>
      </c>
      <c r="V124" s="6"/>
    </row>
    <row r="125">
      <c r="A125" s="7">
        <v>43950.748186296296</v>
      </c>
      <c r="B125" s="3" t="s">
        <v>32</v>
      </c>
      <c r="C125" s="3" t="s">
        <v>60</v>
      </c>
      <c r="D125" s="3" t="s">
        <v>59</v>
      </c>
      <c r="E125" s="3" t="s">
        <v>60</v>
      </c>
      <c r="F125" s="3" t="s">
        <v>35</v>
      </c>
      <c r="G125" s="3" t="s">
        <v>48</v>
      </c>
      <c r="H125" s="3" t="str">
        <f t="shared" si="1"/>
        <v>BJJ,,,,,</v>
      </c>
      <c r="I125" s="3" t="s">
        <v>29</v>
      </c>
      <c r="J125" s="3"/>
      <c r="K125" s="3"/>
      <c r="L125" s="3"/>
      <c r="M125" s="3"/>
      <c r="N125" s="3"/>
      <c r="O125" s="3" t="s">
        <v>37</v>
      </c>
      <c r="P125" s="3">
        <v>1.0</v>
      </c>
      <c r="Q125" s="3" t="s">
        <v>49</v>
      </c>
      <c r="R125" s="3">
        <v>2.0</v>
      </c>
      <c r="S125" s="3">
        <v>2.0</v>
      </c>
      <c r="T125" s="3" t="s">
        <v>61</v>
      </c>
      <c r="U125" s="3" t="s">
        <v>62</v>
      </c>
      <c r="V125" s="8" t="s">
        <v>271</v>
      </c>
    </row>
    <row r="126">
      <c r="A126" s="7">
        <v>43951.82759010416</v>
      </c>
      <c r="B126" s="3" t="s">
        <v>57</v>
      </c>
      <c r="C126" s="3" t="s">
        <v>60</v>
      </c>
      <c r="D126" s="3" t="s">
        <v>59</v>
      </c>
      <c r="E126" s="3" t="s">
        <v>60</v>
      </c>
      <c r="F126" s="3" t="s">
        <v>35</v>
      </c>
      <c r="G126" s="3" t="s">
        <v>36</v>
      </c>
      <c r="H126" s="3" t="str">
        <f t="shared" si="1"/>
        <v>BJJ,,,,,</v>
      </c>
      <c r="I126" s="3" t="s">
        <v>29</v>
      </c>
      <c r="J126" s="3"/>
      <c r="K126" s="3"/>
      <c r="L126" s="3"/>
      <c r="M126" s="3"/>
      <c r="N126" s="3"/>
      <c r="O126" s="3" t="s">
        <v>43</v>
      </c>
      <c r="P126" s="3">
        <v>2.0</v>
      </c>
      <c r="Q126" s="3" t="s">
        <v>38</v>
      </c>
      <c r="R126" s="3">
        <v>3.0</v>
      </c>
      <c r="S126" s="3">
        <v>3.0</v>
      </c>
      <c r="T126" s="3" t="s">
        <v>39</v>
      </c>
      <c r="U126" s="3" t="s">
        <v>40</v>
      </c>
      <c r="V126" s="8" t="s">
        <v>272</v>
      </c>
    </row>
    <row r="127" ht="33.0" customHeight="1">
      <c r="A127" s="7">
        <v>43951.46838583333</v>
      </c>
      <c r="B127" s="3" t="s">
        <v>44</v>
      </c>
      <c r="C127" s="3" t="s">
        <v>273</v>
      </c>
      <c r="D127" s="3" t="s">
        <v>59</v>
      </c>
      <c r="E127" s="3" t="s">
        <v>60</v>
      </c>
      <c r="F127" s="3" t="s">
        <v>35</v>
      </c>
      <c r="G127" s="3" t="s">
        <v>48</v>
      </c>
      <c r="H127" s="3" t="str">
        <f t="shared" si="1"/>
        <v>BJJ,,,,,</v>
      </c>
      <c r="I127" s="3" t="s">
        <v>29</v>
      </c>
      <c r="J127" s="3"/>
      <c r="K127" s="3"/>
      <c r="L127" s="3"/>
      <c r="M127" s="3"/>
      <c r="N127" s="3"/>
      <c r="O127" s="3" t="s">
        <v>76</v>
      </c>
      <c r="P127" s="3">
        <v>1.0</v>
      </c>
      <c r="Q127" s="3" t="s">
        <v>38</v>
      </c>
      <c r="R127" s="3">
        <v>4.0</v>
      </c>
      <c r="S127" s="3">
        <v>2.0</v>
      </c>
      <c r="T127" s="3" t="s">
        <v>39</v>
      </c>
      <c r="U127" s="3" t="s">
        <v>53</v>
      </c>
      <c r="V127" s="8" t="s">
        <v>274</v>
      </c>
    </row>
    <row r="128">
      <c r="A128" s="7">
        <v>43951.46582641204</v>
      </c>
      <c r="B128" s="3" t="s">
        <v>44</v>
      </c>
      <c r="C128" s="3" t="s">
        <v>104</v>
      </c>
      <c r="D128" s="3" t="s">
        <v>59</v>
      </c>
      <c r="E128" s="3" t="s">
        <v>60</v>
      </c>
      <c r="F128" s="3" t="s">
        <v>35</v>
      </c>
      <c r="G128" s="3" t="s">
        <v>48</v>
      </c>
      <c r="H128" s="3" t="str">
        <f t="shared" si="1"/>
        <v>BJJ,,,,,</v>
      </c>
      <c r="I128" s="3" t="s">
        <v>29</v>
      </c>
      <c r="J128" s="3"/>
      <c r="K128" s="3"/>
      <c r="L128" s="3"/>
      <c r="M128" s="3"/>
      <c r="N128" s="3"/>
      <c r="O128" s="3" t="s">
        <v>37</v>
      </c>
      <c r="P128" s="3">
        <v>1.0</v>
      </c>
      <c r="Q128" s="3" t="s">
        <v>49</v>
      </c>
      <c r="R128" s="3">
        <v>3.0</v>
      </c>
      <c r="S128" s="3">
        <v>3.0</v>
      </c>
      <c r="T128" s="3" t="s">
        <v>39</v>
      </c>
      <c r="U128" s="3" t="s">
        <v>40</v>
      </c>
      <c r="V128" s="8" t="s">
        <v>275</v>
      </c>
    </row>
    <row r="129">
      <c r="A129" s="7">
        <v>43951.46624840278</v>
      </c>
      <c r="B129" s="3" t="s">
        <v>44</v>
      </c>
      <c r="C129" s="3" t="s">
        <v>104</v>
      </c>
      <c r="D129" s="3" t="s">
        <v>59</v>
      </c>
      <c r="E129" s="3" t="s">
        <v>60</v>
      </c>
      <c r="F129" s="3" t="s">
        <v>35</v>
      </c>
      <c r="G129" s="3" t="s">
        <v>48</v>
      </c>
      <c r="H129" s="3" t="str">
        <f t="shared" si="1"/>
        <v>BJJ,,,,,</v>
      </c>
      <c r="I129" s="3" t="s">
        <v>29</v>
      </c>
      <c r="J129" s="3"/>
      <c r="K129" s="3"/>
      <c r="L129" s="3"/>
      <c r="M129" s="3"/>
      <c r="N129" s="3"/>
      <c r="O129" s="3" t="s">
        <v>55</v>
      </c>
      <c r="P129" s="3">
        <v>1.0</v>
      </c>
      <c r="Q129" s="3" t="s">
        <v>49</v>
      </c>
      <c r="R129" s="3">
        <v>2.0</v>
      </c>
      <c r="S129" s="3">
        <v>3.0</v>
      </c>
      <c r="T129" s="3" t="s">
        <v>169</v>
      </c>
      <c r="U129" s="3" t="s">
        <v>62</v>
      </c>
      <c r="V129" s="6"/>
    </row>
    <row r="130">
      <c r="A130" s="7">
        <v>43950.75334756944</v>
      </c>
      <c r="B130" s="3" t="s">
        <v>44</v>
      </c>
      <c r="C130" s="3" t="s">
        <v>276</v>
      </c>
      <c r="D130" s="3" t="s">
        <v>59</v>
      </c>
      <c r="E130" s="3" t="s">
        <v>60</v>
      </c>
      <c r="F130" s="3" t="s">
        <v>35</v>
      </c>
      <c r="G130" s="3" t="s">
        <v>48</v>
      </c>
      <c r="H130" s="3" t="str">
        <f t="shared" si="1"/>
        <v>BJJ,,,,,</v>
      </c>
      <c r="I130" s="3" t="s">
        <v>29</v>
      </c>
      <c r="J130" s="3"/>
      <c r="K130" s="3"/>
      <c r="L130" s="3"/>
      <c r="M130" s="3"/>
      <c r="N130" s="3"/>
      <c r="O130" s="3" t="s">
        <v>37</v>
      </c>
      <c r="P130" s="3">
        <v>1.0</v>
      </c>
      <c r="Q130" s="3" t="s">
        <v>49</v>
      </c>
      <c r="R130" s="3">
        <v>3.0</v>
      </c>
      <c r="S130" s="3">
        <v>5.0</v>
      </c>
      <c r="T130" s="3" t="s">
        <v>39</v>
      </c>
      <c r="U130" s="3" t="s">
        <v>40</v>
      </c>
      <c r="V130" s="6"/>
    </row>
    <row r="131">
      <c r="A131" s="7">
        <v>43950.63801090278</v>
      </c>
      <c r="B131" s="3" t="s">
        <v>32</v>
      </c>
      <c r="C131" s="3" t="s">
        <v>277</v>
      </c>
      <c r="D131" s="3" t="s">
        <v>83</v>
      </c>
      <c r="E131" s="3" t="s">
        <v>162</v>
      </c>
      <c r="F131" s="3" t="s">
        <v>35</v>
      </c>
      <c r="G131" s="3" t="s">
        <v>48</v>
      </c>
      <c r="H131" s="3" t="str">
        <f t="shared" si="1"/>
        <v>BJJ,,,,,</v>
      </c>
      <c r="I131" s="3" t="s">
        <v>29</v>
      </c>
      <c r="J131" s="3"/>
      <c r="K131" s="3"/>
      <c r="L131" s="3"/>
      <c r="M131" s="3"/>
      <c r="N131" s="3"/>
      <c r="O131" s="3" t="s">
        <v>55</v>
      </c>
      <c r="P131" s="3">
        <v>5.0</v>
      </c>
      <c r="Q131" s="3" t="s">
        <v>49</v>
      </c>
      <c r="R131" s="3">
        <v>2.0</v>
      </c>
      <c r="S131" s="3">
        <v>5.0</v>
      </c>
      <c r="T131" s="3" t="s">
        <v>39</v>
      </c>
      <c r="U131" s="3" t="s">
        <v>40</v>
      </c>
      <c r="V131" s="6"/>
    </row>
    <row r="132">
      <c r="A132" s="7">
        <v>43950.49623040509</v>
      </c>
      <c r="B132" s="3" t="s">
        <v>71</v>
      </c>
      <c r="C132" s="3" t="s">
        <v>162</v>
      </c>
      <c r="D132" s="3" t="s">
        <v>83</v>
      </c>
      <c r="E132" s="3" t="s">
        <v>162</v>
      </c>
      <c r="F132" s="3" t="s">
        <v>35</v>
      </c>
      <c r="G132" s="3" t="s">
        <v>48</v>
      </c>
      <c r="H132" s="3" t="str">
        <f t="shared" si="1"/>
        <v>BJJ,,,,,</v>
      </c>
      <c r="I132" s="3" t="s">
        <v>29</v>
      </c>
      <c r="J132" s="3"/>
      <c r="K132" s="3"/>
      <c r="L132" s="3"/>
      <c r="M132" s="3"/>
      <c r="N132" s="3"/>
      <c r="O132" s="3" t="s">
        <v>55</v>
      </c>
      <c r="P132" s="3">
        <v>1.0</v>
      </c>
      <c r="Q132" s="3" t="s">
        <v>38</v>
      </c>
      <c r="R132" s="3">
        <v>4.0</v>
      </c>
      <c r="S132" s="3">
        <v>4.0</v>
      </c>
      <c r="T132" s="3" t="s">
        <v>39</v>
      </c>
      <c r="U132" s="3" t="s">
        <v>40</v>
      </c>
      <c r="V132" s="8" t="s">
        <v>278</v>
      </c>
    </row>
    <row r="133">
      <c r="A133" s="7">
        <v>43950.597071412034</v>
      </c>
      <c r="B133" s="3" t="s">
        <v>32</v>
      </c>
      <c r="C133" s="3" t="s">
        <v>279</v>
      </c>
      <c r="D133" s="3" t="s">
        <v>83</v>
      </c>
      <c r="E133" s="3" t="s">
        <v>162</v>
      </c>
      <c r="F133" s="3" t="s">
        <v>35</v>
      </c>
      <c r="G133" s="3" t="s">
        <v>48</v>
      </c>
      <c r="H133" s="3" t="str">
        <f t="shared" si="1"/>
        <v>BJJ,,,,,</v>
      </c>
      <c r="I133" s="3" t="s">
        <v>29</v>
      </c>
      <c r="J133" s="3"/>
      <c r="K133" s="3"/>
      <c r="L133" s="3"/>
      <c r="M133" s="3"/>
      <c r="N133" s="3"/>
      <c r="O133" s="3" t="s">
        <v>76</v>
      </c>
      <c r="P133" s="3">
        <v>1.0</v>
      </c>
      <c r="Q133" s="3" t="s">
        <v>49</v>
      </c>
      <c r="R133" s="3">
        <v>2.0</v>
      </c>
      <c r="S133" s="3">
        <v>5.0</v>
      </c>
      <c r="T133" s="3" t="s">
        <v>39</v>
      </c>
      <c r="U133" s="3" t="s">
        <v>40</v>
      </c>
      <c r="V133" s="6"/>
    </row>
    <row r="134">
      <c r="A134" s="7">
        <v>43950.898939907405</v>
      </c>
      <c r="B134" s="3" t="s">
        <v>44</v>
      </c>
      <c r="C134" s="3" t="s">
        <v>164</v>
      </c>
      <c r="D134" s="3" t="s">
        <v>280</v>
      </c>
      <c r="E134" s="3" t="s">
        <v>165</v>
      </c>
      <c r="F134" s="3" t="s">
        <v>35</v>
      </c>
      <c r="G134" s="3" t="s">
        <v>48</v>
      </c>
      <c r="H134" s="3" t="str">
        <f t="shared" si="1"/>
        <v>BJJ,,,,,</v>
      </c>
      <c r="I134" s="3" t="s">
        <v>29</v>
      </c>
      <c r="J134" s="3"/>
      <c r="K134" s="3"/>
      <c r="L134" s="3"/>
      <c r="M134" s="3"/>
      <c r="N134" s="3"/>
      <c r="O134" s="3" t="s">
        <v>55</v>
      </c>
      <c r="P134" s="3">
        <v>5.0</v>
      </c>
      <c r="Q134" s="3" t="s">
        <v>49</v>
      </c>
      <c r="R134" s="3">
        <v>2.0</v>
      </c>
      <c r="S134" s="3">
        <v>5.0</v>
      </c>
      <c r="T134" s="3" t="s">
        <v>39</v>
      </c>
      <c r="U134" s="3" t="s">
        <v>40</v>
      </c>
      <c r="V134" s="6"/>
    </row>
    <row r="135">
      <c r="A135" s="7">
        <v>43952.298671516204</v>
      </c>
      <c r="B135" s="3" t="s">
        <v>32</v>
      </c>
      <c r="C135" s="3" t="s">
        <v>281</v>
      </c>
      <c r="D135" s="3"/>
      <c r="E135" s="3" t="s">
        <v>165</v>
      </c>
      <c r="F135" s="3" t="s">
        <v>35</v>
      </c>
      <c r="G135" s="3" t="s">
        <v>48</v>
      </c>
      <c r="H135" s="3" t="str">
        <f t="shared" si="1"/>
        <v>BJJ,,,,,</v>
      </c>
      <c r="I135" s="3" t="s">
        <v>29</v>
      </c>
      <c r="J135" s="3"/>
      <c r="K135" s="3"/>
      <c r="L135" s="3"/>
      <c r="M135" s="3"/>
      <c r="N135" s="3"/>
      <c r="O135" s="3" t="s">
        <v>76</v>
      </c>
      <c r="P135" s="3">
        <v>1.0</v>
      </c>
      <c r="Q135" s="3" t="s">
        <v>111</v>
      </c>
      <c r="R135" s="3">
        <v>5.0</v>
      </c>
      <c r="S135" s="3">
        <v>1.0</v>
      </c>
      <c r="T135" s="3" t="s">
        <v>39</v>
      </c>
      <c r="U135" s="3" t="s">
        <v>40</v>
      </c>
      <c r="V135" s="8" t="s">
        <v>282</v>
      </c>
    </row>
    <row r="136">
      <c r="A136" s="7">
        <v>43951.736946875</v>
      </c>
      <c r="B136" s="3" t="s">
        <v>57</v>
      </c>
      <c r="C136" s="3" t="s">
        <v>283</v>
      </c>
      <c r="D136" s="3" t="s">
        <v>284</v>
      </c>
      <c r="E136" s="3" t="s">
        <v>165</v>
      </c>
      <c r="F136" s="3" t="s">
        <v>35</v>
      </c>
      <c r="G136" s="3" t="s">
        <v>36</v>
      </c>
      <c r="H136" s="3" t="str">
        <f t="shared" si="1"/>
        <v>BJJ,,,,,</v>
      </c>
      <c r="I136" s="3" t="s">
        <v>29</v>
      </c>
      <c r="J136" s="3"/>
      <c r="K136" s="3"/>
      <c r="L136" s="3"/>
      <c r="M136" s="3"/>
      <c r="N136" s="3"/>
      <c r="O136" s="3" t="s">
        <v>37</v>
      </c>
      <c r="P136" s="3">
        <v>1.0</v>
      </c>
      <c r="Q136" s="3" t="s">
        <v>38</v>
      </c>
      <c r="R136" s="3">
        <v>4.0</v>
      </c>
      <c r="S136" s="3">
        <v>3.0</v>
      </c>
      <c r="T136" s="3" t="s">
        <v>39</v>
      </c>
      <c r="U136" s="3" t="s">
        <v>40</v>
      </c>
      <c r="V136" s="8" t="s">
        <v>285</v>
      </c>
    </row>
    <row r="137">
      <c r="A137" s="7">
        <v>43950.71434225695</v>
      </c>
      <c r="B137" s="3" t="s">
        <v>44</v>
      </c>
      <c r="C137" s="3" t="s">
        <v>165</v>
      </c>
      <c r="D137" s="3"/>
      <c r="E137" s="3" t="s">
        <v>165</v>
      </c>
      <c r="F137" s="3" t="s">
        <v>35</v>
      </c>
      <c r="G137" s="3" t="s">
        <v>48</v>
      </c>
      <c r="H137" s="3" t="str">
        <f t="shared" si="1"/>
        <v>BJJ,,,,,</v>
      </c>
      <c r="I137" s="3" t="s">
        <v>29</v>
      </c>
      <c r="J137" s="3"/>
      <c r="K137" s="3"/>
      <c r="L137" s="3"/>
      <c r="M137" s="3"/>
      <c r="N137" s="3"/>
      <c r="O137" s="3" t="s">
        <v>76</v>
      </c>
      <c r="P137" s="3">
        <v>1.0</v>
      </c>
      <c r="Q137" s="3" t="s">
        <v>49</v>
      </c>
      <c r="R137" s="3">
        <v>2.0</v>
      </c>
      <c r="S137" s="3">
        <v>5.0</v>
      </c>
      <c r="T137" s="3" t="s">
        <v>39</v>
      </c>
      <c r="U137" s="3" t="s">
        <v>53</v>
      </c>
      <c r="V137" s="6"/>
    </row>
    <row r="138">
      <c r="A138" s="7">
        <v>43951.770142187495</v>
      </c>
      <c r="B138" s="3" t="s">
        <v>44</v>
      </c>
      <c r="C138" s="3" t="s">
        <v>65</v>
      </c>
      <c r="D138" s="3" t="s">
        <v>65</v>
      </c>
      <c r="E138" s="3" t="s">
        <v>66</v>
      </c>
      <c r="F138" s="3" t="s">
        <v>106</v>
      </c>
      <c r="G138" s="3" t="s">
        <v>48</v>
      </c>
      <c r="H138" s="3" t="str">
        <f t="shared" si="1"/>
        <v>BJJ,,,,,</v>
      </c>
      <c r="I138" s="3" t="s">
        <v>29</v>
      </c>
      <c r="J138" s="3"/>
      <c r="K138" s="3"/>
      <c r="L138" s="3"/>
      <c r="M138" s="3"/>
      <c r="N138" s="3"/>
      <c r="O138" s="3" t="s">
        <v>76</v>
      </c>
      <c r="P138" s="3">
        <v>1.0</v>
      </c>
      <c r="Q138" s="3" t="s">
        <v>38</v>
      </c>
      <c r="R138" s="3">
        <v>5.0</v>
      </c>
      <c r="S138" s="3">
        <v>2.0</v>
      </c>
      <c r="T138" s="3" t="s">
        <v>39</v>
      </c>
      <c r="U138" s="3" t="s">
        <v>40</v>
      </c>
      <c r="V138" s="8" t="s">
        <v>286</v>
      </c>
    </row>
    <row r="139">
      <c r="A139" s="7">
        <v>43951.744658634256</v>
      </c>
      <c r="B139" s="3" t="s">
        <v>32</v>
      </c>
      <c r="C139" s="3" t="s">
        <v>214</v>
      </c>
      <c r="D139" s="3" t="s">
        <v>65</v>
      </c>
      <c r="E139" s="3" t="s">
        <v>66</v>
      </c>
      <c r="F139" s="3" t="s">
        <v>106</v>
      </c>
      <c r="G139" s="3" t="s">
        <v>36</v>
      </c>
      <c r="H139" s="3" t="str">
        <f t="shared" si="1"/>
        <v>BJJ,,,,,</v>
      </c>
      <c r="I139" s="3" t="s">
        <v>29</v>
      </c>
      <c r="J139" s="3"/>
      <c r="K139" s="3"/>
      <c r="L139" s="3"/>
      <c r="M139" s="3"/>
      <c r="N139" s="3"/>
      <c r="O139" s="3" t="s">
        <v>37</v>
      </c>
      <c r="P139" s="3">
        <v>1.0</v>
      </c>
      <c r="Q139" s="3" t="s">
        <v>86</v>
      </c>
      <c r="R139" s="3">
        <v>4.0</v>
      </c>
      <c r="S139" s="3">
        <v>5.0</v>
      </c>
      <c r="T139" s="3" t="s">
        <v>61</v>
      </c>
      <c r="U139" s="3" t="s">
        <v>62</v>
      </c>
      <c r="V139" s="8" t="s">
        <v>287</v>
      </c>
    </row>
    <row r="140">
      <c r="A140" s="7">
        <v>43951.7475718287</v>
      </c>
      <c r="B140" s="3" t="s">
        <v>32</v>
      </c>
      <c r="C140" s="3" t="s">
        <v>288</v>
      </c>
      <c r="D140" s="3"/>
      <c r="E140" s="3" t="s">
        <v>289</v>
      </c>
      <c r="F140" s="3" t="s">
        <v>35</v>
      </c>
      <c r="G140" s="3" t="s">
        <v>48</v>
      </c>
      <c r="H140" s="3" t="str">
        <f t="shared" si="1"/>
        <v>BJJ,,,,,</v>
      </c>
      <c r="I140" s="3" t="s">
        <v>29</v>
      </c>
      <c r="J140" s="3"/>
      <c r="K140" s="3"/>
      <c r="L140" s="3"/>
      <c r="M140" s="3"/>
      <c r="N140" s="3"/>
      <c r="O140" s="3" t="s">
        <v>37</v>
      </c>
      <c r="P140" s="3">
        <v>1.0</v>
      </c>
      <c r="Q140" s="3" t="s">
        <v>38</v>
      </c>
      <c r="R140" s="3">
        <v>2.0</v>
      </c>
      <c r="S140" s="3">
        <v>4.0</v>
      </c>
      <c r="T140" s="3" t="s">
        <v>61</v>
      </c>
      <c r="U140" s="3" t="s">
        <v>62</v>
      </c>
      <c r="V140" s="8" t="s">
        <v>290</v>
      </c>
    </row>
    <row r="141">
      <c r="A141" s="7">
        <v>43950.71548678241</v>
      </c>
      <c r="B141" s="3" t="s">
        <v>44</v>
      </c>
      <c r="C141" s="3" t="s">
        <v>289</v>
      </c>
      <c r="D141" s="3"/>
      <c r="E141" s="3" t="s">
        <v>289</v>
      </c>
      <c r="F141" s="3" t="s">
        <v>35</v>
      </c>
      <c r="G141" s="3" t="s">
        <v>48</v>
      </c>
      <c r="H141" s="3" t="str">
        <f t="shared" si="1"/>
        <v>BJJ,,,,,</v>
      </c>
      <c r="I141" s="3" t="s">
        <v>29</v>
      </c>
      <c r="J141" s="3"/>
      <c r="K141" s="3"/>
      <c r="L141" s="3"/>
      <c r="M141" s="3"/>
      <c r="N141" s="3"/>
      <c r="O141" s="3" t="s">
        <v>37</v>
      </c>
      <c r="P141" s="3">
        <v>1.0</v>
      </c>
      <c r="Q141" s="3" t="s">
        <v>38</v>
      </c>
      <c r="R141" s="3">
        <v>4.0</v>
      </c>
      <c r="S141" s="3">
        <v>5.0</v>
      </c>
      <c r="T141" s="3" t="s">
        <v>61</v>
      </c>
      <c r="U141" s="3" t="s">
        <v>62</v>
      </c>
      <c r="V141" s="6"/>
    </row>
    <row r="142">
      <c r="A142" s="7">
        <v>43952.56697883102</v>
      </c>
      <c r="B142" s="3" t="s">
        <v>32</v>
      </c>
      <c r="C142" s="3" t="s">
        <v>289</v>
      </c>
      <c r="D142" s="3"/>
      <c r="E142" s="3" t="s">
        <v>289</v>
      </c>
      <c r="F142" s="3" t="s">
        <v>35</v>
      </c>
      <c r="G142" s="3" t="s">
        <v>36</v>
      </c>
      <c r="H142" s="3" t="str">
        <f t="shared" si="1"/>
        <v>BJJ,,,,,</v>
      </c>
      <c r="I142" s="3" t="s">
        <v>29</v>
      </c>
      <c r="J142" s="3"/>
      <c r="K142" s="3"/>
      <c r="L142" s="3"/>
      <c r="M142" s="3"/>
      <c r="N142" s="3"/>
      <c r="O142" s="3" t="s">
        <v>76</v>
      </c>
      <c r="P142" s="3">
        <v>1.0</v>
      </c>
      <c r="Q142" s="3" t="s">
        <v>38</v>
      </c>
      <c r="R142" s="3">
        <v>4.0</v>
      </c>
      <c r="S142" s="3">
        <v>4.0</v>
      </c>
      <c r="T142" s="3" t="s">
        <v>61</v>
      </c>
      <c r="U142" s="3" t="s">
        <v>62</v>
      </c>
      <c r="V142" s="8" t="s">
        <v>291</v>
      </c>
    </row>
    <row r="143">
      <c r="A143" s="7">
        <v>43950.5325547338</v>
      </c>
      <c r="B143" s="3" t="s">
        <v>44</v>
      </c>
      <c r="C143" s="3" t="s">
        <v>292</v>
      </c>
      <c r="D143" s="3" t="s">
        <v>206</v>
      </c>
      <c r="E143" s="3" t="s">
        <v>289</v>
      </c>
      <c r="F143" s="3" t="s">
        <v>35</v>
      </c>
      <c r="G143" s="3" t="s">
        <v>48</v>
      </c>
      <c r="H143" s="3" t="str">
        <f t="shared" si="1"/>
        <v>BJJ,,,,,</v>
      </c>
      <c r="I143" s="3" t="s">
        <v>29</v>
      </c>
      <c r="J143" s="3"/>
      <c r="K143" s="3"/>
      <c r="L143" s="3"/>
      <c r="M143" s="3"/>
      <c r="N143" s="3"/>
      <c r="O143" s="3" t="s">
        <v>76</v>
      </c>
      <c r="P143" s="3">
        <v>2.0</v>
      </c>
      <c r="Q143" s="3" t="s">
        <v>49</v>
      </c>
      <c r="R143" s="3">
        <v>2.0</v>
      </c>
      <c r="S143" s="3">
        <v>5.0</v>
      </c>
      <c r="T143" s="3" t="s">
        <v>169</v>
      </c>
      <c r="U143" s="3" t="s">
        <v>62</v>
      </c>
      <c r="V143" s="6"/>
    </row>
    <row r="144">
      <c r="A144" s="7">
        <v>43954.564890740745</v>
      </c>
      <c r="B144" s="3" t="s">
        <v>32</v>
      </c>
      <c r="C144" s="3" t="s">
        <v>293</v>
      </c>
      <c r="D144" s="3" t="s">
        <v>206</v>
      </c>
      <c r="E144" s="3" t="s">
        <v>289</v>
      </c>
      <c r="F144" s="3" t="s">
        <v>35</v>
      </c>
      <c r="G144" s="3" t="s">
        <v>48</v>
      </c>
      <c r="H144" s="3" t="str">
        <f t="shared" si="1"/>
        <v>BJJ,,,,,</v>
      </c>
      <c r="I144" s="3" t="s">
        <v>29</v>
      </c>
      <c r="J144" s="3"/>
      <c r="K144" s="3"/>
      <c r="L144" s="3"/>
      <c r="M144" s="3"/>
      <c r="N144" s="3"/>
      <c r="O144" s="3" t="s">
        <v>43</v>
      </c>
      <c r="P144" s="3">
        <v>1.0</v>
      </c>
      <c r="Q144" s="3" t="s">
        <v>49</v>
      </c>
      <c r="R144" s="3">
        <v>3.0</v>
      </c>
      <c r="S144" s="3">
        <v>5.0</v>
      </c>
      <c r="T144" s="3" t="s">
        <v>39</v>
      </c>
      <c r="U144" s="3" t="s">
        <v>40</v>
      </c>
      <c r="V144" s="6"/>
    </row>
    <row r="145">
      <c r="A145" s="7">
        <v>43952.22961484954</v>
      </c>
      <c r="B145" s="3" t="s">
        <v>32</v>
      </c>
      <c r="C145" s="3" t="s">
        <v>294</v>
      </c>
      <c r="D145" s="3" t="s">
        <v>295</v>
      </c>
      <c r="E145" s="3" t="s">
        <v>120</v>
      </c>
      <c r="F145" s="3" t="s">
        <v>35</v>
      </c>
      <c r="G145" s="3" t="s">
        <v>36</v>
      </c>
      <c r="H145" s="3" t="str">
        <f t="shared" si="1"/>
        <v>BJJ,,,,,</v>
      </c>
      <c r="I145" s="3" t="s">
        <v>29</v>
      </c>
      <c r="J145" s="3"/>
      <c r="K145" s="3"/>
      <c r="L145" s="3"/>
      <c r="M145" s="3"/>
      <c r="N145" s="3"/>
      <c r="O145" s="3" t="s">
        <v>43</v>
      </c>
      <c r="P145" s="3">
        <v>1.0</v>
      </c>
      <c r="Q145" s="3" t="s">
        <v>49</v>
      </c>
      <c r="R145" s="3">
        <v>4.0</v>
      </c>
      <c r="S145" s="3">
        <v>3.0</v>
      </c>
      <c r="T145" s="3" t="s">
        <v>39</v>
      </c>
      <c r="U145" s="3" t="s">
        <v>53</v>
      </c>
      <c r="V145" s="8" t="s">
        <v>296</v>
      </c>
    </row>
    <row r="146">
      <c r="A146" s="7">
        <v>43950.423193333336</v>
      </c>
      <c r="B146" s="3" t="s">
        <v>44</v>
      </c>
      <c r="C146" s="3" t="s">
        <v>297</v>
      </c>
      <c r="D146" s="3" t="s">
        <v>83</v>
      </c>
      <c r="E146" s="3" t="s">
        <v>120</v>
      </c>
      <c r="F146" s="3" t="s">
        <v>35</v>
      </c>
      <c r="G146" s="3" t="s">
        <v>48</v>
      </c>
      <c r="H146" s="3" t="str">
        <f t="shared" si="1"/>
        <v>BJJ,,,,,</v>
      </c>
      <c r="I146" s="3" t="s">
        <v>29</v>
      </c>
      <c r="J146" s="3"/>
      <c r="K146" s="3"/>
      <c r="L146" s="3"/>
      <c r="M146" s="3"/>
      <c r="N146" s="3"/>
      <c r="O146" s="3" t="s">
        <v>76</v>
      </c>
      <c r="P146" s="3">
        <v>1.0</v>
      </c>
      <c r="Q146" s="3" t="s">
        <v>49</v>
      </c>
      <c r="R146" s="3">
        <v>3.0</v>
      </c>
      <c r="S146" s="3">
        <v>2.0</v>
      </c>
      <c r="T146" s="3" t="s">
        <v>39</v>
      </c>
      <c r="U146" s="3" t="s">
        <v>53</v>
      </c>
      <c r="V146" s="8" t="s">
        <v>298</v>
      </c>
    </row>
    <row r="147">
      <c r="A147" s="7">
        <v>43952.44023204861</v>
      </c>
      <c r="B147" s="3" t="s">
        <v>44</v>
      </c>
      <c r="C147" s="3" t="s">
        <v>299</v>
      </c>
      <c r="D147" s="3" t="s">
        <v>299</v>
      </c>
      <c r="E147" s="3" t="s">
        <v>300</v>
      </c>
      <c r="F147" s="3" t="s">
        <v>106</v>
      </c>
      <c r="G147" s="3" t="s">
        <v>48</v>
      </c>
      <c r="H147" s="3" t="str">
        <f t="shared" si="1"/>
        <v>BJJ,,,,,</v>
      </c>
      <c r="I147" s="3" t="s">
        <v>29</v>
      </c>
      <c r="J147" s="3"/>
      <c r="K147" s="3"/>
      <c r="L147" s="3"/>
      <c r="M147" s="3"/>
      <c r="N147" s="3"/>
      <c r="O147" s="3" t="s">
        <v>55</v>
      </c>
      <c r="P147" s="3">
        <v>1.0</v>
      </c>
      <c r="Q147" s="3" t="s">
        <v>49</v>
      </c>
      <c r="R147" s="3">
        <v>1.0</v>
      </c>
      <c r="S147" s="3">
        <v>5.0</v>
      </c>
      <c r="T147" s="3" t="s">
        <v>39</v>
      </c>
      <c r="U147" s="3" t="s">
        <v>40</v>
      </c>
      <c r="V147" s="8" t="s">
        <v>301</v>
      </c>
    </row>
    <row r="148">
      <c r="A148" s="7">
        <v>43952.55460295139</v>
      </c>
      <c r="B148" s="3" t="s">
        <v>32</v>
      </c>
      <c r="C148" s="3" t="s">
        <v>299</v>
      </c>
      <c r="D148" s="3" t="s">
        <v>299</v>
      </c>
      <c r="E148" s="3" t="s">
        <v>300</v>
      </c>
      <c r="F148" s="3" t="s">
        <v>106</v>
      </c>
      <c r="G148" s="3" t="s">
        <v>36</v>
      </c>
      <c r="H148" s="3" t="str">
        <f t="shared" si="1"/>
        <v>BJJ,,,,,</v>
      </c>
      <c r="I148" s="3" t="s">
        <v>29</v>
      </c>
      <c r="J148" s="3"/>
      <c r="K148" s="3"/>
      <c r="L148" s="3"/>
      <c r="M148" s="3"/>
      <c r="N148" s="3"/>
      <c r="O148" s="3" t="s">
        <v>76</v>
      </c>
      <c r="P148" s="3">
        <v>4.0</v>
      </c>
      <c r="Q148" s="3" t="s">
        <v>111</v>
      </c>
      <c r="R148" s="3">
        <v>4.0</v>
      </c>
      <c r="S148" s="3">
        <v>5.0</v>
      </c>
      <c r="T148" s="3" t="s">
        <v>39</v>
      </c>
      <c r="U148" s="3" t="s">
        <v>53</v>
      </c>
      <c r="V148" s="8" t="s">
        <v>302</v>
      </c>
    </row>
    <row r="149">
      <c r="A149" s="7">
        <v>43950.59096774306</v>
      </c>
      <c r="B149" s="3" t="s">
        <v>32</v>
      </c>
      <c r="C149" s="3" t="s">
        <v>303</v>
      </c>
      <c r="D149" s="3" t="s">
        <v>83</v>
      </c>
      <c r="E149" s="3" t="s">
        <v>304</v>
      </c>
      <c r="F149" s="3" t="s">
        <v>35</v>
      </c>
      <c r="G149" s="3" t="s">
        <v>36</v>
      </c>
      <c r="H149" s="3" t="str">
        <f t="shared" si="1"/>
        <v>BJJ,,,,,</v>
      </c>
      <c r="I149" s="3" t="s">
        <v>29</v>
      </c>
      <c r="J149" s="3"/>
      <c r="K149" s="3"/>
      <c r="L149" s="3"/>
      <c r="M149" s="3"/>
      <c r="N149" s="3"/>
      <c r="O149" s="3" t="s">
        <v>37</v>
      </c>
      <c r="P149" s="3">
        <v>2.0</v>
      </c>
      <c r="Q149" s="3" t="s">
        <v>38</v>
      </c>
      <c r="R149" s="3">
        <v>4.0</v>
      </c>
      <c r="S149" s="3">
        <v>3.0</v>
      </c>
      <c r="T149" s="3" t="s">
        <v>169</v>
      </c>
      <c r="U149" s="3" t="s">
        <v>62</v>
      </c>
      <c r="V149" s="6"/>
    </row>
    <row r="150">
      <c r="A150" s="7">
        <v>43950.83348884259</v>
      </c>
      <c r="B150" s="3" t="s">
        <v>44</v>
      </c>
      <c r="C150" s="3" t="s">
        <v>305</v>
      </c>
      <c r="D150" s="3" t="s">
        <v>306</v>
      </c>
      <c r="E150" s="3" t="s">
        <v>74</v>
      </c>
      <c r="F150" s="3" t="s">
        <v>35</v>
      </c>
      <c r="G150" s="3" t="s">
        <v>48</v>
      </c>
      <c r="H150" s="3" t="str">
        <f t="shared" si="1"/>
        <v>BJJ,,,,,</v>
      </c>
      <c r="I150" s="3" t="s">
        <v>29</v>
      </c>
      <c r="J150" s="3"/>
      <c r="K150" s="3"/>
      <c r="L150" s="3"/>
      <c r="M150" s="3"/>
      <c r="N150" s="3"/>
      <c r="O150" s="3" t="s">
        <v>37</v>
      </c>
      <c r="P150" s="3">
        <v>1.0</v>
      </c>
      <c r="Q150" s="3" t="s">
        <v>38</v>
      </c>
      <c r="R150" s="3">
        <v>2.0</v>
      </c>
      <c r="S150" s="3">
        <v>5.0</v>
      </c>
      <c r="T150" s="3" t="s">
        <v>39</v>
      </c>
      <c r="U150" s="3" t="s">
        <v>40</v>
      </c>
      <c r="V150" s="6"/>
    </row>
    <row r="151">
      <c r="A151" s="7">
        <v>43950.826065636575</v>
      </c>
      <c r="B151" s="3" t="s">
        <v>32</v>
      </c>
      <c r="C151" s="3" t="s">
        <v>307</v>
      </c>
      <c r="D151" s="3" t="s">
        <v>308</v>
      </c>
      <c r="E151" s="3" t="s">
        <v>75</v>
      </c>
      <c r="F151" s="3" t="s">
        <v>35</v>
      </c>
      <c r="G151" s="3" t="s">
        <v>48</v>
      </c>
      <c r="H151" s="3" t="str">
        <f t="shared" si="1"/>
        <v>BJJ,,,,,</v>
      </c>
      <c r="I151" s="3" t="s">
        <v>29</v>
      </c>
      <c r="J151" s="3"/>
      <c r="K151" s="3"/>
      <c r="L151" s="3"/>
      <c r="M151" s="3"/>
      <c r="N151" s="3"/>
      <c r="O151" s="3" t="s">
        <v>55</v>
      </c>
      <c r="P151" s="3">
        <v>1.0</v>
      </c>
      <c r="Q151" s="3" t="s">
        <v>49</v>
      </c>
      <c r="R151" s="3">
        <v>3.0</v>
      </c>
      <c r="S151" s="3">
        <v>3.0</v>
      </c>
      <c r="T151" s="3" t="s">
        <v>39</v>
      </c>
      <c r="U151" s="3" t="s">
        <v>40</v>
      </c>
      <c r="V151" s="6"/>
    </row>
    <row r="152">
      <c r="A152" s="7">
        <v>43953.485677743054</v>
      </c>
      <c r="B152" s="3" t="s">
        <v>32</v>
      </c>
      <c r="C152" s="3" t="s">
        <v>309</v>
      </c>
      <c r="D152" s="3" t="s">
        <v>310</v>
      </c>
      <c r="E152" s="3" t="s">
        <v>75</v>
      </c>
      <c r="F152" s="3" t="s">
        <v>35</v>
      </c>
      <c r="G152" s="3" t="s">
        <v>36</v>
      </c>
      <c r="H152" s="3" t="str">
        <f t="shared" si="1"/>
        <v>BJJ,,,,,</v>
      </c>
      <c r="I152" s="3" t="s">
        <v>29</v>
      </c>
      <c r="J152" s="3"/>
      <c r="K152" s="3"/>
      <c r="L152" s="3"/>
      <c r="M152" s="3"/>
      <c r="N152" s="3"/>
      <c r="O152" s="3" t="s">
        <v>76</v>
      </c>
      <c r="P152" s="3">
        <v>1.0</v>
      </c>
      <c r="Q152" s="3" t="s">
        <v>86</v>
      </c>
      <c r="R152" s="3">
        <v>5.0</v>
      </c>
      <c r="S152" s="3">
        <v>2.0</v>
      </c>
      <c r="T152" s="3" t="s">
        <v>39</v>
      </c>
      <c r="U152" s="3" t="s">
        <v>53</v>
      </c>
      <c r="V152" s="8" t="s">
        <v>311</v>
      </c>
    </row>
    <row r="153">
      <c r="A153" s="7">
        <v>43950.71765608796</v>
      </c>
      <c r="B153" s="3" t="s">
        <v>44</v>
      </c>
      <c r="C153" s="3" t="s">
        <v>217</v>
      </c>
      <c r="D153" s="3"/>
      <c r="E153" s="3" t="s">
        <v>217</v>
      </c>
      <c r="F153" s="3" t="s">
        <v>35</v>
      </c>
      <c r="G153" s="3" t="s">
        <v>48</v>
      </c>
      <c r="H153" s="3" t="str">
        <f t="shared" si="1"/>
        <v>BJJ,,,,,</v>
      </c>
      <c r="I153" s="3" t="s">
        <v>29</v>
      </c>
      <c r="J153" s="3"/>
      <c r="K153" s="3"/>
      <c r="L153" s="3"/>
      <c r="M153" s="3"/>
      <c r="N153" s="3"/>
      <c r="O153" s="3" t="s">
        <v>76</v>
      </c>
      <c r="P153" s="3">
        <v>5.0</v>
      </c>
      <c r="Q153" s="3" t="s">
        <v>49</v>
      </c>
      <c r="R153" s="3">
        <v>1.0</v>
      </c>
      <c r="S153" s="3">
        <v>2.0</v>
      </c>
      <c r="T153" s="3" t="s">
        <v>169</v>
      </c>
      <c r="U153" s="3" t="s">
        <v>62</v>
      </c>
      <c r="V153" s="8" t="s">
        <v>312</v>
      </c>
    </row>
    <row r="154">
      <c r="A154" s="7">
        <v>43952.035869976855</v>
      </c>
      <c r="B154" s="3" t="s">
        <v>57</v>
      </c>
      <c r="C154" s="3" t="s">
        <v>313</v>
      </c>
      <c r="D154" s="3"/>
      <c r="E154" s="3" t="s">
        <v>80</v>
      </c>
      <c r="F154" s="3" t="s">
        <v>35</v>
      </c>
      <c r="G154" s="3" t="s">
        <v>48</v>
      </c>
      <c r="H154" s="3" t="str">
        <f t="shared" si="1"/>
        <v>BJJ,,,,,</v>
      </c>
      <c r="I154" s="3" t="s">
        <v>29</v>
      </c>
      <c r="J154" s="3"/>
      <c r="K154" s="3"/>
      <c r="L154" s="3"/>
      <c r="M154" s="3"/>
      <c r="N154" s="3"/>
      <c r="O154" s="3" t="s">
        <v>37</v>
      </c>
      <c r="P154" s="3">
        <v>4.0</v>
      </c>
      <c r="Q154" s="3" t="s">
        <v>86</v>
      </c>
      <c r="R154" s="3">
        <v>4.0</v>
      </c>
      <c r="S154" s="3">
        <v>4.0</v>
      </c>
      <c r="T154" s="3" t="s">
        <v>39</v>
      </c>
      <c r="U154" s="3" t="s">
        <v>53</v>
      </c>
      <c r="V154" s="8" t="s">
        <v>314</v>
      </c>
    </row>
    <row r="155">
      <c r="A155" s="7">
        <v>43950.467187372684</v>
      </c>
      <c r="B155" s="3" t="s">
        <v>32</v>
      </c>
      <c r="C155" s="3" t="s">
        <v>315</v>
      </c>
      <c r="D155" s="3" t="s">
        <v>316</v>
      </c>
      <c r="E155" s="3" t="s">
        <v>317</v>
      </c>
      <c r="F155" s="3" t="s">
        <v>35</v>
      </c>
      <c r="G155" s="3" t="s">
        <v>36</v>
      </c>
      <c r="H155" s="3" t="str">
        <f t="shared" si="1"/>
        <v>BJJ,,,,,</v>
      </c>
      <c r="I155" s="3" t="s">
        <v>29</v>
      </c>
      <c r="J155" s="3"/>
      <c r="K155" s="3"/>
      <c r="L155" s="3"/>
      <c r="M155" s="3"/>
      <c r="N155" s="3"/>
      <c r="O155" s="3" t="s">
        <v>43</v>
      </c>
      <c r="P155" s="3">
        <v>2.0</v>
      </c>
      <c r="Q155" s="3" t="s">
        <v>86</v>
      </c>
      <c r="R155" s="3">
        <v>2.0</v>
      </c>
      <c r="S155" s="3">
        <v>3.0</v>
      </c>
      <c r="T155" s="3" t="s">
        <v>39</v>
      </c>
      <c r="U155" s="3" t="s">
        <v>40</v>
      </c>
      <c r="V155" s="8" t="s">
        <v>318</v>
      </c>
    </row>
    <row r="156">
      <c r="A156" s="7">
        <v>43950.46579336806</v>
      </c>
      <c r="B156" s="3" t="s">
        <v>32</v>
      </c>
      <c r="C156" s="3" t="s">
        <v>319</v>
      </c>
      <c r="D156" s="3" t="s">
        <v>320</v>
      </c>
      <c r="E156" s="3" t="s">
        <v>85</v>
      </c>
      <c r="F156" s="3" t="s">
        <v>35</v>
      </c>
      <c r="G156" s="3" t="s">
        <v>48</v>
      </c>
      <c r="H156" s="3" t="str">
        <f t="shared" si="1"/>
        <v>BJJ,,,,,</v>
      </c>
      <c r="I156" s="3" t="s">
        <v>29</v>
      </c>
      <c r="J156" s="3"/>
      <c r="K156" s="3"/>
      <c r="L156" s="3"/>
      <c r="M156" s="3"/>
      <c r="N156" s="3"/>
      <c r="O156" s="3" t="s">
        <v>43</v>
      </c>
      <c r="P156" s="3">
        <v>1.0</v>
      </c>
      <c r="Q156" s="3" t="s">
        <v>49</v>
      </c>
      <c r="R156" s="3">
        <v>1.0</v>
      </c>
      <c r="S156" s="3">
        <v>5.0</v>
      </c>
      <c r="T156" s="3" t="s">
        <v>39</v>
      </c>
      <c r="U156" s="3" t="s">
        <v>40</v>
      </c>
      <c r="V156" s="6"/>
    </row>
    <row r="157">
      <c r="A157" s="7">
        <v>43950.65004328704</v>
      </c>
      <c r="B157" s="3" t="s">
        <v>97</v>
      </c>
      <c r="C157" s="3" t="s">
        <v>321</v>
      </c>
      <c r="D157" s="3" t="s">
        <v>83</v>
      </c>
      <c r="E157" s="3" t="s">
        <v>85</v>
      </c>
      <c r="F157" s="3" t="s">
        <v>35</v>
      </c>
      <c r="G157" s="3" t="s">
        <v>48</v>
      </c>
      <c r="H157" s="3" t="str">
        <f t="shared" si="1"/>
        <v>BJJ,,,,,</v>
      </c>
      <c r="I157" s="3" t="s">
        <v>29</v>
      </c>
      <c r="J157" s="3"/>
      <c r="K157" s="3"/>
      <c r="L157" s="3"/>
      <c r="M157" s="3"/>
      <c r="N157" s="3"/>
      <c r="O157" s="3" t="s">
        <v>76</v>
      </c>
      <c r="P157" s="3">
        <v>1.0</v>
      </c>
      <c r="Q157" s="3" t="s">
        <v>38</v>
      </c>
      <c r="R157" s="3">
        <v>4.0</v>
      </c>
      <c r="S157" s="3">
        <v>4.0</v>
      </c>
      <c r="T157" s="3" t="s">
        <v>61</v>
      </c>
      <c r="U157" s="3" t="s">
        <v>62</v>
      </c>
      <c r="V157" s="6"/>
    </row>
    <row r="158">
      <c r="A158" s="7">
        <v>43952.1500202662</v>
      </c>
      <c r="B158" s="3" t="s">
        <v>44</v>
      </c>
      <c r="C158" s="3" t="s">
        <v>321</v>
      </c>
      <c r="D158" s="3"/>
      <c r="E158" s="3" t="s">
        <v>85</v>
      </c>
      <c r="F158" s="3" t="s">
        <v>35</v>
      </c>
      <c r="G158" s="3" t="s">
        <v>48</v>
      </c>
      <c r="H158" s="3" t="str">
        <f t="shared" si="1"/>
        <v>BJJ,,,,,</v>
      </c>
      <c r="I158" s="3" t="s">
        <v>29</v>
      </c>
      <c r="J158" s="3"/>
      <c r="K158" s="3"/>
      <c r="L158" s="3"/>
      <c r="M158" s="3"/>
      <c r="N158" s="3"/>
      <c r="O158" s="3" t="s">
        <v>37</v>
      </c>
      <c r="P158" s="3">
        <v>1.0</v>
      </c>
      <c r="Q158" s="3" t="s">
        <v>86</v>
      </c>
      <c r="R158" s="3">
        <v>4.0</v>
      </c>
      <c r="S158" s="3">
        <v>2.0</v>
      </c>
      <c r="T158" s="3" t="s">
        <v>61</v>
      </c>
      <c r="U158" s="3" t="s">
        <v>62</v>
      </c>
      <c r="V158" s="6"/>
    </row>
    <row r="159">
      <c r="A159" s="7">
        <v>43950.64899503472</v>
      </c>
      <c r="B159" s="3" t="s">
        <v>71</v>
      </c>
      <c r="C159" s="3" t="s">
        <v>89</v>
      </c>
      <c r="D159" s="3" t="s">
        <v>83</v>
      </c>
      <c r="E159" s="3"/>
      <c r="F159" s="3" t="s">
        <v>89</v>
      </c>
      <c r="G159" s="3" t="s">
        <v>48</v>
      </c>
      <c r="H159" s="3" t="str">
        <f t="shared" si="1"/>
        <v>BJJ,,,,,</v>
      </c>
      <c r="I159" s="3" t="s">
        <v>29</v>
      </c>
      <c r="J159" s="3"/>
      <c r="K159" s="3"/>
      <c r="L159" s="3"/>
      <c r="M159" s="3"/>
      <c r="N159" s="3"/>
      <c r="O159" s="3" t="s">
        <v>76</v>
      </c>
      <c r="P159" s="3">
        <v>1.0</v>
      </c>
      <c r="Q159" s="3" t="s">
        <v>49</v>
      </c>
      <c r="R159" s="3">
        <v>3.0</v>
      </c>
      <c r="S159" s="3">
        <v>1.0</v>
      </c>
      <c r="T159" s="3" t="s">
        <v>39</v>
      </c>
      <c r="U159" s="3" t="s">
        <v>87</v>
      </c>
      <c r="V159" s="6"/>
    </row>
    <row r="160">
      <c r="A160" s="7">
        <v>43952.331472962964</v>
      </c>
      <c r="B160" s="3" t="s">
        <v>44</v>
      </c>
      <c r="C160" s="3" t="s">
        <v>89</v>
      </c>
      <c r="D160" s="3"/>
      <c r="E160" s="3"/>
      <c r="F160" s="3" t="s">
        <v>89</v>
      </c>
      <c r="G160" s="3" t="s">
        <v>48</v>
      </c>
      <c r="H160" s="3" t="str">
        <f t="shared" si="1"/>
        <v>BJJ,,,,,</v>
      </c>
      <c r="I160" s="3" t="s">
        <v>29</v>
      </c>
      <c r="J160" s="3"/>
      <c r="K160" s="3"/>
      <c r="L160" s="3"/>
      <c r="M160" s="3"/>
      <c r="N160" s="3"/>
      <c r="O160" s="3" t="s">
        <v>37</v>
      </c>
      <c r="P160" s="3">
        <v>2.0</v>
      </c>
      <c r="Q160" s="3" t="s">
        <v>38</v>
      </c>
      <c r="R160" s="3">
        <v>4.0</v>
      </c>
      <c r="S160" s="3">
        <v>3.0</v>
      </c>
      <c r="T160" s="3" t="s">
        <v>39</v>
      </c>
      <c r="U160" s="3" t="s">
        <v>40</v>
      </c>
      <c r="V160" s="8" t="s">
        <v>322</v>
      </c>
    </row>
    <row r="161">
      <c r="A161" s="7">
        <v>43951.75150357639</v>
      </c>
      <c r="B161" s="3" t="s">
        <v>32</v>
      </c>
      <c r="C161" s="3" t="s">
        <v>323</v>
      </c>
      <c r="D161" s="3" t="s">
        <v>324</v>
      </c>
      <c r="E161" s="3"/>
      <c r="F161" s="3" t="s">
        <v>89</v>
      </c>
      <c r="G161" s="3" t="s">
        <v>48</v>
      </c>
      <c r="H161" s="3" t="str">
        <f t="shared" si="1"/>
        <v>BJJ,,,,,</v>
      </c>
      <c r="I161" s="3" t="s">
        <v>29</v>
      </c>
      <c r="J161" s="3"/>
      <c r="K161" s="3"/>
      <c r="L161" s="3"/>
      <c r="M161" s="3"/>
      <c r="N161" s="3"/>
      <c r="O161" s="3" t="s">
        <v>76</v>
      </c>
      <c r="P161" s="3">
        <v>1.0</v>
      </c>
      <c r="Q161" s="3" t="s">
        <v>49</v>
      </c>
      <c r="R161" s="3">
        <v>3.0</v>
      </c>
      <c r="S161" s="3">
        <v>4.0</v>
      </c>
      <c r="T161" s="3" t="s">
        <v>169</v>
      </c>
      <c r="U161" s="3" t="s">
        <v>40</v>
      </c>
      <c r="V161" s="8" t="s">
        <v>325</v>
      </c>
    </row>
    <row r="162">
      <c r="A162" s="7">
        <v>43951.94681620371</v>
      </c>
      <c r="B162" s="3" t="s">
        <v>97</v>
      </c>
      <c r="C162" s="3" t="s">
        <v>326</v>
      </c>
      <c r="D162" s="3"/>
      <c r="E162" s="3"/>
      <c r="F162" s="3" t="s">
        <v>89</v>
      </c>
      <c r="G162" s="3" t="s">
        <v>48</v>
      </c>
      <c r="H162" s="3" t="str">
        <f t="shared" si="1"/>
        <v>BJJ,,,,,</v>
      </c>
      <c r="I162" s="3" t="s">
        <v>29</v>
      </c>
      <c r="J162" s="3"/>
      <c r="K162" s="3"/>
      <c r="L162" s="3"/>
      <c r="M162" s="3"/>
      <c r="N162" s="3"/>
      <c r="O162" s="3" t="s">
        <v>55</v>
      </c>
      <c r="P162" s="3">
        <v>1.0</v>
      </c>
      <c r="Q162" s="3" t="s">
        <v>49</v>
      </c>
      <c r="R162" s="3">
        <v>3.0</v>
      </c>
      <c r="S162" s="3">
        <v>5.0</v>
      </c>
      <c r="T162" s="3" t="s">
        <v>39</v>
      </c>
      <c r="U162" s="3" t="s">
        <v>40</v>
      </c>
      <c r="V162" s="6"/>
    </row>
    <row r="163">
      <c r="A163" s="7">
        <v>43951.90331969908</v>
      </c>
      <c r="B163" s="3" t="s">
        <v>32</v>
      </c>
      <c r="C163" s="3" t="s">
        <v>327</v>
      </c>
      <c r="D163" s="3"/>
      <c r="E163" s="3"/>
      <c r="F163" s="3" t="s">
        <v>327</v>
      </c>
      <c r="G163" s="3" t="s">
        <v>36</v>
      </c>
      <c r="H163" s="3" t="str">
        <f t="shared" si="1"/>
        <v>BJJ,,,,,</v>
      </c>
      <c r="I163" s="3" t="s">
        <v>29</v>
      </c>
      <c r="J163" s="3"/>
      <c r="K163" s="3"/>
      <c r="L163" s="3"/>
      <c r="M163" s="3"/>
      <c r="N163" s="3"/>
      <c r="O163" s="3" t="s">
        <v>37</v>
      </c>
      <c r="P163" s="3">
        <v>1.0</v>
      </c>
      <c r="Q163" s="3" t="s">
        <v>49</v>
      </c>
      <c r="R163" s="3">
        <v>1.0</v>
      </c>
      <c r="S163" s="3">
        <v>5.0</v>
      </c>
      <c r="T163" s="3" t="s">
        <v>39</v>
      </c>
      <c r="U163" s="3" t="s">
        <v>40</v>
      </c>
      <c r="V163" s="6"/>
    </row>
    <row r="164">
      <c r="A164" s="7">
        <v>43951.65184824074</v>
      </c>
      <c r="B164" s="3" t="s">
        <v>32</v>
      </c>
      <c r="C164" s="3" t="s">
        <v>106</v>
      </c>
      <c r="D164" s="3"/>
      <c r="E164" s="3"/>
      <c r="F164" s="3" t="s">
        <v>106</v>
      </c>
      <c r="G164" s="3" t="s">
        <v>36</v>
      </c>
      <c r="H164" s="3" t="str">
        <f t="shared" si="1"/>
        <v>BJJ,,,,,</v>
      </c>
      <c r="I164" s="3" t="s">
        <v>29</v>
      </c>
      <c r="J164" s="3"/>
      <c r="K164" s="3"/>
      <c r="L164" s="3"/>
      <c r="M164" s="3"/>
      <c r="N164" s="3"/>
      <c r="O164" s="3" t="s">
        <v>76</v>
      </c>
      <c r="P164" s="3">
        <v>1.0</v>
      </c>
      <c r="Q164" s="3" t="s">
        <v>49</v>
      </c>
      <c r="R164" s="3">
        <v>5.0</v>
      </c>
      <c r="S164" s="3">
        <v>1.0</v>
      </c>
      <c r="T164" s="3" t="s">
        <v>169</v>
      </c>
      <c r="U164" s="3" t="s">
        <v>53</v>
      </c>
      <c r="V164" s="8" t="s">
        <v>328</v>
      </c>
    </row>
    <row r="165">
      <c r="A165" s="7">
        <v>43951.806792777774</v>
      </c>
      <c r="B165" s="3" t="s">
        <v>32</v>
      </c>
      <c r="C165" s="3" t="s">
        <v>106</v>
      </c>
      <c r="D165" s="3"/>
      <c r="E165" s="3"/>
      <c r="F165" s="3" t="s">
        <v>106</v>
      </c>
      <c r="G165" s="3" t="s">
        <v>36</v>
      </c>
      <c r="H165" s="3" t="str">
        <f t="shared" si="1"/>
        <v>BJJ,,,,,</v>
      </c>
      <c r="I165" s="3" t="s">
        <v>29</v>
      </c>
      <c r="J165" s="3"/>
      <c r="K165" s="3"/>
      <c r="L165" s="3"/>
      <c r="M165" s="3"/>
      <c r="N165" s="3"/>
      <c r="O165" s="3" t="s">
        <v>37</v>
      </c>
      <c r="P165" s="3">
        <v>1.0</v>
      </c>
      <c r="Q165" s="3" t="s">
        <v>49</v>
      </c>
      <c r="R165" s="3">
        <v>5.0</v>
      </c>
      <c r="S165" s="3">
        <v>5.0</v>
      </c>
      <c r="T165" s="3" t="s">
        <v>39</v>
      </c>
      <c r="U165" s="3" t="s">
        <v>40</v>
      </c>
      <c r="V165" s="8" t="s">
        <v>329</v>
      </c>
    </row>
    <row r="166">
      <c r="A166" s="7">
        <v>43952.01571320602</v>
      </c>
      <c r="B166" s="3" t="s">
        <v>44</v>
      </c>
      <c r="C166" s="3" t="s">
        <v>330</v>
      </c>
      <c r="D166" s="3"/>
      <c r="E166" s="3"/>
      <c r="F166" s="3" t="s">
        <v>106</v>
      </c>
      <c r="G166" s="3" t="s">
        <v>48</v>
      </c>
      <c r="H166" s="3" t="str">
        <f t="shared" si="1"/>
        <v>BJJ,,,,,</v>
      </c>
      <c r="I166" s="3" t="s">
        <v>29</v>
      </c>
      <c r="J166" s="3"/>
      <c r="K166" s="3"/>
      <c r="L166" s="3"/>
      <c r="M166" s="3"/>
      <c r="N166" s="3"/>
      <c r="O166" s="3" t="s">
        <v>76</v>
      </c>
      <c r="P166" s="3">
        <v>2.0</v>
      </c>
      <c r="Q166" s="3" t="s">
        <v>38</v>
      </c>
      <c r="R166" s="3">
        <v>2.0</v>
      </c>
      <c r="S166" s="3">
        <v>4.0</v>
      </c>
      <c r="T166" s="3" t="s">
        <v>39</v>
      </c>
      <c r="U166" s="3" t="s">
        <v>40</v>
      </c>
      <c r="V166" s="6"/>
    </row>
    <row r="167">
      <c r="A167" s="7">
        <v>43951.8043875</v>
      </c>
      <c r="B167" s="3" t="s">
        <v>44</v>
      </c>
      <c r="C167" s="3" t="s">
        <v>331</v>
      </c>
      <c r="D167" s="3" t="s">
        <v>176</v>
      </c>
      <c r="E167" s="3" t="s">
        <v>177</v>
      </c>
      <c r="F167" s="3" t="s">
        <v>106</v>
      </c>
      <c r="G167" s="3" t="s">
        <v>48</v>
      </c>
      <c r="H167" s="3" t="str">
        <f t="shared" si="1"/>
        <v>BJJ,,,,,</v>
      </c>
      <c r="I167" s="3" t="s">
        <v>29</v>
      </c>
      <c r="J167" s="3"/>
      <c r="K167" s="3"/>
      <c r="L167" s="3"/>
      <c r="M167" s="3"/>
      <c r="N167" s="3"/>
      <c r="O167" s="3" t="s">
        <v>76</v>
      </c>
      <c r="P167" s="3">
        <v>2.0</v>
      </c>
      <c r="Q167" s="3" t="s">
        <v>86</v>
      </c>
      <c r="R167" s="3">
        <v>5.0</v>
      </c>
      <c r="S167" s="3">
        <v>3.0</v>
      </c>
      <c r="T167" s="3" t="s">
        <v>39</v>
      </c>
      <c r="U167" s="3" t="s">
        <v>53</v>
      </c>
      <c r="V167" s="6"/>
    </row>
    <row r="168">
      <c r="A168" s="7">
        <v>43952.67971005787</v>
      </c>
      <c r="B168" s="3" t="s">
        <v>32</v>
      </c>
      <c r="C168" s="3" t="s">
        <v>221</v>
      </c>
      <c r="D168" s="3"/>
      <c r="E168" s="3"/>
      <c r="F168" s="3" t="s">
        <v>221</v>
      </c>
      <c r="G168" s="3" t="s">
        <v>36</v>
      </c>
      <c r="H168" s="3" t="str">
        <f t="shared" si="1"/>
        <v>BJJ,,,,,</v>
      </c>
      <c r="I168" s="3" t="s">
        <v>29</v>
      </c>
      <c r="J168" s="3"/>
      <c r="K168" s="3"/>
      <c r="L168" s="3"/>
      <c r="M168" s="3"/>
      <c r="N168" s="3"/>
      <c r="O168" s="3" t="s">
        <v>37</v>
      </c>
      <c r="P168" s="3">
        <v>1.0</v>
      </c>
      <c r="Q168" s="3" t="s">
        <v>38</v>
      </c>
      <c r="R168" s="3">
        <v>5.0</v>
      </c>
      <c r="S168" s="3">
        <v>1.0</v>
      </c>
      <c r="T168" s="3" t="s">
        <v>39</v>
      </c>
      <c r="U168" s="3" t="s">
        <v>53</v>
      </c>
      <c r="V168" s="8" t="s">
        <v>332</v>
      </c>
    </row>
    <row r="169">
      <c r="A169" s="7">
        <v>43951.74435586805</v>
      </c>
      <c r="B169" s="3" t="s">
        <v>32</v>
      </c>
      <c r="C169" s="3" t="s">
        <v>92</v>
      </c>
      <c r="D169" s="3"/>
      <c r="E169" s="3"/>
      <c r="F169" s="3" t="s">
        <v>92</v>
      </c>
      <c r="G169" s="3" t="s">
        <v>48</v>
      </c>
      <c r="H169" s="3" t="str">
        <f t="shared" si="1"/>
        <v>BJJ,,,,,</v>
      </c>
      <c r="I169" s="3" t="s">
        <v>29</v>
      </c>
      <c r="J169" s="3"/>
      <c r="K169" s="3"/>
      <c r="L169" s="3"/>
      <c r="M169" s="3"/>
      <c r="N169" s="3"/>
      <c r="O169" s="3" t="s">
        <v>37</v>
      </c>
      <c r="P169" s="3">
        <v>1.0</v>
      </c>
      <c r="Q169" s="3" t="s">
        <v>49</v>
      </c>
      <c r="R169" s="3">
        <v>2.0</v>
      </c>
      <c r="S169" s="3">
        <v>4.0</v>
      </c>
      <c r="T169" s="3" t="s">
        <v>39</v>
      </c>
      <c r="U169" s="3" t="s">
        <v>40</v>
      </c>
      <c r="V169" s="8" t="s">
        <v>333</v>
      </c>
    </row>
    <row r="170">
      <c r="A170" s="7">
        <v>43952.24413060185</v>
      </c>
      <c r="B170" s="3" t="s">
        <v>57</v>
      </c>
      <c r="C170" s="3" t="s">
        <v>334</v>
      </c>
      <c r="D170" s="3" t="s">
        <v>335</v>
      </c>
      <c r="E170" s="3"/>
      <c r="F170" s="3" t="s">
        <v>128</v>
      </c>
      <c r="G170" s="3" t="s">
        <v>36</v>
      </c>
      <c r="H170" s="3" t="str">
        <f t="shared" si="1"/>
        <v>BJJ,,,,,</v>
      </c>
      <c r="I170" s="3" t="s">
        <v>29</v>
      </c>
      <c r="J170" s="3"/>
      <c r="K170" s="3"/>
      <c r="L170" s="3"/>
      <c r="M170" s="3"/>
      <c r="N170" s="3"/>
      <c r="O170" s="3" t="s">
        <v>37</v>
      </c>
      <c r="P170" s="3">
        <v>1.0</v>
      </c>
      <c r="Q170" s="3" t="s">
        <v>49</v>
      </c>
      <c r="R170" s="3">
        <v>2.0</v>
      </c>
      <c r="S170" s="3">
        <v>5.0</v>
      </c>
      <c r="T170" s="3" t="s">
        <v>39</v>
      </c>
      <c r="U170" s="3" t="s">
        <v>40</v>
      </c>
      <c r="V170" s="8" t="s">
        <v>336</v>
      </c>
    </row>
    <row r="171">
      <c r="A171" s="7">
        <v>43952.142193912034</v>
      </c>
      <c r="B171" s="3" t="s">
        <v>44</v>
      </c>
      <c r="C171" s="3" t="s">
        <v>337</v>
      </c>
      <c r="D171" s="3"/>
      <c r="E171" s="3"/>
      <c r="F171" s="3" t="s">
        <v>128</v>
      </c>
      <c r="G171" s="3" t="s">
        <v>48</v>
      </c>
      <c r="H171" s="3" t="str">
        <f t="shared" si="1"/>
        <v>BJJ,,,,,</v>
      </c>
      <c r="I171" s="3" t="s">
        <v>29</v>
      </c>
      <c r="J171" s="3"/>
      <c r="K171" s="3"/>
      <c r="L171" s="3"/>
      <c r="M171" s="3"/>
      <c r="N171" s="3"/>
      <c r="O171" s="3" t="s">
        <v>76</v>
      </c>
      <c r="P171" s="3">
        <v>2.0</v>
      </c>
      <c r="Q171" s="3" t="s">
        <v>38</v>
      </c>
      <c r="R171" s="3">
        <v>3.0</v>
      </c>
      <c r="S171" s="3">
        <v>5.0</v>
      </c>
      <c r="T171" s="3" t="s">
        <v>61</v>
      </c>
      <c r="U171" s="3" t="s">
        <v>62</v>
      </c>
      <c r="V171" s="8" t="s">
        <v>338</v>
      </c>
      <c r="X171" s="2">
        <f>152/260</f>
        <v>0.5846153846</v>
      </c>
    </row>
    <row r="172">
      <c r="A172" s="7">
        <v>43952.30667318287</v>
      </c>
      <c r="B172" s="3" t="s">
        <v>44</v>
      </c>
      <c r="C172" s="3" t="s">
        <v>339</v>
      </c>
      <c r="D172" s="3"/>
      <c r="E172" s="3"/>
      <c r="F172" s="3" t="s">
        <v>339</v>
      </c>
      <c r="G172" s="3" t="s">
        <v>48</v>
      </c>
      <c r="H172" s="3" t="str">
        <f t="shared" si="1"/>
        <v>BJJ,,,,,</v>
      </c>
      <c r="I172" s="3" t="s">
        <v>29</v>
      </c>
      <c r="J172" s="3"/>
      <c r="K172" s="3"/>
      <c r="L172" s="3"/>
      <c r="M172" s="3"/>
      <c r="N172" s="3"/>
      <c r="O172" s="3" t="s">
        <v>37</v>
      </c>
      <c r="P172" s="3">
        <v>1.0</v>
      </c>
      <c r="Q172" s="3" t="s">
        <v>49</v>
      </c>
      <c r="R172" s="3">
        <v>3.0</v>
      </c>
      <c r="S172" s="3">
        <v>5.0</v>
      </c>
      <c r="T172" s="3" t="s">
        <v>61</v>
      </c>
      <c r="U172" s="3" t="s">
        <v>62</v>
      </c>
      <c r="V172" s="6"/>
    </row>
    <row r="173">
      <c r="A173" s="7">
        <v>43950.645422754635</v>
      </c>
      <c r="B173" s="3" t="s">
        <v>44</v>
      </c>
      <c r="C173" s="3" t="s">
        <v>340</v>
      </c>
      <c r="D173" s="3" t="s">
        <v>83</v>
      </c>
      <c r="E173" s="3"/>
      <c r="F173" s="3" t="s">
        <v>340</v>
      </c>
      <c r="G173" s="3" t="s">
        <v>48</v>
      </c>
      <c r="H173" s="3" t="str">
        <f t="shared" si="1"/>
        <v>BJJ,,,,,</v>
      </c>
      <c r="I173" s="3" t="s">
        <v>29</v>
      </c>
      <c r="J173" s="3"/>
      <c r="K173" s="3"/>
      <c r="L173" s="3"/>
      <c r="M173" s="3"/>
      <c r="N173" s="3"/>
      <c r="O173" s="3" t="s">
        <v>43</v>
      </c>
      <c r="P173" s="3">
        <v>1.0</v>
      </c>
      <c r="Q173" s="3" t="s">
        <v>49</v>
      </c>
      <c r="R173" s="3">
        <v>1.0</v>
      </c>
      <c r="S173" s="3">
        <v>5.0</v>
      </c>
      <c r="T173" s="3" t="s">
        <v>61</v>
      </c>
      <c r="U173" s="3" t="s">
        <v>62</v>
      </c>
      <c r="V173" s="8" t="s">
        <v>341</v>
      </c>
    </row>
    <row r="174">
      <c r="A174" s="7">
        <v>43951.78993263889</v>
      </c>
      <c r="B174" s="3" t="s">
        <v>32</v>
      </c>
      <c r="C174" s="3" t="s">
        <v>340</v>
      </c>
      <c r="D174" s="3"/>
      <c r="E174" s="3"/>
      <c r="F174" s="3" t="s">
        <v>340</v>
      </c>
      <c r="G174" s="3" t="s">
        <v>48</v>
      </c>
      <c r="H174" s="3" t="str">
        <f t="shared" si="1"/>
        <v>BJJ,,,,,</v>
      </c>
      <c r="I174" s="3" t="s">
        <v>29</v>
      </c>
      <c r="J174" s="3"/>
      <c r="K174" s="3"/>
      <c r="L174" s="3"/>
      <c r="M174" s="3"/>
      <c r="N174" s="3"/>
      <c r="O174" s="3" t="s">
        <v>37</v>
      </c>
      <c r="P174" s="3">
        <v>1.0</v>
      </c>
      <c r="Q174" s="3" t="s">
        <v>49</v>
      </c>
      <c r="R174" s="3">
        <v>5.0</v>
      </c>
      <c r="S174" s="3">
        <v>2.0</v>
      </c>
      <c r="T174" s="3" t="s">
        <v>61</v>
      </c>
      <c r="U174" s="3" t="s">
        <v>62</v>
      </c>
      <c r="V174" s="8" t="s">
        <v>342</v>
      </c>
    </row>
    <row r="175">
      <c r="A175" s="7">
        <v>43952.05767847222</v>
      </c>
      <c r="B175" s="3" t="s">
        <v>32</v>
      </c>
      <c r="C175" s="3" t="s">
        <v>343</v>
      </c>
      <c r="D175" s="3"/>
      <c r="E175" s="3"/>
      <c r="F175" s="3" t="s">
        <v>343</v>
      </c>
      <c r="G175" s="3" t="s">
        <v>48</v>
      </c>
      <c r="H175" s="3" t="str">
        <f t="shared" si="1"/>
        <v>BJJ,,,,,</v>
      </c>
      <c r="I175" s="3" t="s">
        <v>29</v>
      </c>
      <c r="J175" s="3"/>
      <c r="K175" s="3"/>
      <c r="L175" s="3"/>
      <c r="M175" s="3"/>
      <c r="N175" s="3"/>
      <c r="O175" s="3" t="s">
        <v>37</v>
      </c>
      <c r="P175" s="3">
        <v>1.0</v>
      </c>
      <c r="Q175" s="3" t="s">
        <v>38</v>
      </c>
      <c r="R175" s="3">
        <v>4.0</v>
      </c>
      <c r="S175" s="3">
        <v>1.0</v>
      </c>
      <c r="T175" s="3" t="s">
        <v>39</v>
      </c>
      <c r="U175" s="3" t="s">
        <v>40</v>
      </c>
      <c r="V175" s="8" t="s">
        <v>344</v>
      </c>
    </row>
    <row r="176">
      <c r="A176" s="7">
        <v>43952.36374609954</v>
      </c>
      <c r="B176" s="3" t="s">
        <v>44</v>
      </c>
      <c r="C176" s="3" t="s">
        <v>345</v>
      </c>
      <c r="D176" s="3"/>
      <c r="E176" s="3"/>
      <c r="F176" s="3" t="s">
        <v>345</v>
      </c>
      <c r="G176" s="3" t="s">
        <v>48</v>
      </c>
      <c r="H176" s="3" t="str">
        <f t="shared" si="1"/>
        <v>BJJ,,,,,</v>
      </c>
      <c r="I176" s="3" t="s">
        <v>29</v>
      </c>
      <c r="J176" s="3"/>
      <c r="K176" s="3"/>
      <c r="L176" s="3"/>
      <c r="M176" s="3"/>
      <c r="N176" s="3"/>
      <c r="O176" s="3" t="s">
        <v>76</v>
      </c>
      <c r="P176" s="3">
        <v>3.0</v>
      </c>
      <c r="Q176" s="3" t="s">
        <v>38</v>
      </c>
      <c r="R176" s="3">
        <v>5.0</v>
      </c>
      <c r="S176" s="3">
        <v>3.0</v>
      </c>
      <c r="T176" s="3" t="s">
        <v>39</v>
      </c>
      <c r="U176" s="3" t="s">
        <v>40</v>
      </c>
      <c r="V176" s="8" t="s">
        <v>346</v>
      </c>
    </row>
    <row r="177">
      <c r="A177" s="7">
        <v>43952.1146271412</v>
      </c>
      <c r="B177" s="3" t="s">
        <v>32</v>
      </c>
      <c r="C177" s="3" t="s">
        <v>347</v>
      </c>
      <c r="D177" s="3" t="s">
        <v>347</v>
      </c>
      <c r="E177" s="3"/>
      <c r="F177" s="3" t="s">
        <v>345</v>
      </c>
      <c r="G177" s="3" t="s">
        <v>36</v>
      </c>
      <c r="H177" s="3" t="str">
        <f t="shared" si="1"/>
        <v>BJJ,,,,,</v>
      </c>
      <c r="I177" s="3" t="s">
        <v>29</v>
      </c>
      <c r="J177" s="3"/>
      <c r="K177" s="3"/>
      <c r="L177" s="3"/>
      <c r="M177" s="3"/>
      <c r="N177" s="3"/>
      <c r="O177" s="3" t="s">
        <v>37</v>
      </c>
      <c r="P177" s="3">
        <v>1.0</v>
      </c>
      <c r="Q177" s="3" t="s">
        <v>49</v>
      </c>
      <c r="R177" s="3">
        <v>1.0</v>
      </c>
      <c r="S177" s="3">
        <v>5.0</v>
      </c>
      <c r="T177" s="3" t="s">
        <v>39</v>
      </c>
      <c r="U177" s="3" t="s">
        <v>40</v>
      </c>
      <c r="V177" s="6"/>
    </row>
    <row r="178">
      <c r="A178" s="7">
        <v>43950.50497096065</v>
      </c>
      <c r="B178" s="3" t="s">
        <v>44</v>
      </c>
      <c r="C178" s="3" t="s">
        <v>348</v>
      </c>
      <c r="E178" s="3"/>
      <c r="F178" s="3" t="s">
        <v>348</v>
      </c>
      <c r="G178" s="3" t="s">
        <v>48</v>
      </c>
      <c r="H178" s="3" t="str">
        <f t="shared" si="1"/>
        <v>BJJ,,,,,</v>
      </c>
      <c r="I178" s="3" t="s">
        <v>29</v>
      </c>
      <c r="J178" s="3"/>
      <c r="K178" s="3"/>
      <c r="L178" s="3"/>
      <c r="M178" s="3"/>
      <c r="N178" s="3"/>
      <c r="O178" s="3" t="s">
        <v>76</v>
      </c>
      <c r="P178" s="3">
        <v>1.0</v>
      </c>
      <c r="Q178" s="3" t="s">
        <v>49</v>
      </c>
      <c r="R178" s="3">
        <v>5.0</v>
      </c>
      <c r="S178" s="3">
        <v>4.0</v>
      </c>
      <c r="T178" s="3" t="s">
        <v>39</v>
      </c>
      <c r="U178" s="3" t="s">
        <v>40</v>
      </c>
      <c r="V178" s="8" t="s">
        <v>349</v>
      </c>
    </row>
    <row r="179">
      <c r="A179" s="7">
        <v>43952.28280457176</v>
      </c>
      <c r="C179" s="3" t="s">
        <v>350</v>
      </c>
      <c r="D179" s="3"/>
      <c r="E179" s="3"/>
      <c r="F179" s="3" t="s">
        <v>351</v>
      </c>
      <c r="G179" s="3" t="s">
        <v>48</v>
      </c>
      <c r="H179" s="3" t="str">
        <f t="shared" si="1"/>
        <v>BJJ,,,,,</v>
      </c>
      <c r="I179" s="3" t="s">
        <v>29</v>
      </c>
      <c r="J179" s="3"/>
      <c r="K179" s="3"/>
      <c r="L179" s="3"/>
      <c r="M179" s="3"/>
      <c r="N179" s="3"/>
      <c r="O179" s="3" t="s">
        <v>43</v>
      </c>
      <c r="P179" s="3">
        <v>2.0</v>
      </c>
      <c r="Q179" s="3" t="s">
        <v>49</v>
      </c>
      <c r="R179" s="3">
        <v>5.0</v>
      </c>
      <c r="S179" s="3">
        <v>3.0</v>
      </c>
      <c r="T179" s="3" t="s">
        <v>39</v>
      </c>
      <c r="U179" s="3" t="s">
        <v>40</v>
      </c>
      <c r="V179" s="8" t="s">
        <v>352</v>
      </c>
    </row>
    <row r="180">
      <c r="A180" s="7">
        <v>43950.67894420139</v>
      </c>
      <c r="B180" s="3" t="s">
        <v>44</v>
      </c>
      <c r="C180" s="3" t="s">
        <v>353</v>
      </c>
      <c r="D180" s="3" t="s">
        <v>83</v>
      </c>
      <c r="E180" s="3"/>
      <c r="F180" s="3" t="s">
        <v>354</v>
      </c>
      <c r="G180" s="3" t="s">
        <v>48</v>
      </c>
      <c r="H180" s="3" t="str">
        <f t="shared" si="1"/>
        <v>BJJ,,,,,</v>
      </c>
      <c r="I180" s="3" t="s">
        <v>29</v>
      </c>
      <c r="J180" s="3"/>
      <c r="K180" s="3"/>
      <c r="L180" s="3"/>
      <c r="M180" s="3"/>
      <c r="N180" s="3"/>
      <c r="O180" s="3" t="s">
        <v>43</v>
      </c>
      <c r="P180" s="3">
        <v>1.0</v>
      </c>
      <c r="Q180" s="3" t="s">
        <v>86</v>
      </c>
      <c r="R180" s="3">
        <v>4.0</v>
      </c>
      <c r="S180" s="3">
        <v>1.0</v>
      </c>
      <c r="T180" s="3" t="s">
        <v>39</v>
      </c>
      <c r="U180" s="3" t="s">
        <v>53</v>
      </c>
      <c r="V180" s="8" t="s">
        <v>355</v>
      </c>
    </row>
    <row r="181">
      <c r="A181" s="7">
        <v>43952.175422430555</v>
      </c>
      <c r="B181" s="3" t="s">
        <v>97</v>
      </c>
      <c r="C181" s="3" t="s">
        <v>356</v>
      </c>
      <c r="D181" s="3"/>
      <c r="E181" s="3"/>
      <c r="F181" s="3" t="s">
        <v>98</v>
      </c>
      <c r="G181" s="3" t="s">
        <v>48</v>
      </c>
      <c r="H181" s="3" t="str">
        <f t="shared" si="1"/>
        <v>BJJ,,,,,</v>
      </c>
      <c r="I181" s="3" t="s">
        <v>29</v>
      </c>
      <c r="J181" s="3"/>
      <c r="K181" s="3"/>
      <c r="L181" s="3"/>
      <c r="M181" s="3"/>
      <c r="N181" s="3"/>
      <c r="O181" s="3" t="s">
        <v>76</v>
      </c>
      <c r="P181" s="3">
        <v>1.0</v>
      </c>
      <c r="Q181" s="3" t="s">
        <v>38</v>
      </c>
      <c r="R181" s="3">
        <v>4.0</v>
      </c>
      <c r="S181" s="3">
        <v>3.0</v>
      </c>
      <c r="T181" s="3" t="s">
        <v>39</v>
      </c>
      <c r="U181" s="3" t="s">
        <v>40</v>
      </c>
      <c r="V181" s="8" t="s">
        <v>357</v>
      </c>
    </row>
    <row r="182">
      <c r="A182" s="7">
        <v>43950.66238778935</v>
      </c>
      <c r="B182" s="3" t="s">
        <v>44</v>
      </c>
      <c r="C182" s="3" t="s">
        <v>98</v>
      </c>
      <c r="D182" s="3" t="s">
        <v>83</v>
      </c>
      <c r="E182" s="3"/>
      <c r="F182" s="3" t="s">
        <v>98</v>
      </c>
      <c r="G182" s="3" t="s">
        <v>36</v>
      </c>
      <c r="H182" s="3" t="str">
        <f t="shared" si="1"/>
        <v>BJJ,,,,,</v>
      </c>
      <c r="I182" s="3" t="s">
        <v>29</v>
      </c>
      <c r="J182" s="3"/>
      <c r="K182" s="3"/>
      <c r="L182" s="3"/>
      <c r="M182" s="3"/>
      <c r="N182" s="3"/>
      <c r="O182" s="3" t="s">
        <v>43</v>
      </c>
      <c r="P182" s="3">
        <v>1.0</v>
      </c>
      <c r="Q182" s="3" t="s">
        <v>49</v>
      </c>
      <c r="R182" s="3">
        <v>3.0</v>
      </c>
      <c r="S182" s="3">
        <v>3.0</v>
      </c>
      <c r="T182" s="3" t="s">
        <v>61</v>
      </c>
      <c r="U182" s="3" t="s">
        <v>62</v>
      </c>
      <c r="V182" s="6"/>
    </row>
    <row r="183">
      <c r="A183" s="7">
        <v>43950.495981851855</v>
      </c>
      <c r="B183" s="3" t="s">
        <v>44</v>
      </c>
      <c r="C183" s="3" t="s">
        <v>136</v>
      </c>
      <c r="D183" s="3" t="s">
        <v>83</v>
      </c>
      <c r="F183" s="3" t="s">
        <v>136</v>
      </c>
      <c r="G183" s="3" t="s">
        <v>48</v>
      </c>
      <c r="H183" s="3" t="str">
        <f t="shared" si="1"/>
        <v>BJJ,,,,,</v>
      </c>
      <c r="I183" s="3" t="s">
        <v>29</v>
      </c>
      <c r="J183" s="3"/>
      <c r="K183" s="3"/>
      <c r="L183" s="3"/>
      <c r="M183" s="3"/>
      <c r="N183" s="3"/>
      <c r="O183" s="3" t="s">
        <v>37</v>
      </c>
      <c r="P183" s="3">
        <v>1.0</v>
      </c>
      <c r="Q183" s="3" t="s">
        <v>49</v>
      </c>
      <c r="R183" s="3">
        <v>1.0</v>
      </c>
      <c r="S183" s="3">
        <v>5.0</v>
      </c>
      <c r="T183" s="3" t="s">
        <v>39</v>
      </c>
      <c r="U183" s="3" t="s">
        <v>40</v>
      </c>
      <c r="V183" s="8" t="s">
        <v>358</v>
      </c>
    </row>
    <row r="184">
      <c r="A184" s="7">
        <v>43950.54083081019</v>
      </c>
      <c r="B184" s="3" t="s">
        <v>44</v>
      </c>
      <c r="C184" s="3" t="s">
        <v>136</v>
      </c>
      <c r="D184" s="3" t="s">
        <v>83</v>
      </c>
      <c r="E184" s="3"/>
      <c r="F184" s="3" t="s">
        <v>136</v>
      </c>
      <c r="G184" s="3" t="s">
        <v>48</v>
      </c>
      <c r="H184" s="3" t="str">
        <f t="shared" si="1"/>
        <v>BJJ,,,,,</v>
      </c>
      <c r="I184" s="3" t="s">
        <v>29</v>
      </c>
      <c r="J184" s="3"/>
      <c r="K184" s="3"/>
      <c r="L184" s="3"/>
      <c r="M184" s="3"/>
      <c r="N184" s="3"/>
      <c r="O184" s="3" t="s">
        <v>43</v>
      </c>
      <c r="P184" s="3">
        <v>1.0</v>
      </c>
      <c r="Q184" s="3" t="s">
        <v>49</v>
      </c>
      <c r="R184" s="3">
        <v>1.0</v>
      </c>
      <c r="S184" s="3">
        <v>5.0</v>
      </c>
      <c r="T184" s="3" t="s">
        <v>169</v>
      </c>
      <c r="U184" s="3" t="s">
        <v>62</v>
      </c>
      <c r="V184" s="6"/>
    </row>
    <row r="185">
      <c r="A185" s="7">
        <v>43950.70551400463</v>
      </c>
      <c r="B185" s="3" t="s">
        <v>32</v>
      </c>
      <c r="C185" s="3" t="s">
        <v>359</v>
      </c>
      <c r="D185" s="3"/>
      <c r="E185" s="3"/>
      <c r="F185" s="3" t="s">
        <v>136</v>
      </c>
      <c r="G185" s="3" t="s">
        <v>48</v>
      </c>
      <c r="H185" s="3" t="str">
        <f t="shared" si="1"/>
        <v>BJJ,,,,,</v>
      </c>
      <c r="I185" s="3" t="s">
        <v>29</v>
      </c>
      <c r="J185" s="3"/>
      <c r="K185" s="3"/>
      <c r="L185" s="3"/>
      <c r="M185" s="3"/>
      <c r="N185" s="3"/>
      <c r="O185" s="3" t="s">
        <v>76</v>
      </c>
      <c r="P185" s="3">
        <v>1.0</v>
      </c>
      <c r="Q185" s="3" t="s">
        <v>49</v>
      </c>
      <c r="R185" s="3">
        <v>3.0</v>
      </c>
      <c r="S185" s="3">
        <v>3.0</v>
      </c>
      <c r="T185" s="3" t="s">
        <v>39</v>
      </c>
      <c r="U185" s="3" t="s">
        <v>53</v>
      </c>
      <c r="V185" s="6"/>
    </row>
    <row r="186">
      <c r="A186" s="7">
        <v>43951.78095190972</v>
      </c>
      <c r="B186" s="3" t="s">
        <v>32</v>
      </c>
      <c r="C186" s="3" t="s">
        <v>136</v>
      </c>
      <c r="D186" s="3"/>
      <c r="E186" s="3"/>
      <c r="F186" s="3" t="s">
        <v>136</v>
      </c>
      <c r="G186" s="3" t="s">
        <v>36</v>
      </c>
      <c r="H186" s="3" t="str">
        <f t="shared" si="1"/>
        <v>BJJ,,,,,</v>
      </c>
      <c r="I186" s="3" t="s">
        <v>29</v>
      </c>
      <c r="J186" s="3"/>
      <c r="K186" s="3"/>
      <c r="L186" s="3"/>
      <c r="M186" s="3"/>
      <c r="N186" s="3"/>
      <c r="O186" s="3" t="s">
        <v>76</v>
      </c>
      <c r="P186" s="3">
        <v>1.0</v>
      </c>
      <c r="Q186" s="3" t="s">
        <v>49</v>
      </c>
      <c r="R186" s="3">
        <v>3.0</v>
      </c>
      <c r="S186" s="3">
        <v>4.0</v>
      </c>
      <c r="T186" s="3" t="s">
        <v>39</v>
      </c>
      <c r="U186" s="3" t="s">
        <v>40</v>
      </c>
      <c r="V186" s="8" t="s">
        <v>360</v>
      </c>
    </row>
    <row r="187">
      <c r="A187" s="7">
        <v>43952.118020821756</v>
      </c>
      <c r="B187" s="3" t="s">
        <v>32</v>
      </c>
      <c r="C187" s="3" t="s">
        <v>361</v>
      </c>
      <c r="D187" s="3"/>
      <c r="E187" s="3"/>
      <c r="F187" s="3" t="s">
        <v>136</v>
      </c>
      <c r="G187" s="3" t="s">
        <v>48</v>
      </c>
      <c r="H187" s="3" t="str">
        <f t="shared" si="1"/>
        <v>BJJ,,,,,</v>
      </c>
      <c r="I187" s="3" t="s">
        <v>29</v>
      </c>
      <c r="J187" s="3"/>
      <c r="K187" s="3"/>
      <c r="L187" s="3"/>
      <c r="M187" s="3"/>
      <c r="N187" s="3"/>
      <c r="O187" s="3" t="s">
        <v>76</v>
      </c>
      <c r="P187" s="3">
        <v>4.0</v>
      </c>
      <c r="Q187" s="3" t="s">
        <v>38</v>
      </c>
      <c r="R187" s="3">
        <v>2.0</v>
      </c>
      <c r="S187" s="3">
        <v>3.0</v>
      </c>
      <c r="T187" s="3" t="s">
        <v>61</v>
      </c>
      <c r="U187" s="3" t="s">
        <v>62</v>
      </c>
      <c r="V187" s="8" t="s">
        <v>362</v>
      </c>
    </row>
    <row r="188">
      <c r="A188" s="7">
        <v>43951.12981049769</v>
      </c>
      <c r="B188" s="3" t="s">
        <v>44</v>
      </c>
      <c r="C188" s="3" t="s">
        <v>363</v>
      </c>
      <c r="D188" s="3"/>
      <c r="E188" s="3"/>
      <c r="F188" s="3" t="s">
        <v>35</v>
      </c>
      <c r="G188" s="3" t="s">
        <v>48</v>
      </c>
      <c r="H188" s="3" t="str">
        <f t="shared" si="1"/>
        <v>BJJ,,,,,</v>
      </c>
      <c r="I188" s="3" t="s">
        <v>29</v>
      </c>
      <c r="J188" s="3"/>
      <c r="K188" s="3"/>
      <c r="L188" s="3"/>
      <c r="M188" s="3"/>
      <c r="N188" s="3"/>
      <c r="O188" s="3" t="s">
        <v>37</v>
      </c>
      <c r="P188" s="3">
        <v>1.0</v>
      </c>
      <c r="Q188" s="3" t="s">
        <v>49</v>
      </c>
      <c r="R188" s="3">
        <v>3.0</v>
      </c>
      <c r="S188" s="3">
        <v>4.0</v>
      </c>
      <c r="T188" s="3" t="s">
        <v>61</v>
      </c>
      <c r="U188" s="3" t="s">
        <v>62</v>
      </c>
      <c r="V188" s="8" t="s">
        <v>364</v>
      </c>
    </row>
    <row r="189">
      <c r="A189" s="7">
        <v>43950.69640472222</v>
      </c>
      <c r="B189" s="3" t="s">
        <v>32</v>
      </c>
      <c r="C189" s="3" t="s">
        <v>365</v>
      </c>
      <c r="D189" s="3" t="s">
        <v>83</v>
      </c>
      <c r="E189" s="3"/>
      <c r="F189" s="3" t="s">
        <v>35</v>
      </c>
      <c r="G189" s="3" t="s">
        <v>36</v>
      </c>
      <c r="H189" s="3" t="str">
        <f t="shared" si="1"/>
        <v>BJJ,,,,,</v>
      </c>
      <c r="I189" s="3" t="s">
        <v>29</v>
      </c>
      <c r="J189" s="3"/>
      <c r="K189" s="3"/>
      <c r="L189" s="3"/>
      <c r="M189" s="3"/>
      <c r="N189" s="3"/>
      <c r="O189" s="3" t="s">
        <v>76</v>
      </c>
      <c r="P189" s="3">
        <v>1.0</v>
      </c>
      <c r="Q189" s="3" t="s">
        <v>49</v>
      </c>
      <c r="R189" s="3">
        <v>3.0</v>
      </c>
      <c r="S189" s="3">
        <v>3.0</v>
      </c>
      <c r="T189" s="3" t="s">
        <v>39</v>
      </c>
      <c r="U189" s="3" t="s">
        <v>40</v>
      </c>
      <c r="V189" s="6"/>
    </row>
    <row r="190">
      <c r="A190" s="7">
        <v>43952.789538275465</v>
      </c>
      <c r="B190" s="3" t="s">
        <v>44</v>
      </c>
      <c r="C190" s="3" t="s">
        <v>366</v>
      </c>
      <c r="D190" s="3"/>
      <c r="E190" s="3"/>
      <c r="F190" s="3" t="s">
        <v>35</v>
      </c>
      <c r="G190" s="3" t="s">
        <v>48</v>
      </c>
      <c r="H190" s="3" t="str">
        <f t="shared" si="1"/>
        <v>BJJ,,,,,</v>
      </c>
      <c r="I190" s="3" t="s">
        <v>29</v>
      </c>
      <c r="J190" s="3"/>
      <c r="K190" s="3"/>
      <c r="L190" s="3"/>
      <c r="M190" s="3"/>
      <c r="N190" s="3"/>
      <c r="O190" s="3" t="s">
        <v>43</v>
      </c>
      <c r="P190" s="3">
        <v>1.0</v>
      </c>
      <c r="Q190" s="3" t="s">
        <v>111</v>
      </c>
      <c r="R190" s="3">
        <v>4.0</v>
      </c>
      <c r="S190" s="3">
        <v>2.0</v>
      </c>
      <c r="T190" s="3" t="s">
        <v>39</v>
      </c>
      <c r="U190" s="3" t="s">
        <v>40</v>
      </c>
      <c r="V190" s="8" t="s">
        <v>367</v>
      </c>
    </row>
    <row r="191">
      <c r="A191" s="7">
        <v>43952.217925590274</v>
      </c>
      <c r="B191" s="3" t="s">
        <v>44</v>
      </c>
      <c r="C191" s="3" t="s">
        <v>368</v>
      </c>
      <c r="D191" s="3" t="s">
        <v>368</v>
      </c>
      <c r="F191" s="3" t="s">
        <v>89</v>
      </c>
      <c r="G191" s="3" t="s">
        <v>48</v>
      </c>
      <c r="H191" s="3" t="str">
        <f t="shared" si="1"/>
        <v>BJJ,,,,,</v>
      </c>
      <c r="I191" s="3" t="s">
        <v>29</v>
      </c>
      <c r="J191" s="3"/>
      <c r="K191" s="3"/>
      <c r="L191" s="3"/>
      <c r="M191" s="3"/>
      <c r="N191" s="3"/>
      <c r="O191" s="3" t="s">
        <v>43</v>
      </c>
      <c r="P191" s="3">
        <v>1.0</v>
      </c>
      <c r="Q191" s="3" t="s">
        <v>49</v>
      </c>
      <c r="R191" s="3">
        <v>4.0</v>
      </c>
      <c r="S191" s="3">
        <v>5.0</v>
      </c>
      <c r="T191" s="3" t="s">
        <v>39</v>
      </c>
      <c r="U191" s="3" t="s">
        <v>40</v>
      </c>
      <c r="V191" s="8" t="s">
        <v>369</v>
      </c>
    </row>
    <row r="192">
      <c r="A192" s="7">
        <v>43951.91274050926</v>
      </c>
      <c r="B192" s="3" t="s">
        <v>32</v>
      </c>
      <c r="C192" s="3" t="s">
        <v>370</v>
      </c>
      <c r="D192" s="3" t="s">
        <v>368</v>
      </c>
      <c r="F192" s="3" t="s">
        <v>89</v>
      </c>
      <c r="G192" s="3" t="s">
        <v>36</v>
      </c>
      <c r="H192" s="3" t="str">
        <f t="shared" si="1"/>
        <v>BJJ,,,,,</v>
      </c>
      <c r="I192" s="3" t="s">
        <v>29</v>
      </c>
      <c r="J192" s="3"/>
      <c r="K192" s="3"/>
      <c r="L192" s="3"/>
      <c r="M192" s="3"/>
      <c r="N192" s="3"/>
      <c r="O192" s="3" t="s">
        <v>37</v>
      </c>
      <c r="P192" s="3">
        <v>1.0</v>
      </c>
      <c r="Q192" s="3" t="s">
        <v>49</v>
      </c>
      <c r="R192" s="3">
        <v>3.0</v>
      </c>
      <c r="S192" s="3">
        <v>3.0</v>
      </c>
      <c r="T192" s="3" t="s">
        <v>61</v>
      </c>
      <c r="U192" s="3" t="s">
        <v>62</v>
      </c>
      <c r="V192" s="8" t="s">
        <v>371</v>
      </c>
    </row>
    <row r="193">
      <c r="A193" s="7">
        <v>43950.41711329861</v>
      </c>
      <c r="H193" s="3" t="str">
        <f t="shared" si="1"/>
        <v>BJJ,,,,,</v>
      </c>
      <c r="I193" s="3" t="s">
        <v>29</v>
      </c>
      <c r="J193" s="3"/>
      <c r="K193" s="3"/>
      <c r="L193" s="3"/>
      <c r="M193" s="3"/>
      <c r="N193" s="3"/>
      <c r="O193" s="3" t="s">
        <v>37</v>
      </c>
      <c r="P193" s="3">
        <v>3.0</v>
      </c>
      <c r="Q193" s="3" t="s">
        <v>38</v>
      </c>
      <c r="R193" s="3">
        <v>3.0</v>
      </c>
      <c r="S193" s="3">
        <v>4.0</v>
      </c>
      <c r="T193" s="3" t="s">
        <v>39</v>
      </c>
      <c r="U193" s="3" t="s">
        <v>40</v>
      </c>
      <c r="V193" s="6"/>
    </row>
    <row r="194">
      <c r="A194" s="7">
        <v>43950.41775483797</v>
      </c>
      <c r="H194" s="3" t="str">
        <f t="shared" si="1"/>
        <v>BJJ,,,,,</v>
      </c>
      <c r="I194" s="3" t="s">
        <v>29</v>
      </c>
      <c r="J194" s="3"/>
      <c r="K194" s="3"/>
      <c r="L194" s="3"/>
      <c r="M194" s="3"/>
      <c r="N194" s="3"/>
      <c r="O194" s="3" t="s">
        <v>37</v>
      </c>
      <c r="P194" s="3">
        <v>5.0</v>
      </c>
      <c r="Q194" s="3" t="s">
        <v>38</v>
      </c>
      <c r="R194" s="3">
        <v>5.0</v>
      </c>
      <c r="S194" s="3">
        <v>4.0</v>
      </c>
      <c r="T194" s="3" t="s">
        <v>39</v>
      </c>
      <c r="U194" s="3" t="s">
        <v>40</v>
      </c>
      <c r="V194" s="6"/>
    </row>
    <row r="195">
      <c r="A195" s="7">
        <v>43950.432320312495</v>
      </c>
      <c r="B195" s="3" t="s">
        <v>32</v>
      </c>
      <c r="D195" s="3" t="s">
        <v>83</v>
      </c>
      <c r="E195" s="3"/>
      <c r="F195" s="3"/>
      <c r="G195" s="3" t="s">
        <v>36</v>
      </c>
      <c r="H195" s="3" t="str">
        <f t="shared" si="1"/>
        <v>BJJ,,,,,</v>
      </c>
      <c r="I195" s="3" t="s">
        <v>29</v>
      </c>
      <c r="J195" s="3"/>
      <c r="K195" s="3"/>
      <c r="L195" s="3"/>
      <c r="M195" s="3"/>
      <c r="N195" s="3"/>
      <c r="O195" s="3" t="s">
        <v>37</v>
      </c>
      <c r="P195" s="3">
        <v>3.0</v>
      </c>
      <c r="Q195" s="3" t="s">
        <v>38</v>
      </c>
      <c r="R195" s="3">
        <v>4.0</v>
      </c>
      <c r="S195" s="3">
        <v>4.0</v>
      </c>
      <c r="T195" s="3" t="s">
        <v>169</v>
      </c>
      <c r="U195" s="3" t="s">
        <v>62</v>
      </c>
      <c r="V195" s="6"/>
    </row>
    <row r="196">
      <c r="A196" s="7">
        <v>43950.43264082176</v>
      </c>
      <c r="B196" s="3" t="s">
        <v>44</v>
      </c>
      <c r="D196" s="3" t="s">
        <v>83</v>
      </c>
      <c r="E196" s="3"/>
      <c r="F196" s="3"/>
      <c r="G196" s="3" t="s">
        <v>48</v>
      </c>
      <c r="H196" s="3" t="str">
        <f t="shared" si="1"/>
        <v>BJJ,,,,,</v>
      </c>
      <c r="I196" s="3" t="s">
        <v>29</v>
      </c>
      <c r="J196" s="3"/>
      <c r="K196" s="3"/>
      <c r="L196" s="3"/>
      <c r="M196" s="3"/>
      <c r="N196" s="3"/>
      <c r="O196" s="3" t="s">
        <v>37</v>
      </c>
      <c r="P196" s="3">
        <v>1.0</v>
      </c>
      <c r="Q196" s="3" t="s">
        <v>49</v>
      </c>
      <c r="R196" s="3">
        <v>1.0</v>
      </c>
      <c r="S196" s="3">
        <v>5.0</v>
      </c>
      <c r="T196" s="3" t="s">
        <v>39</v>
      </c>
      <c r="U196" s="3" t="s">
        <v>40</v>
      </c>
      <c r="V196" s="6"/>
    </row>
    <row r="197">
      <c r="A197" s="7">
        <v>43950.481627800924</v>
      </c>
      <c r="B197" s="3" t="s">
        <v>44</v>
      </c>
      <c r="D197" s="3" t="s">
        <v>83</v>
      </c>
      <c r="E197" s="3"/>
      <c r="F197" s="3"/>
      <c r="G197" s="3" t="s">
        <v>36</v>
      </c>
      <c r="H197" s="3" t="str">
        <f t="shared" si="1"/>
        <v>BJJ,,,,,</v>
      </c>
      <c r="I197" s="3" t="s">
        <v>29</v>
      </c>
      <c r="J197" s="3"/>
      <c r="K197" s="3"/>
      <c r="L197" s="3"/>
      <c r="M197" s="3"/>
      <c r="N197" s="3"/>
      <c r="O197" s="3" t="s">
        <v>37</v>
      </c>
      <c r="P197" s="3">
        <v>3.0</v>
      </c>
      <c r="Q197" s="3" t="s">
        <v>38</v>
      </c>
      <c r="R197" s="3">
        <v>4.0</v>
      </c>
      <c r="S197" s="3">
        <v>4.0</v>
      </c>
      <c r="T197" s="3" t="s">
        <v>39</v>
      </c>
      <c r="U197" s="3" t="s">
        <v>40</v>
      </c>
      <c r="V197" s="6"/>
    </row>
    <row r="198">
      <c r="A198" s="7">
        <v>43950.5222371875</v>
      </c>
      <c r="B198" s="3" t="s">
        <v>32</v>
      </c>
      <c r="E198" s="3"/>
      <c r="F198" s="3"/>
      <c r="G198" s="3" t="s">
        <v>48</v>
      </c>
      <c r="H198" s="3" t="str">
        <f t="shared" si="1"/>
        <v>BJJ,,,,,</v>
      </c>
      <c r="I198" s="3" t="s">
        <v>29</v>
      </c>
      <c r="J198" s="3"/>
      <c r="K198" s="3"/>
      <c r="L198" s="3"/>
      <c r="M198" s="3"/>
      <c r="N198" s="3"/>
      <c r="O198" s="3" t="s">
        <v>43</v>
      </c>
      <c r="P198" s="3">
        <v>1.0</v>
      </c>
      <c r="Q198" s="3" t="s">
        <v>49</v>
      </c>
      <c r="R198" s="3">
        <v>3.0</v>
      </c>
      <c r="S198" s="3">
        <v>2.0</v>
      </c>
      <c r="T198" s="3" t="s">
        <v>39</v>
      </c>
      <c r="U198" s="3" t="s">
        <v>62</v>
      </c>
      <c r="V198" s="6"/>
    </row>
    <row r="199">
      <c r="A199" s="7">
        <v>43951.77201734953</v>
      </c>
      <c r="B199" s="3" t="s">
        <v>97</v>
      </c>
      <c r="D199" s="3"/>
      <c r="E199" s="3"/>
      <c r="F199" s="3"/>
      <c r="G199" s="3" t="s">
        <v>48</v>
      </c>
      <c r="H199" s="3" t="str">
        <f t="shared" si="1"/>
        <v>BJJ,,,,,</v>
      </c>
      <c r="I199" s="3" t="s">
        <v>29</v>
      </c>
      <c r="J199" s="3"/>
      <c r="K199" s="3"/>
      <c r="L199" s="3"/>
      <c r="M199" s="3"/>
      <c r="N199" s="3"/>
      <c r="O199" s="3" t="s">
        <v>37</v>
      </c>
      <c r="P199" s="3">
        <v>1.0</v>
      </c>
      <c r="Q199" s="3" t="s">
        <v>49</v>
      </c>
      <c r="R199" s="3">
        <v>2.0</v>
      </c>
      <c r="S199" s="3">
        <v>4.0</v>
      </c>
      <c r="T199" s="3" t="s">
        <v>39</v>
      </c>
      <c r="U199" s="3" t="s">
        <v>40</v>
      </c>
      <c r="V199" s="6"/>
    </row>
    <row r="200">
      <c r="A200" s="7">
        <v>43951.819711018514</v>
      </c>
      <c r="B200" s="3" t="s">
        <v>32</v>
      </c>
      <c r="D200" s="3"/>
      <c r="E200" s="3"/>
      <c r="F200" s="3"/>
      <c r="G200" s="3" t="s">
        <v>48</v>
      </c>
      <c r="H200" s="3" t="str">
        <f t="shared" si="1"/>
        <v>BJJ,,,,,</v>
      </c>
      <c r="I200" s="3" t="s">
        <v>29</v>
      </c>
      <c r="J200" s="3"/>
      <c r="K200" s="3"/>
      <c r="L200" s="3"/>
      <c r="M200" s="3"/>
      <c r="N200" s="3"/>
      <c r="O200" s="3" t="s">
        <v>76</v>
      </c>
      <c r="P200" s="3">
        <v>5.0</v>
      </c>
      <c r="Q200" s="3" t="s">
        <v>49</v>
      </c>
      <c r="R200" s="3">
        <v>3.0</v>
      </c>
      <c r="S200" s="3">
        <v>4.0</v>
      </c>
      <c r="T200" s="3" t="s">
        <v>39</v>
      </c>
      <c r="U200" s="3" t="s">
        <v>40</v>
      </c>
      <c r="V200" s="6"/>
    </row>
    <row r="201">
      <c r="A201" s="7">
        <v>43952.187670740735</v>
      </c>
      <c r="B201" s="3" t="s">
        <v>44</v>
      </c>
      <c r="D201" s="3"/>
      <c r="E201" s="3"/>
      <c r="F201" s="3"/>
      <c r="G201" s="3" t="s">
        <v>48</v>
      </c>
      <c r="H201" s="3" t="str">
        <f t="shared" si="1"/>
        <v>BJJ,,,,,</v>
      </c>
      <c r="I201" s="3" t="s">
        <v>29</v>
      </c>
      <c r="J201" s="3"/>
      <c r="K201" s="3"/>
      <c r="L201" s="3"/>
      <c r="M201" s="3"/>
      <c r="N201" s="3"/>
      <c r="O201" s="3" t="s">
        <v>43</v>
      </c>
      <c r="P201" s="3">
        <v>1.0</v>
      </c>
      <c r="Q201" s="3" t="s">
        <v>49</v>
      </c>
      <c r="R201" s="3">
        <v>3.0</v>
      </c>
      <c r="S201" s="3">
        <v>4.0</v>
      </c>
      <c r="T201" s="3" t="s">
        <v>39</v>
      </c>
      <c r="U201" s="3" t="s">
        <v>53</v>
      </c>
      <c r="V201" s="6"/>
    </row>
    <row r="202">
      <c r="A202" s="7">
        <v>43954.77881505787</v>
      </c>
      <c r="B202" s="3" t="s">
        <v>44</v>
      </c>
      <c r="C202" s="3" t="s">
        <v>372</v>
      </c>
      <c r="G202" s="3" t="s">
        <v>48</v>
      </c>
      <c r="H202" s="3" t="str">
        <f t="shared" si="1"/>
        <v>BJJ,,,,,</v>
      </c>
      <c r="I202" s="3" t="s">
        <v>29</v>
      </c>
      <c r="O202" s="3" t="s">
        <v>76</v>
      </c>
      <c r="P202" s="3">
        <v>5.0</v>
      </c>
      <c r="Q202" s="3" t="s">
        <v>49</v>
      </c>
      <c r="R202" s="3">
        <v>1.0</v>
      </c>
      <c r="S202" s="3">
        <v>5.0</v>
      </c>
      <c r="T202" s="3" t="s">
        <v>39</v>
      </c>
      <c r="U202" s="3" t="s">
        <v>40</v>
      </c>
      <c r="V202" s="3" t="s">
        <v>373</v>
      </c>
    </row>
    <row r="203">
      <c r="A203" s="7">
        <v>43954.88511960648</v>
      </c>
      <c r="B203" s="3" t="s">
        <v>32</v>
      </c>
      <c r="C203" s="3" t="s">
        <v>136</v>
      </c>
      <c r="G203" s="3" t="s">
        <v>36</v>
      </c>
      <c r="H203" s="3" t="str">
        <f t="shared" si="1"/>
        <v>BJJ,,,,,</v>
      </c>
      <c r="I203" s="3" t="s">
        <v>29</v>
      </c>
      <c r="O203" s="3" t="s">
        <v>37</v>
      </c>
      <c r="P203" s="3">
        <v>2.0</v>
      </c>
      <c r="Q203" s="3" t="s">
        <v>86</v>
      </c>
      <c r="R203" s="3">
        <v>5.0</v>
      </c>
      <c r="S203" s="3">
        <v>2.0</v>
      </c>
      <c r="T203" s="3" t="s">
        <v>39</v>
      </c>
      <c r="U203" s="3" t="s">
        <v>53</v>
      </c>
      <c r="V203" s="3" t="s">
        <v>374</v>
      </c>
    </row>
    <row r="204">
      <c r="A204" s="7">
        <v>43951.56073466435</v>
      </c>
      <c r="B204" s="3" t="s">
        <v>57</v>
      </c>
      <c r="C204" s="3" t="s">
        <v>103</v>
      </c>
      <c r="D204" s="3"/>
      <c r="E204" s="3" t="s">
        <v>103</v>
      </c>
      <c r="F204" s="3" t="s">
        <v>35</v>
      </c>
      <c r="G204" s="3" t="s">
        <v>36</v>
      </c>
      <c r="H204" s="3" t="str">
        <f t="shared" si="1"/>
        <v>Judo,Karate,MMA,,,</v>
      </c>
      <c r="I204" s="3" t="s">
        <v>27</v>
      </c>
      <c r="J204" s="3" t="s">
        <v>70</v>
      </c>
      <c r="K204" s="3" t="s">
        <v>21</v>
      </c>
      <c r="L204" s="3"/>
      <c r="M204" s="3"/>
      <c r="N204" s="3"/>
      <c r="O204" s="3" t="s">
        <v>37</v>
      </c>
      <c r="P204" s="3">
        <v>5.0</v>
      </c>
      <c r="Q204" s="3" t="s">
        <v>111</v>
      </c>
      <c r="R204" s="3">
        <v>5.0</v>
      </c>
      <c r="S204" s="3">
        <v>1.0</v>
      </c>
      <c r="T204" s="3" t="s">
        <v>61</v>
      </c>
      <c r="U204" s="3" t="s">
        <v>62</v>
      </c>
      <c r="V204" s="8" t="s">
        <v>375</v>
      </c>
    </row>
    <row r="205">
      <c r="A205" s="7">
        <v>43951.95823456018</v>
      </c>
      <c r="B205" s="3" t="s">
        <v>44</v>
      </c>
      <c r="C205" s="3" t="s">
        <v>376</v>
      </c>
      <c r="D205" s="3"/>
      <c r="E205" s="3" t="s">
        <v>300</v>
      </c>
      <c r="F205" s="3" t="s">
        <v>106</v>
      </c>
      <c r="G205" s="3" t="s">
        <v>48</v>
      </c>
      <c r="H205" s="3" t="str">
        <f t="shared" si="1"/>
        <v>Judo,Karate,Kickboxing,,,</v>
      </c>
      <c r="I205" s="3" t="s">
        <v>27</v>
      </c>
      <c r="J205" s="3" t="s">
        <v>70</v>
      </c>
      <c r="K205" s="3" t="s">
        <v>24</v>
      </c>
      <c r="L205" s="3"/>
      <c r="M205" s="3"/>
      <c r="N205" s="3"/>
      <c r="O205" s="3" t="s">
        <v>37</v>
      </c>
      <c r="P205" s="3">
        <v>1.0</v>
      </c>
      <c r="Q205" s="3" t="s">
        <v>38</v>
      </c>
      <c r="R205" s="3">
        <v>4.0</v>
      </c>
      <c r="S205" s="3">
        <v>3.0</v>
      </c>
      <c r="T205" s="3" t="s">
        <v>61</v>
      </c>
      <c r="U205" s="3" t="s">
        <v>62</v>
      </c>
      <c r="V205" s="8" t="s">
        <v>377</v>
      </c>
    </row>
    <row r="206">
      <c r="A206" s="7">
        <v>43952.229268634255</v>
      </c>
      <c r="B206" s="3" t="s">
        <v>44</v>
      </c>
      <c r="C206" s="3" t="s">
        <v>136</v>
      </c>
      <c r="D206" s="3"/>
      <c r="E206" s="3"/>
      <c r="F206" s="3" t="s">
        <v>136</v>
      </c>
      <c r="G206" s="3" t="s">
        <v>48</v>
      </c>
      <c r="H206" s="3" t="str">
        <f t="shared" si="1"/>
        <v>Judo,Karate,,,,</v>
      </c>
      <c r="I206" s="3" t="s">
        <v>27</v>
      </c>
      <c r="J206" s="3" t="s">
        <v>70</v>
      </c>
      <c r="K206" s="3"/>
      <c r="L206" s="3"/>
      <c r="M206" s="3"/>
      <c r="N206" s="3"/>
      <c r="O206" s="3" t="s">
        <v>37</v>
      </c>
      <c r="P206" s="3">
        <v>5.0</v>
      </c>
      <c r="Q206" s="3" t="s">
        <v>111</v>
      </c>
      <c r="R206" s="3">
        <v>5.0</v>
      </c>
      <c r="S206" s="3">
        <v>1.0</v>
      </c>
      <c r="T206" s="3" t="s">
        <v>169</v>
      </c>
      <c r="U206" s="3" t="s">
        <v>62</v>
      </c>
      <c r="V206" s="8" t="s">
        <v>378</v>
      </c>
    </row>
    <row r="207">
      <c r="A207" s="7">
        <v>43953.5162810301</v>
      </c>
      <c r="B207" s="3" t="s">
        <v>44</v>
      </c>
      <c r="C207" s="3" t="s">
        <v>379</v>
      </c>
      <c r="D207" s="3"/>
      <c r="E207" s="3" t="s">
        <v>151</v>
      </c>
      <c r="F207" s="3" t="s">
        <v>35</v>
      </c>
      <c r="G207" s="3" t="s">
        <v>48</v>
      </c>
      <c r="H207" s="3" t="str">
        <f t="shared" si="1"/>
        <v>Judo,,,,,</v>
      </c>
      <c r="I207" s="3" t="s">
        <v>27</v>
      </c>
      <c r="J207" s="3"/>
      <c r="K207" s="3"/>
      <c r="L207" s="3"/>
      <c r="M207" s="3"/>
      <c r="N207" s="3"/>
      <c r="O207" s="3" t="s">
        <v>55</v>
      </c>
      <c r="P207" s="3">
        <v>1.0</v>
      </c>
      <c r="Q207" s="3" t="s">
        <v>38</v>
      </c>
      <c r="R207" s="3">
        <v>5.0</v>
      </c>
      <c r="S207" s="3">
        <v>5.0</v>
      </c>
      <c r="T207" s="3" t="s">
        <v>61</v>
      </c>
      <c r="U207" s="3" t="s">
        <v>62</v>
      </c>
      <c r="V207" s="6"/>
    </row>
    <row r="208">
      <c r="A208" s="7">
        <v>43951.67458273148</v>
      </c>
      <c r="B208" s="3" t="s">
        <v>32</v>
      </c>
      <c r="C208" s="3" t="s">
        <v>75</v>
      </c>
      <c r="D208" s="3"/>
      <c r="E208" s="3" t="s">
        <v>75</v>
      </c>
      <c r="F208" s="3" t="s">
        <v>35</v>
      </c>
      <c r="G208" s="3" t="s">
        <v>36</v>
      </c>
      <c r="H208" s="3" t="str">
        <f t="shared" si="1"/>
        <v>Judo,,,,,</v>
      </c>
      <c r="I208" s="3" t="s">
        <v>27</v>
      </c>
      <c r="J208" s="3"/>
      <c r="K208" s="3"/>
      <c r="L208" s="3"/>
      <c r="M208" s="3"/>
      <c r="N208" s="3"/>
      <c r="O208" s="3" t="s">
        <v>37</v>
      </c>
      <c r="P208" s="3">
        <v>2.0</v>
      </c>
      <c r="Q208" s="3" t="s">
        <v>38</v>
      </c>
      <c r="R208" s="3">
        <v>3.0</v>
      </c>
      <c r="S208" s="3">
        <v>3.0</v>
      </c>
      <c r="T208" s="3" t="s">
        <v>39</v>
      </c>
      <c r="U208" s="3" t="s">
        <v>53</v>
      </c>
      <c r="V208" s="6"/>
    </row>
    <row r="209">
      <c r="A209" s="7">
        <v>43952.34818760416</v>
      </c>
      <c r="B209" s="3" t="s">
        <v>44</v>
      </c>
      <c r="C209" s="3" t="s">
        <v>94</v>
      </c>
      <c r="D209" s="3"/>
      <c r="E209" s="3"/>
      <c r="F209" s="3" t="s">
        <v>94</v>
      </c>
      <c r="G209" s="3" t="s">
        <v>48</v>
      </c>
      <c r="H209" s="3" t="str">
        <f t="shared" si="1"/>
        <v>Judo,,,,,</v>
      </c>
      <c r="I209" s="3" t="s">
        <v>27</v>
      </c>
      <c r="J209" s="3"/>
      <c r="K209" s="3"/>
      <c r="L209" s="3"/>
      <c r="M209" s="3"/>
      <c r="N209" s="3"/>
      <c r="O209" s="3" t="s">
        <v>76</v>
      </c>
      <c r="P209" s="3">
        <v>1.0</v>
      </c>
      <c r="Q209" s="3" t="s">
        <v>49</v>
      </c>
      <c r="R209" s="3">
        <v>2.0</v>
      </c>
      <c r="S209" s="3">
        <v>5.0</v>
      </c>
      <c r="T209" s="3" t="s">
        <v>39</v>
      </c>
      <c r="U209" s="3" t="s">
        <v>62</v>
      </c>
      <c r="V209" s="8" t="s">
        <v>380</v>
      </c>
    </row>
    <row r="210">
      <c r="A210" s="7">
        <v>43950.80466890046</v>
      </c>
      <c r="B210" s="3" t="s">
        <v>32</v>
      </c>
      <c r="C210" s="3" t="s">
        <v>381</v>
      </c>
      <c r="D210" s="3" t="s">
        <v>382</v>
      </c>
      <c r="E210" s="3" t="s">
        <v>103</v>
      </c>
      <c r="F210" s="3" t="s">
        <v>35</v>
      </c>
      <c r="G210" s="3" t="s">
        <v>36</v>
      </c>
      <c r="H210" s="3" t="str">
        <f t="shared" si="1"/>
        <v>Karate,Kickboxing,,,,</v>
      </c>
      <c r="I210" s="3" t="s">
        <v>70</v>
      </c>
      <c r="J210" s="3" t="s">
        <v>24</v>
      </c>
      <c r="K210" s="3"/>
      <c r="L210" s="3"/>
      <c r="M210" s="3"/>
      <c r="N210" s="3"/>
      <c r="O210" s="3" t="s">
        <v>37</v>
      </c>
      <c r="P210" s="3">
        <v>1.0</v>
      </c>
      <c r="Q210" s="3" t="s">
        <v>49</v>
      </c>
      <c r="R210" s="3">
        <v>2.0</v>
      </c>
      <c r="S210" s="3">
        <v>3.0</v>
      </c>
      <c r="T210" s="3" t="s">
        <v>39</v>
      </c>
      <c r="U210" s="3" t="s">
        <v>40</v>
      </c>
      <c r="V210" s="8" t="s">
        <v>383</v>
      </c>
    </row>
    <row r="211">
      <c r="A211" s="7">
        <v>43950.90469306713</v>
      </c>
      <c r="B211" s="3" t="s">
        <v>44</v>
      </c>
      <c r="C211" s="3" t="s">
        <v>384</v>
      </c>
      <c r="D211" s="3" t="s">
        <v>382</v>
      </c>
      <c r="E211" s="3" t="s">
        <v>103</v>
      </c>
      <c r="F211" s="3" t="s">
        <v>35</v>
      </c>
      <c r="G211" s="3" t="s">
        <v>48</v>
      </c>
      <c r="H211" s="3" t="str">
        <f t="shared" si="1"/>
        <v>Karate,MMA,Kickboxing,,,</v>
      </c>
      <c r="I211" s="3" t="s">
        <v>70</v>
      </c>
      <c r="J211" s="3" t="s">
        <v>21</v>
      </c>
      <c r="K211" s="3" t="s">
        <v>24</v>
      </c>
      <c r="L211" s="3"/>
      <c r="M211" s="3"/>
      <c r="N211" s="3"/>
      <c r="O211" s="3" t="s">
        <v>37</v>
      </c>
      <c r="P211" s="3">
        <v>3.0</v>
      </c>
      <c r="Q211" s="3" t="s">
        <v>38</v>
      </c>
      <c r="R211" s="3">
        <v>3.0</v>
      </c>
      <c r="S211" s="3">
        <v>3.0</v>
      </c>
      <c r="T211" s="3" t="s">
        <v>61</v>
      </c>
      <c r="U211" s="3" t="s">
        <v>53</v>
      </c>
      <c r="V211" s="6"/>
    </row>
    <row r="212">
      <c r="A212" s="7">
        <v>43952.04634598379</v>
      </c>
      <c r="B212" s="3" t="s">
        <v>71</v>
      </c>
      <c r="C212" s="3" t="s">
        <v>101</v>
      </c>
      <c r="D212" s="3"/>
      <c r="E212" s="3" t="s">
        <v>101</v>
      </c>
      <c r="F212" s="3" t="s">
        <v>35</v>
      </c>
      <c r="G212" s="3" t="s">
        <v>48</v>
      </c>
      <c r="H212" s="3" t="str">
        <f t="shared" si="1"/>
        <v>Karate,,,,,</v>
      </c>
      <c r="I212" s="3" t="s">
        <v>70</v>
      </c>
      <c r="J212" s="3"/>
      <c r="K212" s="3"/>
      <c r="L212" s="3"/>
      <c r="M212" s="3"/>
      <c r="N212" s="3"/>
      <c r="O212" s="3" t="s">
        <v>55</v>
      </c>
      <c r="P212" s="3">
        <v>1.0</v>
      </c>
      <c r="Q212" s="3" t="s">
        <v>49</v>
      </c>
      <c r="R212" s="3">
        <v>3.0</v>
      </c>
      <c r="S212" s="3">
        <v>4.0</v>
      </c>
      <c r="T212" s="3" t="s">
        <v>39</v>
      </c>
      <c r="U212" s="3" t="s">
        <v>40</v>
      </c>
      <c r="V212" s="8" t="s">
        <v>385</v>
      </c>
    </row>
    <row r="213">
      <c r="A213" s="7">
        <v>43952.78608090278</v>
      </c>
      <c r="B213" s="3" t="s">
        <v>97</v>
      </c>
      <c r="C213" s="3" t="s">
        <v>386</v>
      </c>
      <c r="D213" s="3"/>
      <c r="E213" s="3" t="s">
        <v>250</v>
      </c>
      <c r="F213" s="3" t="s">
        <v>35</v>
      </c>
      <c r="G213" s="3" t="s">
        <v>48</v>
      </c>
      <c r="H213" s="3" t="str">
        <f t="shared" si="1"/>
        <v>Karate,,,,,</v>
      </c>
      <c r="I213" s="3" t="s">
        <v>70</v>
      </c>
      <c r="J213" s="3"/>
      <c r="K213" s="3"/>
      <c r="L213" s="3"/>
      <c r="M213" s="3"/>
      <c r="N213" s="3"/>
      <c r="O213" s="3" t="s">
        <v>55</v>
      </c>
      <c r="P213" s="3">
        <v>1.0</v>
      </c>
      <c r="Q213" s="3" t="s">
        <v>38</v>
      </c>
      <c r="R213" s="3">
        <v>5.0</v>
      </c>
      <c r="S213" s="3">
        <v>1.0</v>
      </c>
      <c r="T213" s="3" t="s">
        <v>39</v>
      </c>
      <c r="U213" s="3" t="s">
        <v>53</v>
      </c>
      <c r="V213" s="6"/>
    </row>
    <row r="214">
      <c r="A214" s="7">
        <v>43953.8079943287</v>
      </c>
      <c r="B214" s="3" t="s">
        <v>32</v>
      </c>
      <c r="C214" s="3" t="s">
        <v>387</v>
      </c>
      <c r="E214" s="3" t="s">
        <v>60</v>
      </c>
      <c r="F214" s="3" t="s">
        <v>35</v>
      </c>
      <c r="G214" s="3" t="s">
        <v>48</v>
      </c>
      <c r="H214" s="3" t="str">
        <f t="shared" si="1"/>
        <v>Karate,,,,,</v>
      </c>
      <c r="I214" s="3" t="s">
        <v>70</v>
      </c>
      <c r="J214" s="3"/>
      <c r="K214" s="3"/>
      <c r="L214" s="3"/>
      <c r="M214" s="3"/>
      <c r="N214" s="3"/>
      <c r="O214" s="3" t="s">
        <v>37</v>
      </c>
      <c r="P214" s="3">
        <v>1.0</v>
      </c>
      <c r="Q214" s="3" t="s">
        <v>49</v>
      </c>
      <c r="R214" s="3">
        <v>2.0</v>
      </c>
      <c r="S214" s="3">
        <v>4.0</v>
      </c>
      <c r="T214" s="3" t="s">
        <v>39</v>
      </c>
      <c r="U214" s="3" t="s">
        <v>40</v>
      </c>
      <c r="V214" s="6"/>
    </row>
    <row r="215">
      <c r="A215" s="7">
        <v>43951.55985658565</v>
      </c>
      <c r="B215" s="3" t="s">
        <v>44</v>
      </c>
      <c r="C215" s="3" t="s">
        <v>388</v>
      </c>
      <c r="D215" s="3"/>
      <c r="E215" s="3" t="s">
        <v>120</v>
      </c>
      <c r="F215" s="3" t="s">
        <v>35</v>
      </c>
      <c r="G215" s="3" t="s">
        <v>48</v>
      </c>
      <c r="H215" s="3" t="str">
        <f t="shared" si="1"/>
        <v>Karate,,,,,</v>
      </c>
      <c r="I215" s="3" t="s">
        <v>70</v>
      </c>
      <c r="J215" s="3"/>
      <c r="K215" s="3"/>
      <c r="L215" s="3"/>
      <c r="M215" s="3"/>
      <c r="N215" s="3"/>
      <c r="O215" s="3" t="s">
        <v>55</v>
      </c>
      <c r="P215" s="3">
        <v>1.0</v>
      </c>
      <c r="Q215" s="3" t="s">
        <v>49</v>
      </c>
      <c r="R215" s="3">
        <v>4.0</v>
      </c>
      <c r="S215" s="3">
        <v>3.0</v>
      </c>
      <c r="T215" s="3" t="s">
        <v>39</v>
      </c>
      <c r="U215" s="3" t="s">
        <v>40</v>
      </c>
      <c r="V215" s="6"/>
    </row>
    <row r="216">
      <c r="A216" s="7">
        <v>43951.545732025465</v>
      </c>
      <c r="B216" s="3" t="s">
        <v>44</v>
      </c>
      <c r="C216" s="3" t="s">
        <v>389</v>
      </c>
      <c r="D216" s="3"/>
      <c r="E216" s="3" t="s">
        <v>103</v>
      </c>
      <c r="F216" s="3" t="s">
        <v>35</v>
      </c>
      <c r="G216" s="3" t="s">
        <v>48</v>
      </c>
      <c r="H216" s="3" t="str">
        <f t="shared" si="1"/>
        <v>Kickboxing,,,,,</v>
      </c>
      <c r="I216" s="3" t="s">
        <v>24</v>
      </c>
      <c r="J216" s="3"/>
      <c r="K216" s="3"/>
      <c r="L216" s="3"/>
      <c r="M216" s="3"/>
      <c r="N216" s="3"/>
      <c r="O216" s="3" t="s">
        <v>76</v>
      </c>
      <c r="P216" s="3">
        <v>1.0</v>
      </c>
      <c r="Q216" s="3" t="s">
        <v>49</v>
      </c>
      <c r="R216" s="3">
        <v>2.0</v>
      </c>
      <c r="S216" s="3">
        <v>3.0</v>
      </c>
      <c r="T216" s="3" t="s">
        <v>39</v>
      </c>
      <c r="U216" s="3" t="s">
        <v>40</v>
      </c>
      <c r="V216" s="8" t="s">
        <v>390</v>
      </c>
    </row>
    <row r="217">
      <c r="A217" s="7">
        <v>43951.672581921295</v>
      </c>
      <c r="B217" s="3" t="s">
        <v>32</v>
      </c>
      <c r="C217" s="3" t="s">
        <v>391</v>
      </c>
      <c r="D217" s="3"/>
      <c r="E217" s="3"/>
      <c r="F217" s="3" t="s">
        <v>391</v>
      </c>
      <c r="G217" s="3" t="s">
        <v>36</v>
      </c>
      <c r="H217" s="3" t="str">
        <f t="shared" si="1"/>
        <v>Kickboxing,,,,,</v>
      </c>
      <c r="I217" s="3" t="s">
        <v>24</v>
      </c>
      <c r="J217" s="3"/>
      <c r="K217" s="3"/>
      <c r="L217" s="3"/>
      <c r="M217" s="3"/>
      <c r="N217" s="3"/>
      <c r="O217" s="3" t="s">
        <v>37</v>
      </c>
      <c r="P217" s="3">
        <v>3.0</v>
      </c>
      <c r="Q217" s="3" t="s">
        <v>38</v>
      </c>
      <c r="R217" s="3">
        <v>4.0</v>
      </c>
      <c r="S217" s="3">
        <v>2.0</v>
      </c>
      <c r="T217" s="3" t="s">
        <v>61</v>
      </c>
      <c r="U217" s="3" t="s">
        <v>62</v>
      </c>
      <c r="V217" s="6"/>
    </row>
    <row r="218">
      <c r="A218" s="7">
        <v>43951.629265625</v>
      </c>
      <c r="B218" s="3" t="s">
        <v>71</v>
      </c>
      <c r="C218" s="3" t="s">
        <v>392</v>
      </c>
      <c r="D218" s="3"/>
      <c r="E218" s="3"/>
      <c r="F218" s="3" t="s">
        <v>132</v>
      </c>
      <c r="G218" s="3" t="s">
        <v>48</v>
      </c>
      <c r="H218" s="3" t="str">
        <f t="shared" si="1"/>
        <v>Kickboxing,,,,,</v>
      </c>
      <c r="I218" s="3" t="s">
        <v>24</v>
      </c>
      <c r="J218" s="3"/>
      <c r="K218" s="3"/>
      <c r="L218" s="3"/>
      <c r="M218" s="3"/>
      <c r="N218" s="3"/>
      <c r="O218" s="3" t="s">
        <v>55</v>
      </c>
      <c r="P218" s="3">
        <v>1.0</v>
      </c>
      <c r="Q218" s="3" t="s">
        <v>49</v>
      </c>
      <c r="R218" s="3">
        <v>1.0</v>
      </c>
      <c r="S218" s="3">
        <v>5.0</v>
      </c>
      <c r="T218" s="3" t="s">
        <v>169</v>
      </c>
      <c r="U218" s="3" t="s">
        <v>62</v>
      </c>
      <c r="V218" s="8" t="s">
        <v>393</v>
      </c>
    </row>
    <row r="219">
      <c r="A219" s="7">
        <v>43951.61293208333</v>
      </c>
      <c r="B219" s="3" t="s">
        <v>97</v>
      </c>
      <c r="C219" s="3" t="s">
        <v>394</v>
      </c>
      <c r="D219" s="3" t="s">
        <v>395</v>
      </c>
      <c r="E219" s="3"/>
      <c r="F219" s="3" t="s">
        <v>132</v>
      </c>
      <c r="G219" s="3" t="s">
        <v>48</v>
      </c>
      <c r="H219" s="3" t="str">
        <f t="shared" si="1"/>
        <v>Kickboxing,,,,,</v>
      </c>
      <c r="I219" s="3" t="s">
        <v>24</v>
      </c>
      <c r="J219" s="3"/>
      <c r="K219" s="3"/>
      <c r="L219" s="3"/>
      <c r="M219" s="3"/>
      <c r="N219" s="3"/>
      <c r="O219" s="3" t="s">
        <v>55</v>
      </c>
      <c r="P219" s="3">
        <v>1.0</v>
      </c>
      <c r="Q219" s="3" t="s">
        <v>49</v>
      </c>
      <c r="R219" s="3">
        <v>2.0</v>
      </c>
      <c r="S219" s="3">
        <v>2.0</v>
      </c>
      <c r="T219" s="3" t="s">
        <v>39</v>
      </c>
      <c r="U219" s="3" t="s">
        <v>40</v>
      </c>
      <c r="V219" s="8" t="s">
        <v>396</v>
      </c>
    </row>
    <row r="220">
      <c r="A220" s="7">
        <v>43951.62650248843</v>
      </c>
      <c r="B220" s="3" t="s">
        <v>97</v>
      </c>
      <c r="C220" s="3" t="s">
        <v>136</v>
      </c>
      <c r="D220" s="3"/>
      <c r="E220" s="3"/>
      <c r="F220" s="3" t="s">
        <v>136</v>
      </c>
      <c r="G220" s="3" t="s">
        <v>48</v>
      </c>
      <c r="H220" s="3" t="str">
        <f t="shared" si="1"/>
        <v>Kickboxing,,,,,</v>
      </c>
      <c r="I220" s="3" t="s">
        <v>24</v>
      </c>
      <c r="J220" s="3"/>
      <c r="K220" s="3"/>
      <c r="L220" s="3"/>
      <c r="M220" s="3"/>
      <c r="N220" s="3"/>
      <c r="O220" s="3" t="s">
        <v>76</v>
      </c>
      <c r="P220" s="3">
        <v>1.0</v>
      </c>
      <c r="Q220" s="3" t="s">
        <v>38</v>
      </c>
      <c r="R220" s="3">
        <v>3.0</v>
      </c>
      <c r="S220" s="3">
        <v>4.0</v>
      </c>
      <c r="T220" s="3" t="s">
        <v>169</v>
      </c>
      <c r="U220" s="3" t="s">
        <v>62</v>
      </c>
      <c r="V220" s="6"/>
    </row>
    <row r="221">
      <c r="A221" s="7">
        <v>43951.894803958334</v>
      </c>
      <c r="B221" s="3" t="s">
        <v>44</v>
      </c>
      <c r="C221" s="3" t="s">
        <v>136</v>
      </c>
      <c r="D221" s="3"/>
      <c r="E221" s="3"/>
      <c r="F221" s="3" t="s">
        <v>136</v>
      </c>
      <c r="G221" s="3" t="s">
        <v>48</v>
      </c>
      <c r="H221" s="3" t="str">
        <f t="shared" si="1"/>
        <v>Kickboxing,,,,,</v>
      </c>
      <c r="I221" s="3" t="s">
        <v>24</v>
      </c>
      <c r="J221" s="3"/>
      <c r="K221" s="3"/>
      <c r="L221" s="3"/>
      <c r="M221" s="3"/>
      <c r="N221" s="3"/>
      <c r="O221" s="3" t="s">
        <v>76</v>
      </c>
      <c r="P221" s="3">
        <v>1.0</v>
      </c>
      <c r="Q221" s="3" t="s">
        <v>38</v>
      </c>
      <c r="R221" s="3">
        <v>4.0</v>
      </c>
      <c r="S221" s="3">
        <v>3.0</v>
      </c>
      <c r="T221" s="3" t="s">
        <v>61</v>
      </c>
      <c r="U221" s="3" t="s">
        <v>62</v>
      </c>
      <c r="V221" s="6"/>
    </row>
    <row r="222" ht="21.0" customHeight="1">
      <c r="A222" s="7">
        <v>43951.859338124996</v>
      </c>
      <c r="B222" s="3" t="s">
        <v>97</v>
      </c>
      <c r="H222" s="3" t="str">
        <f t="shared" si="1"/>
        <v>MMA,Kickboxing,,,,</v>
      </c>
      <c r="I222" s="3" t="s">
        <v>21</v>
      </c>
      <c r="J222" s="3" t="s">
        <v>24</v>
      </c>
      <c r="K222" s="3"/>
      <c r="L222" s="3"/>
      <c r="M222" s="3"/>
      <c r="N222" s="3"/>
      <c r="O222" s="3" t="s">
        <v>55</v>
      </c>
      <c r="P222" s="3">
        <v>1.0</v>
      </c>
      <c r="Q222" s="3" t="s">
        <v>49</v>
      </c>
      <c r="R222" s="3">
        <v>4.0</v>
      </c>
      <c r="S222" s="3">
        <v>4.0</v>
      </c>
      <c r="T222" s="3" t="s">
        <v>39</v>
      </c>
      <c r="U222" s="3" t="s">
        <v>40</v>
      </c>
      <c r="V222" s="8" t="s">
        <v>397</v>
      </c>
    </row>
    <row r="223">
      <c r="A223" s="7">
        <v>43951.74213763889</v>
      </c>
      <c r="B223" s="3" t="s">
        <v>97</v>
      </c>
      <c r="C223" s="3" t="s">
        <v>142</v>
      </c>
      <c r="D223" s="3"/>
      <c r="E223" s="3" t="s">
        <v>142</v>
      </c>
      <c r="F223" s="3" t="s">
        <v>35</v>
      </c>
      <c r="G223" s="3" t="s">
        <v>48</v>
      </c>
      <c r="H223" s="3" t="str">
        <f t="shared" si="1"/>
        <v>MMA,,,,,</v>
      </c>
      <c r="I223" s="3" t="s">
        <v>21</v>
      </c>
      <c r="J223" s="3"/>
      <c r="K223" s="3"/>
      <c r="L223" s="3"/>
      <c r="M223" s="3"/>
      <c r="N223" s="3"/>
      <c r="O223" s="3" t="s">
        <v>76</v>
      </c>
      <c r="P223" s="3">
        <v>5.0</v>
      </c>
      <c r="Q223" s="3" t="s">
        <v>38</v>
      </c>
      <c r="R223" s="3">
        <v>4.0</v>
      </c>
      <c r="S223" s="3">
        <v>1.0</v>
      </c>
      <c r="T223" s="3" t="s">
        <v>39</v>
      </c>
      <c r="U223" s="3" t="s">
        <v>53</v>
      </c>
      <c r="V223" s="6"/>
    </row>
    <row r="224">
      <c r="A224" s="7">
        <v>43951.83214248843</v>
      </c>
      <c r="B224" s="3" t="s">
        <v>97</v>
      </c>
      <c r="C224" s="3" t="s">
        <v>398</v>
      </c>
      <c r="D224" s="3" t="s">
        <v>399</v>
      </c>
      <c r="E224" s="3" t="s">
        <v>103</v>
      </c>
      <c r="F224" s="3"/>
      <c r="G224" s="3" t="s">
        <v>48</v>
      </c>
      <c r="H224" s="3" t="str">
        <f t="shared" si="1"/>
        <v>Muay Thai,Kickboxing,,,,</v>
      </c>
      <c r="I224" s="3" t="s">
        <v>14</v>
      </c>
      <c r="J224" s="3" t="s">
        <v>24</v>
      </c>
      <c r="K224" s="3"/>
      <c r="L224" s="3"/>
      <c r="M224" s="3"/>
      <c r="N224" s="3"/>
      <c r="O224" s="3" t="s">
        <v>55</v>
      </c>
      <c r="P224" s="3">
        <v>5.0</v>
      </c>
      <c r="Q224" s="3" t="s">
        <v>49</v>
      </c>
      <c r="R224" s="3">
        <v>5.0</v>
      </c>
      <c r="S224" s="3">
        <v>4.0</v>
      </c>
      <c r="T224" s="3" t="s">
        <v>39</v>
      </c>
      <c r="U224" s="3" t="s">
        <v>87</v>
      </c>
      <c r="V224" s="8" t="s">
        <v>400</v>
      </c>
    </row>
    <row r="225">
      <c r="A225" s="7">
        <v>43951.670575358796</v>
      </c>
      <c r="B225" s="3" t="s">
        <v>97</v>
      </c>
      <c r="C225" s="3" t="s">
        <v>401</v>
      </c>
      <c r="D225" s="3" t="s">
        <v>402</v>
      </c>
      <c r="E225" s="3" t="s">
        <v>142</v>
      </c>
      <c r="F225" s="3"/>
      <c r="G225" s="3" t="s">
        <v>48</v>
      </c>
      <c r="H225" s="3" t="str">
        <f t="shared" si="1"/>
        <v>Muay Thai,Kickboxing,,,,</v>
      </c>
      <c r="I225" s="3" t="s">
        <v>14</v>
      </c>
      <c r="J225" s="3" t="s">
        <v>24</v>
      </c>
      <c r="K225" s="3"/>
      <c r="L225" s="3"/>
      <c r="M225" s="3"/>
      <c r="N225" s="3"/>
      <c r="O225" s="3" t="s">
        <v>55</v>
      </c>
      <c r="P225" s="3">
        <v>1.0</v>
      </c>
      <c r="Q225" s="3" t="s">
        <v>49</v>
      </c>
      <c r="R225" s="3">
        <v>2.0</v>
      </c>
      <c r="S225" s="3">
        <v>3.0</v>
      </c>
      <c r="T225" s="3" t="s">
        <v>61</v>
      </c>
      <c r="U225" s="3" t="s">
        <v>62</v>
      </c>
      <c r="V225" s="6"/>
    </row>
    <row r="226">
      <c r="A226" s="7">
        <v>43951.554789918984</v>
      </c>
      <c r="B226" s="3" t="s">
        <v>71</v>
      </c>
      <c r="C226" s="3" t="s">
        <v>403</v>
      </c>
      <c r="D226" s="3" t="s">
        <v>403</v>
      </c>
      <c r="E226" s="3" t="s">
        <v>83</v>
      </c>
      <c r="F226" s="3" t="s">
        <v>128</v>
      </c>
      <c r="G226" s="3" t="s">
        <v>48</v>
      </c>
      <c r="H226" s="3" t="str">
        <f t="shared" si="1"/>
        <v>Muay Thai,Kickboxing,,,,</v>
      </c>
      <c r="I226" s="3" t="s">
        <v>14</v>
      </c>
      <c r="J226" s="3" t="s">
        <v>24</v>
      </c>
      <c r="K226" s="3"/>
      <c r="L226" s="3"/>
      <c r="M226" s="3"/>
      <c r="N226" s="3"/>
      <c r="O226" s="3" t="s">
        <v>76</v>
      </c>
      <c r="P226" s="3">
        <v>4.0</v>
      </c>
      <c r="Q226" s="3" t="s">
        <v>49</v>
      </c>
      <c r="R226" s="3">
        <v>2.0</v>
      </c>
      <c r="S226" s="3">
        <v>3.0</v>
      </c>
      <c r="T226" s="3" t="s">
        <v>39</v>
      </c>
      <c r="U226" s="3" t="s">
        <v>40</v>
      </c>
      <c r="V226" s="6"/>
    </row>
    <row r="227">
      <c r="A227" s="7">
        <v>43951.49594142361</v>
      </c>
      <c r="B227" s="3" t="s">
        <v>32</v>
      </c>
      <c r="C227" s="3" t="s">
        <v>404</v>
      </c>
      <c r="D227" s="3" t="s">
        <v>172</v>
      </c>
      <c r="E227" s="3" t="s">
        <v>75</v>
      </c>
      <c r="F227" s="3" t="s">
        <v>35</v>
      </c>
      <c r="G227" s="3" t="s">
        <v>36</v>
      </c>
      <c r="H227" s="3" t="str">
        <f t="shared" si="1"/>
        <v>Muay Thai,Kickboxing,,,,</v>
      </c>
      <c r="I227" s="3" t="s">
        <v>14</v>
      </c>
      <c r="J227" s="3" t="s">
        <v>24</v>
      </c>
      <c r="K227" s="3"/>
      <c r="L227" s="3"/>
      <c r="M227" s="3"/>
      <c r="N227" s="3"/>
      <c r="O227" s="3" t="s">
        <v>55</v>
      </c>
      <c r="P227" s="3">
        <v>1.0</v>
      </c>
      <c r="Q227" s="3" t="s">
        <v>49</v>
      </c>
      <c r="R227" s="3">
        <v>1.0</v>
      </c>
      <c r="S227" s="3">
        <v>5.0</v>
      </c>
      <c r="T227" s="3" t="s">
        <v>39</v>
      </c>
      <c r="U227" s="3" t="s">
        <v>40</v>
      </c>
      <c r="V227" s="8" t="s">
        <v>405</v>
      </c>
    </row>
    <row r="228">
      <c r="A228" s="7">
        <v>43951.565617025466</v>
      </c>
      <c r="B228" s="3" t="s">
        <v>97</v>
      </c>
      <c r="C228" s="3" t="s">
        <v>406</v>
      </c>
      <c r="D228" s="3" t="s">
        <v>407</v>
      </c>
      <c r="E228" s="3"/>
      <c r="F228" s="3" t="s">
        <v>128</v>
      </c>
      <c r="G228" s="3" t="s">
        <v>48</v>
      </c>
      <c r="H228" s="3" t="str">
        <f t="shared" si="1"/>
        <v>Muay Thai,Kickboxing,,,,</v>
      </c>
      <c r="I228" s="3" t="s">
        <v>14</v>
      </c>
      <c r="J228" s="3" t="s">
        <v>24</v>
      </c>
      <c r="K228" s="3"/>
      <c r="L228" s="3"/>
      <c r="M228" s="3"/>
      <c r="N228" s="3"/>
      <c r="O228" s="3" t="s">
        <v>76</v>
      </c>
      <c r="P228" s="3">
        <v>1.0</v>
      </c>
      <c r="Q228" s="3" t="s">
        <v>49</v>
      </c>
      <c r="R228" s="3">
        <v>2.0</v>
      </c>
      <c r="S228" s="3">
        <v>4.0</v>
      </c>
      <c r="T228" s="3" t="s">
        <v>39</v>
      </c>
      <c r="U228" s="3" t="s">
        <v>62</v>
      </c>
      <c r="V228" s="8" t="s">
        <v>408</v>
      </c>
    </row>
    <row r="229">
      <c r="A229" s="7">
        <v>43951.61718489583</v>
      </c>
      <c r="B229" s="3" t="s">
        <v>97</v>
      </c>
      <c r="C229" s="3" t="s">
        <v>110</v>
      </c>
      <c r="D229" s="3" t="s">
        <v>110</v>
      </c>
      <c r="E229" s="3" t="s">
        <v>103</v>
      </c>
      <c r="F229" s="3" t="s">
        <v>35</v>
      </c>
      <c r="G229" s="3" t="s">
        <v>48</v>
      </c>
      <c r="H229" s="3" t="str">
        <f t="shared" si="1"/>
        <v>Muay Thai,MMA,,,,</v>
      </c>
      <c r="I229" s="3" t="s">
        <v>14</v>
      </c>
      <c r="J229" s="3" t="s">
        <v>21</v>
      </c>
      <c r="K229" s="3"/>
      <c r="L229" s="3"/>
      <c r="M229" s="3"/>
      <c r="N229" s="3"/>
      <c r="O229" s="3" t="s">
        <v>76</v>
      </c>
      <c r="P229" s="3">
        <v>1.0</v>
      </c>
      <c r="Q229" s="3" t="s">
        <v>49</v>
      </c>
      <c r="R229" s="3">
        <v>2.0</v>
      </c>
      <c r="S229" s="3">
        <v>5.0</v>
      </c>
      <c r="T229" s="3" t="s">
        <v>39</v>
      </c>
      <c r="U229" s="3" t="s">
        <v>40</v>
      </c>
      <c r="V229" s="6"/>
    </row>
    <row r="230">
      <c r="A230" s="7">
        <v>43952.26011641204</v>
      </c>
      <c r="B230" s="3" t="s">
        <v>97</v>
      </c>
      <c r="C230" s="3" t="s">
        <v>409</v>
      </c>
      <c r="D230" s="3"/>
      <c r="E230" s="3"/>
      <c r="F230" s="3" t="s">
        <v>410</v>
      </c>
      <c r="G230" s="3" t="s">
        <v>48</v>
      </c>
      <c r="H230" s="3" t="str">
        <f t="shared" si="1"/>
        <v>Muay Thai,MMA,Kickboxing,,,</v>
      </c>
      <c r="I230" s="3" t="s">
        <v>14</v>
      </c>
      <c r="J230" s="3" t="s">
        <v>21</v>
      </c>
      <c r="K230" s="3" t="s">
        <v>24</v>
      </c>
      <c r="L230" s="3"/>
      <c r="M230" s="3"/>
      <c r="N230" s="3"/>
      <c r="O230" s="3" t="s">
        <v>76</v>
      </c>
      <c r="P230" s="3">
        <v>1.0</v>
      </c>
      <c r="Q230" s="3" t="s">
        <v>38</v>
      </c>
      <c r="R230" s="3">
        <v>5.0</v>
      </c>
      <c r="S230" s="3">
        <v>4.0</v>
      </c>
      <c r="T230" s="3" t="s">
        <v>39</v>
      </c>
      <c r="U230" s="3" t="s">
        <v>62</v>
      </c>
      <c r="V230" s="8" t="s">
        <v>411</v>
      </c>
    </row>
    <row r="231">
      <c r="A231" s="7">
        <v>43952.99995099537</v>
      </c>
      <c r="B231" s="3" t="s">
        <v>71</v>
      </c>
      <c r="C231" s="3" t="s">
        <v>412</v>
      </c>
      <c r="D231" s="3"/>
      <c r="E231" s="3" t="s">
        <v>103</v>
      </c>
      <c r="F231" s="3" t="s">
        <v>35</v>
      </c>
      <c r="G231" s="3" t="s">
        <v>48</v>
      </c>
      <c r="H231" s="3" t="str">
        <f t="shared" si="1"/>
        <v>Muay Thai,Tae Kwon Do,Kickboxing,,,</v>
      </c>
      <c r="I231" s="3" t="s">
        <v>14</v>
      </c>
      <c r="J231" s="3" t="s">
        <v>178</v>
      </c>
      <c r="K231" s="3" t="s">
        <v>24</v>
      </c>
      <c r="L231" s="3"/>
      <c r="M231" s="3"/>
      <c r="N231" s="3"/>
      <c r="O231" s="3" t="s">
        <v>76</v>
      </c>
      <c r="P231" s="3">
        <v>1.0</v>
      </c>
      <c r="Q231" s="3" t="s">
        <v>38</v>
      </c>
      <c r="R231" s="3">
        <v>3.0</v>
      </c>
      <c r="S231" s="3">
        <v>2.0</v>
      </c>
      <c r="T231" s="3" t="s">
        <v>39</v>
      </c>
      <c r="U231" s="3" t="s">
        <v>53</v>
      </c>
      <c r="V231" s="8" t="s">
        <v>413</v>
      </c>
    </row>
    <row r="232">
      <c r="A232" s="7">
        <v>43951.670010127316</v>
      </c>
      <c r="B232" s="3" t="s">
        <v>71</v>
      </c>
      <c r="C232" s="3" t="s">
        <v>414</v>
      </c>
      <c r="D232" s="3"/>
      <c r="E232" s="3" t="s">
        <v>209</v>
      </c>
      <c r="F232" s="3" t="s">
        <v>35</v>
      </c>
      <c r="G232" s="3" t="s">
        <v>48</v>
      </c>
      <c r="H232" s="3" t="str">
        <f t="shared" si="1"/>
        <v>Muay Thai,Tae Kwon Do,Kickboxing,,,</v>
      </c>
      <c r="I232" s="3" t="s">
        <v>14</v>
      </c>
      <c r="J232" s="3" t="s">
        <v>178</v>
      </c>
      <c r="K232" s="3" t="s">
        <v>24</v>
      </c>
      <c r="L232" s="3"/>
      <c r="M232" s="3"/>
      <c r="N232" s="3"/>
      <c r="O232" s="3" t="s">
        <v>37</v>
      </c>
      <c r="P232" s="3">
        <v>1.0</v>
      </c>
      <c r="Q232" s="3" t="s">
        <v>49</v>
      </c>
      <c r="R232" s="3">
        <v>3.0</v>
      </c>
      <c r="S232" s="3">
        <v>5.0</v>
      </c>
      <c r="T232" s="3" t="s">
        <v>169</v>
      </c>
      <c r="U232" s="3" t="s">
        <v>62</v>
      </c>
      <c r="V232" s="8" t="s">
        <v>415</v>
      </c>
    </row>
    <row r="233">
      <c r="A233" s="7">
        <v>43950.64040908565</v>
      </c>
      <c r="B233" s="3" t="s">
        <v>97</v>
      </c>
      <c r="C233" s="3" t="s">
        <v>416</v>
      </c>
      <c r="D233" s="3" t="s">
        <v>83</v>
      </c>
      <c r="E233" s="3"/>
      <c r="F233" s="3" t="s">
        <v>417</v>
      </c>
      <c r="G233" s="3" t="s">
        <v>48</v>
      </c>
      <c r="H233" s="3" t="str">
        <f t="shared" si="1"/>
        <v>Muay Thai,Tae Kwon Do,Kickboxing,,,</v>
      </c>
      <c r="I233" s="3" t="s">
        <v>14</v>
      </c>
      <c r="J233" s="3" t="s">
        <v>178</v>
      </c>
      <c r="K233" s="3" t="s">
        <v>24</v>
      </c>
      <c r="L233" s="3"/>
      <c r="M233" s="3"/>
      <c r="N233" s="3"/>
      <c r="O233" s="3" t="s">
        <v>55</v>
      </c>
      <c r="P233" s="3">
        <v>1.0</v>
      </c>
      <c r="Q233" s="3" t="s">
        <v>111</v>
      </c>
      <c r="R233" s="3">
        <v>5.0</v>
      </c>
      <c r="S233" s="3">
        <v>4.0</v>
      </c>
      <c r="T233" s="3" t="s">
        <v>61</v>
      </c>
      <c r="U233" s="3" t="s">
        <v>62</v>
      </c>
      <c r="V233" s="8" t="s">
        <v>418</v>
      </c>
    </row>
    <row r="234">
      <c r="A234" s="7">
        <v>43951.49710659722</v>
      </c>
      <c r="B234" s="3" t="s">
        <v>44</v>
      </c>
      <c r="C234" s="3" t="s">
        <v>419</v>
      </c>
      <c r="D234" s="3"/>
      <c r="E234" s="3" t="s">
        <v>420</v>
      </c>
      <c r="F234" s="3" t="s">
        <v>351</v>
      </c>
      <c r="G234" s="3" t="s">
        <v>36</v>
      </c>
      <c r="H234" s="3" t="str">
        <f t="shared" si="1"/>
        <v>Muay Thai,,,,,</v>
      </c>
      <c r="I234" s="3" t="s">
        <v>14</v>
      </c>
      <c r="J234" s="3"/>
      <c r="K234" s="3"/>
      <c r="L234" s="3"/>
      <c r="M234" s="3"/>
      <c r="N234" s="3"/>
      <c r="O234" s="3" t="s">
        <v>55</v>
      </c>
      <c r="P234" s="3">
        <v>1.0</v>
      </c>
      <c r="Q234" s="3" t="s">
        <v>49</v>
      </c>
      <c r="R234" s="3">
        <v>3.0</v>
      </c>
      <c r="S234" s="3">
        <v>4.0</v>
      </c>
      <c r="T234" s="3" t="s">
        <v>61</v>
      </c>
      <c r="U234" s="3" t="s">
        <v>62</v>
      </c>
      <c r="V234" s="6"/>
    </row>
    <row r="235">
      <c r="A235" s="7">
        <v>43950.50119388889</v>
      </c>
      <c r="B235" s="3" t="s">
        <v>44</v>
      </c>
      <c r="C235" s="3" t="s">
        <v>60</v>
      </c>
      <c r="D235" s="3" t="s">
        <v>59</v>
      </c>
      <c r="E235" s="3" t="s">
        <v>60</v>
      </c>
      <c r="F235" s="3" t="s">
        <v>35</v>
      </c>
      <c r="G235" s="3" t="s">
        <v>48</v>
      </c>
      <c r="H235" s="3" t="str">
        <f t="shared" si="1"/>
        <v>Muay Thai,,,,,</v>
      </c>
      <c r="I235" s="3" t="s">
        <v>14</v>
      </c>
      <c r="J235" s="3"/>
      <c r="K235" s="3"/>
      <c r="L235" s="3"/>
      <c r="M235" s="3"/>
      <c r="N235" s="3"/>
      <c r="O235" s="3" t="s">
        <v>43</v>
      </c>
      <c r="P235" s="3">
        <v>1.0</v>
      </c>
      <c r="Q235" s="3" t="s">
        <v>49</v>
      </c>
      <c r="R235" s="3">
        <v>3.0</v>
      </c>
      <c r="S235" s="3">
        <v>4.0</v>
      </c>
      <c r="T235" s="3" t="s">
        <v>39</v>
      </c>
      <c r="U235" s="3" t="s">
        <v>40</v>
      </c>
      <c r="V235" s="8" t="s">
        <v>421</v>
      </c>
    </row>
    <row r="236">
      <c r="A236" s="7">
        <v>43950.5255734838</v>
      </c>
      <c r="B236" s="3" t="s">
        <v>44</v>
      </c>
      <c r="C236" s="3" t="s">
        <v>60</v>
      </c>
      <c r="D236" s="3" t="s">
        <v>59</v>
      </c>
      <c r="E236" s="3" t="s">
        <v>60</v>
      </c>
      <c r="F236" s="3" t="s">
        <v>35</v>
      </c>
      <c r="G236" s="3" t="s">
        <v>48</v>
      </c>
      <c r="H236" s="3" t="str">
        <f t="shared" si="1"/>
        <v>Muay Thai,,,,,</v>
      </c>
      <c r="I236" s="3" t="s">
        <v>14</v>
      </c>
      <c r="J236" s="3"/>
      <c r="K236" s="3"/>
      <c r="L236" s="3"/>
      <c r="M236" s="3"/>
      <c r="N236" s="3"/>
      <c r="O236" s="3" t="s">
        <v>55</v>
      </c>
      <c r="P236" s="3">
        <v>1.0</v>
      </c>
      <c r="Q236" s="3" t="s">
        <v>49</v>
      </c>
      <c r="R236" s="3">
        <v>3.0</v>
      </c>
      <c r="S236" s="3">
        <v>4.0</v>
      </c>
      <c r="T236" s="3" t="s">
        <v>39</v>
      </c>
      <c r="U236" s="3" t="s">
        <v>40</v>
      </c>
      <c r="V236" s="8" t="s">
        <v>422</v>
      </c>
    </row>
    <row r="237">
      <c r="A237" s="7">
        <v>43950.53851184028</v>
      </c>
      <c r="B237" s="3" t="s">
        <v>44</v>
      </c>
      <c r="C237" s="3" t="s">
        <v>60</v>
      </c>
      <c r="D237" s="3" t="s">
        <v>59</v>
      </c>
      <c r="E237" s="3" t="s">
        <v>60</v>
      </c>
      <c r="F237" s="3" t="s">
        <v>35</v>
      </c>
      <c r="G237" s="3" t="s">
        <v>48</v>
      </c>
      <c r="H237" s="3" t="str">
        <f t="shared" si="1"/>
        <v>Muay Thai,,,,,</v>
      </c>
      <c r="I237" s="3" t="s">
        <v>14</v>
      </c>
      <c r="J237" s="3"/>
      <c r="K237" s="3"/>
      <c r="L237" s="3"/>
      <c r="M237" s="3"/>
      <c r="N237" s="3"/>
      <c r="O237" s="3" t="s">
        <v>76</v>
      </c>
      <c r="P237" s="3">
        <v>1.0</v>
      </c>
      <c r="Q237" s="3" t="s">
        <v>49</v>
      </c>
      <c r="R237" s="3">
        <v>4.0</v>
      </c>
      <c r="S237" s="3">
        <v>3.0</v>
      </c>
      <c r="T237" s="3" t="s">
        <v>39</v>
      </c>
      <c r="U237" s="3" t="s">
        <v>53</v>
      </c>
      <c r="V237" s="6"/>
    </row>
    <row r="238">
      <c r="A238" s="7">
        <v>43950.569731678246</v>
      </c>
      <c r="B238" s="3" t="s">
        <v>44</v>
      </c>
      <c r="C238" s="3" t="s">
        <v>423</v>
      </c>
      <c r="D238" s="3" t="s">
        <v>59</v>
      </c>
      <c r="E238" s="3" t="s">
        <v>60</v>
      </c>
      <c r="F238" s="3" t="s">
        <v>35</v>
      </c>
      <c r="G238" s="3" t="s">
        <v>48</v>
      </c>
      <c r="H238" s="3" t="str">
        <f t="shared" si="1"/>
        <v>Muay Thai,,,,,</v>
      </c>
      <c r="I238" s="3" t="s">
        <v>14</v>
      </c>
      <c r="J238" s="3"/>
      <c r="K238" s="3"/>
      <c r="L238" s="3"/>
      <c r="M238" s="3"/>
      <c r="N238" s="3"/>
      <c r="O238" s="3" t="s">
        <v>37</v>
      </c>
      <c r="P238" s="3">
        <v>1.0</v>
      </c>
      <c r="Q238" s="3" t="s">
        <v>38</v>
      </c>
      <c r="R238" s="3">
        <v>4.0</v>
      </c>
      <c r="S238" s="3">
        <v>4.0</v>
      </c>
      <c r="T238" s="3" t="s">
        <v>39</v>
      </c>
      <c r="U238" s="3" t="s">
        <v>40</v>
      </c>
      <c r="V238" s="8" t="s">
        <v>424</v>
      </c>
    </row>
    <row r="239">
      <c r="A239" s="7">
        <v>43950.592644502314</v>
      </c>
      <c r="B239" s="3" t="s">
        <v>32</v>
      </c>
      <c r="C239" s="3" t="s">
        <v>59</v>
      </c>
      <c r="D239" s="3" t="s">
        <v>59</v>
      </c>
      <c r="E239" s="3" t="s">
        <v>60</v>
      </c>
      <c r="F239" s="3" t="s">
        <v>35</v>
      </c>
      <c r="G239" s="3" t="s">
        <v>48</v>
      </c>
      <c r="H239" s="3" t="str">
        <f t="shared" si="1"/>
        <v>Muay Thai,,,,,</v>
      </c>
      <c r="I239" s="3" t="s">
        <v>14</v>
      </c>
      <c r="J239" s="3"/>
      <c r="K239" s="3"/>
      <c r="L239" s="3"/>
      <c r="M239" s="3"/>
      <c r="N239" s="3"/>
      <c r="O239" s="3" t="s">
        <v>37</v>
      </c>
      <c r="P239" s="3">
        <v>1.0</v>
      </c>
      <c r="Q239" s="3" t="s">
        <v>38</v>
      </c>
      <c r="R239" s="3">
        <v>4.0</v>
      </c>
      <c r="S239" s="3">
        <v>3.0</v>
      </c>
      <c r="T239" s="3" t="s">
        <v>39</v>
      </c>
      <c r="U239" s="3" t="s">
        <v>40</v>
      </c>
      <c r="V239" s="8" t="s">
        <v>425</v>
      </c>
    </row>
    <row r="240">
      <c r="A240" s="7">
        <v>43952.470665138884</v>
      </c>
      <c r="B240" s="3" t="s">
        <v>44</v>
      </c>
      <c r="C240" s="3" t="s">
        <v>426</v>
      </c>
      <c r="D240" s="3" t="s">
        <v>59</v>
      </c>
      <c r="E240" s="3" t="s">
        <v>60</v>
      </c>
      <c r="F240" s="3" t="s">
        <v>35</v>
      </c>
      <c r="G240" s="3" t="s">
        <v>48</v>
      </c>
      <c r="H240" s="3" t="str">
        <f t="shared" si="1"/>
        <v>Muay Thai,,,,,</v>
      </c>
      <c r="I240" s="3" t="s">
        <v>14</v>
      </c>
      <c r="J240" s="3"/>
      <c r="K240" s="3"/>
      <c r="L240" s="3"/>
      <c r="M240" s="3"/>
      <c r="N240" s="3"/>
      <c r="O240" s="3" t="s">
        <v>43</v>
      </c>
      <c r="P240" s="3">
        <v>1.0</v>
      </c>
      <c r="Q240" s="3" t="s">
        <v>38</v>
      </c>
      <c r="R240" s="3">
        <v>3.0</v>
      </c>
      <c r="S240" s="3">
        <v>4.0</v>
      </c>
      <c r="T240" s="3" t="s">
        <v>39</v>
      </c>
      <c r="U240" s="3" t="s">
        <v>40</v>
      </c>
      <c r="V240" s="8" t="s">
        <v>427</v>
      </c>
    </row>
    <row r="241">
      <c r="A241" s="7">
        <v>43950.53523988426</v>
      </c>
      <c r="B241" s="3" t="s">
        <v>44</v>
      </c>
      <c r="C241" s="3" t="s">
        <v>428</v>
      </c>
      <c r="D241" s="3" t="s">
        <v>59</v>
      </c>
      <c r="E241" s="3" t="s">
        <v>60</v>
      </c>
      <c r="F241" s="3" t="s">
        <v>35</v>
      </c>
      <c r="G241" s="3" t="s">
        <v>48</v>
      </c>
      <c r="H241" s="3" t="str">
        <f t="shared" si="1"/>
        <v>Muay Thai,,,,,</v>
      </c>
      <c r="I241" s="3" t="s">
        <v>14</v>
      </c>
      <c r="J241" s="3"/>
      <c r="K241" s="3"/>
      <c r="L241" s="3"/>
      <c r="M241" s="3"/>
      <c r="N241" s="3"/>
      <c r="O241" s="3" t="s">
        <v>43</v>
      </c>
      <c r="P241" s="3">
        <v>1.0</v>
      </c>
      <c r="Q241" s="3" t="s">
        <v>38</v>
      </c>
      <c r="R241" s="3">
        <v>2.0</v>
      </c>
      <c r="S241" s="3">
        <v>5.0</v>
      </c>
      <c r="T241" s="3" t="s">
        <v>39</v>
      </c>
      <c r="U241" s="3" t="s">
        <v>40</v>
      </c>
      <c r="V241" s="8" t="s">
        <v>429</v>
      </c>
    </row>
    <row r="242">
      <c r="A242" s="7">
        <v>43950.62671524305</v>
      </c>
      <c r="B242" s="3" t="s">
        <v>44</v>
      </c>
      <c r="C242" s="3" t="s">
        <v>58</v>
      </c>
      <c r="D242" s="3" t="s">
        <v>59</v>
      </c>
      <c r="E242" s="3" t="s">
        <v>60</v>
      </c>
      <c r="F242" s="3" t="s">
        <v>35</v>
      </c>
      <c r="G242" s="3" t="s">
        <v>48</v>
      </c>
      <c r="H242" s="3" t="str">
        <f t="shared" si="1"/>
        <v>Muay Thai,,,,,</v>
      </c>
      <c r="I242" s="3" t="s">
        <v>14</v>
      </c>
      <c r="J242" s="3"/>
      <c r="K242" s="3"/>
      <c r="L242" s="3"/>
      <c r="M242" s="3"/>
      <c r="N242" s="3"/>
      <c r="O242" s="3" t="s">
        <v>37</v>
      </c>
      <c r="P242" s="3">
        <v>2.0</v>
      </c>
      <c r="Q242" s="3" t="s">
        <v>38</v>
      </c>
      <c r="R242" s="3">
        <v>3.0</v>
      </c>
      <c r="S242" s="3">
        <v>3.0</v>
      </c>
      <c r="T242" s="3" t="s">
        <v>39</v>
      </c>
      <c r="U242" s="3" t="s">
        <v>53</v>
      </c>
      <c r="V242" s="8" t="s">
        <v>430</v>
      </c>
    </row>
    <row r="243">
      <c r="A243" s="7">
        <v>43950.64533820601</v>
      </c>
      <c r="B243" s="3" t="s">
        <v>44</v>
      </c>
      <c r="C243" s="3" t="s">
        <v>58</v>
      </c>
      <c r="D243" s="3" t="s">
        <v>59</v>
      </c>
      <c r="E243" s="3" t="s">
        <v>60</v>
      </c>
      <c r="F243" s="3" t="s">
        <v>35</v>
      </c>
      <c r="G243" s="3" t="s">
        <v>48</v>
      </c>
      <c r="H243" s="3" t="str">
        <f t="shared" si="1"/>
        <v>Muay Thai,,,,,</v>
      </c>
      <c r="I243" s="3" t="s">
        <v>14</v>
      </c>
      <c r="J243" s="3"/>
      <c r="K243" s="3"/>
      <c r="L243" s="3"/>
      <c r="M243" s="3"/>
      <c r="N243" s="3"/>
      <c r="O243" s="3" t="s">
        <v>76</v>
      </c>
      <c r="P243" s="3">
        <v>1.0</v>
      </c>
      <c r="Q243" s="3" t="s">
        <v>38</v>
      </c>
      <c r="R243" s="3">
        <v>5.0</v>
      </c>
      <c r="S243" s="3">
        <v>3.0</v>
      </c>
      <c r="T243" s="3" t="s">
        <v>39</v>
      </c>
      <c r="U243" s="3" t="s">
        <v>40</v>
      </c>
      <c r="V243" s="8" t="s">
        <v>431</v>
      </c>
    </row>
    <row r="244">
      <c r="A244" s="7">
        <v>43951.748808530094</v>
      </c>
      <c r="B244" s="3" t="s">
        <v>97</v>
      </c>
      <c r="C244" s="3" t="s">
        <v>361</v>
      </c>
      <c r="D244" s="3"/>
      <c r="E244" s="3"/>
      <c r="F244" s="3" t="s">
        <v>136</v>
      </c>
      <c r="G244" s="3" t="s">
        <v>48</v>
      </c>
      <c r="H244" s="3" t="str">
        <f t="shared" si="1"/>
        <v>Muay Thai,,,,,</v>
      </c>
      <c r="I244" s="3" t="s">
        <v>14</v>
      </c>
      <c r="J244" s="3"/>
      <c r="K244" s="3"/>
      <c r="L244" s="3"/>
      <c r="M244" s="3"/>
      <c r="N244" s="3"/>
      <c r="O244" s="3" t="s">
        <v>43</v>
      </c>
      <c r="P244" s="3">
        <v>1.0</v>
      </c>
      <c r="Q244" s="3" t="s">
        <v>38</v>
      </c>
      <c r="R244" s="3">
        <v>5.0</v>
      </c>
      <c r="S244" s="3">
        <v>5.0</v>
      </c>
      <c r="T244" s="3" t="s">
        <v>169</v>
      </c>
      <c r="U244" s="3" t="s">
        <v>62</v>
      </c>
      <c r="V244" s="8" t="s">
        <v>432</v>
      </c>
    </row>
    <row r="245">
      <c r="A245" s="7">
        <v>43950.51985081019</v>
      </c>
      <c r="B245" s="3" t="s">
        <v>44</v>
      </c>
      <c r="C245" s="3" t="s">
        <v>433</v>
      </c>
      <c r="D245" s="3" t="s">
        <v>59</v>
      </c>
      <c r="E245" s="3" t="s">
        <v>60</v>
      </c>
      <c r="F245" s="3" t="s">
        <v>35</v>
      </c>
      <c r="G245" s="3" t="s">
        <v>48</v>
      </c>
      <c r="H245" s="3" t="str">
        <f t="shared" si="1"/>
        <v>Muay Thai,,,,,</v>
      </c>
      <c r="I245" s="3" t="s">
        <v>14</v>
      </c>
      <c r="J245" s="3"/>
      <c r="K245" s="3"/>
      <c r="L245" s="3"/>
      <c r="M245" s="3"/>
      <c r="N245" s="3"/>
      <c r="O245" s="3" t="s">
        <v>76</v>
      </c>
      <c r="P245" s="3">
        <v>1.0</v>
      </c>
      <c r="Q245" s="3" t="s">
        <v>49</v>
      </c>
      <c r="R245" s="3">
        <v>1.0</v>
      </c>
      <c r="S245" s="3">
        <v>4.0</v>
      </c>
      <c r="T245" s="3" t="s">
        <v>39</v>
      </c>
      <c r="U245" s="3" t="s">
        <v>53</v>
      </c>
      <c r="V245" s="8" t="s">
        <v>434</v>
      </c>
    </row>
    <row r="246">
      <c r="A246" s="7">
        <v>43950.98992357639</v>
      </c>
      <c r="B246" s="3" t="s">
        <v>44</v>
      </c>
      <c r="C246" s="3" t="s">
        <v>92</v>
      </c>
      <c r="D246" s="3"/>
      <c r="E246" s="3"/>
      <c r="F246" s="3" t="s">
        <v>92</v>
      </c>
      <c r="G246" s="3" t="s">
        <v>36</v>
      </c>
      <c r="H246" s="3" t="str">
        <f t="shared" si="1"/>
        <v>Tae Kwon Do,Kickboxing,,,,</v>
      </c>
      <c r="I246" s="3" t="s">
        <v>178</v>
      </c>
      <c r="J246" s="3" t="s">
        <v>24</v>
      </c>
      <c r="K246" s="3"/>
      <c r="L246" s="3"/>
      <c r="M246" s="3"/>
      <c r="N246" s="3"/>
      <c r="O246" s="3" t="s">
        <v>37</v>
      </c>
      <c r="P246" s="3">
        <v>1.0</v>
      </c>
      <c r="Q246" s="3" t="s">
        <v>49</v>
      </c>
      <c r="R246" s="3">
        <v>2.0</v>
      </c>
      <c r="S246" s="3">
        <v>4.0</v>
      </c>
      <c r="T246" s="3" t="s">
        <v>61</v>
      </c>
      <c r="U246" s="3" t="s">
        <v>62</v>
      </c>
      <c r="V246" s="8" t="s">
        <v>435</v>
      </c>
    </row>
    <row r="247">
      <c r="A247" s="7">
        <v>43950.774931203705</v>
      </c>
      <c r="B247" s="3" t="s">
        <v>71</v>
      </c>
      <c r="C247" s="3" t="s">
        <v>436</v>
      </c>
      <c r="D247" s="3"/>
      <c r="E247" s="3"/>
      <c r="F247" s="3" t="s">
        <v>136</v>
      </c>
      <c r="G247" s="3" t="s">
        <v>48</v>
      </c>
      <c r="H247" s="3" t="str">
        <f t="shared" si="1"/>
        <v>Tae Kwon Do,Kickboxing,,,,</v>
      </c>
      <c r="I247" s="3" t="s">
        <v>178</v>
      </c>
      <c r="J247" s="3" t="s">
        <v>24</v>
      </c>
      <c r="K247" s="3"/>
      <c r="L247" s="3"/>
      <c r="M247" s="3"/>
      <c r="N247" s="3"/>
      <c r="O247" s="3" t="s">
        <v>43</v>
      </c>
      <c r="P247" s="3">
        <v>1.0</v>
      </c>
      <c r="Q247" s="3" t="s">
        <v>49</v>
      </c>
      <c r="R247" s="3">
        <v>1.0</v>
      </c>
      <c r="S247" s="3">
        <v>4.0</v>
      </c>
      <c r="T247" s="3" t="s">
        <v>39</v>
      </c>
      <c r="U247" s="3" t="s">
        <v>40</v>
      </c>
      <c r="V247" s="8" t="s">
        <v>437</v>
      </c>
    </row>
    <row r="248">
      <c r="A248" s="7">
        <v>43951.74782114584</v>
      </c>
      <c r="B248" s="3" t="s">
        <v>97</v>
      </c>
      <c r="C248" s="3" t="s">
        <v>60</v>
      </c>
      <c r="D248" s="3" t="s">
        <v>59</v>
      </c>
      <c r="E248" s="3" t="s">
        <v>60</v>
      </c>
      <c r="F248" s="3" t="s">
        <v>35</v>
      </c>
      <c r="G248" s="3" t="s">
        <v>48</v>
      </c>
      <c r="H248" s="3" t="str">
        <f t="shared" si="1"/>
        <v>Tae Kwon Do,MMA,,,,</v>
      </c>
      <c r="I248" s="3" t="s">
        <v>178</v>
      </c>
      <c r="J248" s="3" t="s">
        <v>21</v>
      </c>
      <c r="K248" s="3"/>
      <c r="L248" s="3"/>
      <c r="M248" s="3"/>
      <c r="N248" s="3"/>
      <c r="O248" s="3" t="s">
        <v>76</v>
      </c>
      <c r="P248" s="3">
        <v>1.0</v>
      </c>
      <c r="Q248" s="3" t="s">
        <v>49</v>
      </c>
      <c r="R248" s="3">
        <v>3.0</v>
      </c>
      <c r="S248" s="3">
        <v>5.0</v>
      </c>
      <c r="T248" s="3" t="s">
        <v>61</v>
      </c>
      <c r="U248" s="3" t="s">
        <v>62</v>
      </c>
      <c r="V248" s="6"/>
    </row>
    <row r="249">
      <c r="A249" s="7">
        <v>43951.02079023149</v>
      </c>
      <c r="B249" s="3" t="s">
        <v>71</v>
      </c>
      <c r="C249" s="3" t="s">
        <v>438</v>
      </c>
      <c r="D249" s="3"/>
      <c r="E249" s="3"/>
      <c r="F249" s="3" t="s">
        <v>438</v>
      </c>
      <c r="G249" s="3" t="s">
        <v>48</v>
      </c>
      <c r="H249" s="3" t="str">
        <f t="shared" si="1"/>
        <v>Tae Kwon Do,MMA,,,,</v>
      </c>
      <c r="I249" s="3" t="s">
        <v>178</v>
      </c>
      <c r="J249" s="3" t="s">
        <v>21</v>
      </c>
      <c r="K249" s="3"/>
      <c r="L249" s="3"/>
      <c r="M249" s="3"/>
      <c r="N249" s="3"/>
      <c r="O249" s="3" t="s">
        <v>37</v>
      </c>
      <c r="P249" s="3">
        <v>1.0</v>
      </c>
      <c r="Q249" s="3" t="s">
        <v>49</v>
      </c>
      <c r="R249" s="3">
        <v>5.0</v>
      </c>
      <c r="S249" s="3">
        <v>2.0</v>
      </c>
      <c r="T249" s="3" t="s">
        <v>39</v>
      </c>
      <c r="U249" s="3" t="s">
        <v>40</v>
      </c>
      <c r="V249" s="8" t="s">
        <v>439</v>
      </c>
    </row>
    <row r="250">
      <c r="A250" s="7">
        <v>43950.76849969907</v>
      </c>
      <c r="B250" s="3" t="s">
        <v>32</v>
      </c>
      <c r="C250" s="3">
        <v>95678.0</v>
      </c>
      <c r="D250" s="3" t="s">
        <v>399</v>
      </c>
      <c r="E250" s="3" t="s">
        <v>103</v>
      </c>
      <c r="F250" s="3" t="s">
        <v>35</v>
      </c>
      <c r="G250" s="3" t="s">
        <v>36</v>
      </c>
      <c r="H250" s="3" t="str">
        <f t="shared" si="1"/>
        <v>Tae Kwon Do,,,,,</v>
      </c>
      <c r="I250" s="3" t="s">
        <v>178</v>
      </c>
      <c r="J250" s="3"/>
      <c r="K250" s="3"/>
      <c r="L250" s="3"/>
      <c r="M250" s="3"/>
      <c r="N250" s="3"/>
      <c r="O250" s="3" t="s">
        <v>37</v>
      </c>
      <c r="P250" s="3">
        <v>1.0</v>
      </c>
      <c r="Q250" s="3" t="s">
        <v>111</v>
      </c>
      <c r="R250" s="3">
        <v>5.0</v>
      </c>
      <c r="S250" s="3">
        <v>1.0</v>
      </c>
      <c r="T250" s="3" t="s">
        <v>61</v>
      </c>
      <c r="U250" s="3" t="s">
        <v>62</v>
      </c>
      <c r="V250" s="8" t="s">
        <v>440</v>
      </c>
    </row>
    <row r="251">
      <c r="A251" s="7">
        <v>43950.76075555556</v>
      </c>
      <c r="B251" s="3" t="s">
        <v>97</v>
      </c>
      <c r="C251" s="3" t="s">
        <v>441</v>
      </c>
      <c r="D251" s="3"/>
      <c r="E251" s="3" t="s">
        <v>240</v>
      </c>
      <c r="F251" s="3"/>
      <c r="G251" s="3" t="s">
        <v>48</v>
      </c>
      <c r="H251" s="3" t="str">
        <f t="shared" si="1"/>
        <v>Tae Kwon Do,,,,,</v>
      </c>
      <c r="I251" s="3" t="s">
        <v>178</v>
      </c>
      <c r="J251" s="3"/>
      <c r="K251" s="3"/>
      <c r="L251" s="3"/>
      <c r="M251" s="3"/>
      <c r="N251" s="3"/>
      <c r="O251" s="3" t="s">
        <v>37</v>
      </c>
      <c r="P251" s="3">
        <v>1.0</v>
      </c>
      <c r="Q251" s="3" t="s">
        <v>49</v>
      </c>
      <c r="R251" s="3">
        <v>4.0</v>
      </c>
      <c r="S251" s="3">
        <v>5.0</v>
      </c>
      <c r="T251" s="3" t="s">
        <v>39</v>
      </c>
      <c r="U251" s="3" t="s">
        <v>40</v>
      </c>
      <c r="V251" s="8" t="s">
        <v>442</v>
      </c>
    </row>
    <row r="252">
      <c r="A252" s="7">
        <v>43950.720772939814</v>
      </c>
      <c r="B252" s="3" t="s">
        <v>44</v>
      </c>
      <c r="C252" s="3" t="s">
        <v>443</v>
      </c>
      <c r="D252" s="3" t="s">
        <v>443</v>
      </c>
      <c r="E252" s="3" t="s">
        <v>201</v>
      </c>
      <c r="F252" s="3" t="s">
        <v>35</v>
      </c>
      <c r="G252" s="3" t="s">
        <v>36</v>
      </c>
      <c r="H252" s="3" t="str">
        <f t="shared" si="1"/>
        <v>Tae Kwon Do,,,,,</v>
      </c>
      <c r="I252" s="3" t="s">
        <v>178</v>
      </c>
      <c r="J252" s="3"/>
      <c r="K252" s="3"/>
      <c r="L252" s="3"/>
      <c r="M252" s="3"/>
      <c r="N252" s="3"/>
      <c r="O252" s="3" t="s">
        <v>55</v>
      </c>
      <c r="P252" s="3">
        <v>1.0</v>
      </c>
      <c r="Q252" s="3" t="s">
        <v>49</v>
      </c>
      <c r="R252" s="3">
        <v>3.0</v>
      </c>
      <c r="S252" s="3">
        <v>5.0</v>
      </c>
      <c r="T252" s="3" t="s">
        <v>39</v>
      </c>
      <c r="U252" s="3" t="s">
        <v>40</v>
      </c>
      <c r="V252" s="6"/>
    </row>
    <row r="253">
      <c r="A253" s="7">
        <v>43950.85660777778</v>
      </c>
      <c r="B253" s="3" t="s">
        <v>97</v>
      </c>
      <c r="C253" s="3" t="s">
        <v>444</v>
      </c>
      <c r="D253" s="3"/>
      <c r="E253" s="3" t="s">
        <v>445</v>
      </c>
      <c r="F253" s="3" t="s">
        <v>35</v>
      </c>
      <c r="G253" s="3" t="s">
        <v>48</v>
      </c>
      <c r="H253" s="3" t="str">
        <f t="shared" si="1"/>
        <v>Tae Kwon Do,,,,,</v>
      </c>
      <c r="I253" s="3" t="s">
        <v>178</v>
      </c>
      <c r="J253" s="3"/>
      <c r="K253" s="3"/>
      <c r="L253" s="3"/>
      <c r="M253" s="3"/>
      <c r="N253" s="3"/>
      <c r="O253" s="3" t="s">
        <v>76</v>
      </c>
      <c r="P253" s="3">
        <v>2.0</v>
      </c>
      <c r="Q253" s="3" t="s">
        <v>49</v>
      </c>
      <c r="R253" s="3">
        <v>4.0</v>
      </c>
      <c r="S253" s="3">
        <v>5.0</v>
      </c>
      <c r="T253" s="3" t="s">
        <v>39</v>
      </c>
      <c r="U253" s="3" t="s">
        <v>40</v>
      </c>
      <c r="V253" s="6"/>
    </row>
    <row r="254">
      <c r="A254" s="7">
        <v>43952.135947800925</v>
      </c>
      <c r="B254" s="3" t="s">
        <v>97</v>
      </c>
      <c r="C254" s="3" t="s">
        <v>446</v>
      </c>
      <c r="D254" s="3" t="s">
        <v>447</v>
      </c>
      <c r="E254" s="3" t="s">
        <v>448</v>
      </c>
      <c r="F254" s="3" t="s">
        <v>35</v>
      </c>
      <c r="G254" s="3" t="s">
        <v>48</v>
      </c>
      <c r="H254" s="3" t="str">
        <f t="shared" si="1"/>
        <v>Tae Kwon Do,,,,,</v>
      </c>
      <c r="I254" s="3" t="s">
        <v>178</v>
      </c>
      <c r="J254" s="3"/>
      <c r="K254" s="3"/>
      <c r="L254" s="3"/>
      <c r="M254" s="3"/>
      <c r="N254" s="3"/>
      <c r="O254" s="3" t="s">
        <v>37</v>
      </c>
      <c r="P254" s="3">
        <v>1.0</v>
      </c>
      <c r="Q254" s="3" t="s">
        <v>49</v>
      </c>
      <c r="R254" s="3">
        <v>3.0</v>
      </c>
      <c r="S254" s="3">
        <v>3.0</v>
      </c>
      <c r="T254" s="3" t="s">
        <v>61</v>
      </c>
      <c r="U254" s="3" t="s">
        <v>62</v>
      </c>
      <c r="V254" s="8" t="s">
        <v>449</v>
      </c>
    </row>
    <row r="255">
      <c r="A255" s="7">
        <v>43951.702615138885</v>
      </c>
      <c r="B255" s="3" t="s">
        <v>97</v>
      </c>
      <c r="C255" s="3" t="s">
        <v>414</v>
      </c>
      <c r="D255" s="3"/>
      <c r="E255" s="3" t="s">
        <v>209</v>
      </c>
      <c r="F255" s="3" t="s">
        <v>35</v>
      </c>
      <c r="G255" s="3" t="s">
        <v>48</v>
      </c>
      <c r="H255" s="3" t="str">
        <f t="shared" si="1"/>
        <v>Tae Kwon Do,,,,,</v>
      </c>
      <c r="I255" s="3" t="s">
        <v>178</v>
      </c>
      <c r="J255" s="3"/>
      <c r="K255" s="3"/>
      <c r="L255" s="3"/>
      <c r="M255" s="3"/>
      <c r="N255" s="3"/>
      <c r="O255" s="3" t="s">
        <v>43</v>
      </c>
      <c r="P255" s="3">
        <v>1.0</v>
      </c>
      <c r="Q255" s="3" t="s">
        <v>49</v>
      </c>
      <c r="R255" s="3">
        <v>3.0</v>
      </c>
      <c r="S255" s="3">
        <v>4.0</v>
      </c>
      <c r="T255" s="3" t="s">
        <v>39</v>
      </c>
      <c r="U255" s="3" t="s">
        <v>40</v>
      </c>
      <c r="V255" s="6"/>
    </row>
    <row r="256">
      <c r="A256" s="7">
        <v>43950.84271002315</v>
      </c>
      <c r="B256" s="3" t="s">
        <v>97</v>
      </c>
      <c r="C256" s="3" t="s">
        <v>450</v>
      </c>
      <c r="D256" s="3"/>
      <c r="E256" s="3" t="s">
        <v>450</v>
      </c>
      <c r="F256" s="3" t="s">
        <v>35</v>
      </c>
      <c r="G256" s="3" t="s">
        <v>48</v>
      </c>
      <c r="H256" s="3" t="str">
        <f t="shared" si="1"/>
        <v>Tae Kwon Do,,,,,</v>
      </c>
      <c r="I256" s="3" t="s">
        <v>178</v>
      </c>
      <c r="J256" s="3"/>
      <c r="K256" s="3"/>
      <c r="L256" s="3"/>
      <c r="M256" s="3"/>
      <c r="N256" s="3"/>
      <c r="O256" s="3" t="s">
        <v>43</v>
      </c>
      <c r="P256" s="3">
        <v>5.0</v>
      </c>
      <c r="Q256" s="3" t="s">
        <v>451</v>
      </c>
      <c r="R256" s="3">
        <v>4.0</v>
      </c>
      <c r="S256" s="3">
        <v>1.0</v>
      </c>
      <c r="T256" s="3" t="s">
        <v>39</v>
      </c>
      <c r="U256" s="3" t="s">
        <v>53</v>
      </c>
      <c r="V256" s="8" t="s">
        <v>452</v>
      </c>
    </row>
    <row r="257">
      <c r="A257" s="7">
        <v>43950.88702407407</v>
      </c>
      <c r="B257" s="3" t="s">
        <v>71</v>
      </c>
      <c r="C257" s="3" t="s">
        <v>423</v>
      </c>
      <c r="D257" s="3" t="s">
        <v>59</v>
      </c>
      <c r="E257" s="3" t="s">
        <v>60</v>
      </c>
      <c r="F257" s="3" t="s">
        <v>35</v>
      </c>
      <c r="G257" s="3" t="s">
        <v>48</v>
      </c>
      <c r="H257" s="3" t="str">
        <f t="shared" si="1"/>
        <v>Tae Kwon Do,,,,,</v>
      </c>
      <c r="I257" s="3" t="s">
        <v>178</v>
      </c>
      <c r="J257" s="3"/>
      <c r="K257" s="3"/>
      <c r="L257" s="3"/>
      <c r="M257" s="3"/>
      <c r="N257" s="3"/>
      <c r="O257" s="3" t="s">
        <v>37</v>
      </c>
      <c r="P257" s="3">
        <v>5.0</v>
      </c>
      <c r="Q257" s="3" t="s">
        <v>49</v>
      </c>
      <c r="R257" s="3">
        <v>2.0</v>
      </c>
      <c r="S257" s="3">
        <v>5.0</v>
      </c>
      <c r="T257" s="3" t="s">
        <v>39</v>
      </c>
      <c r="U257" s="3" t="s">
        <v>40</v>
      </c>
      <c r="V257" s="6"/>
    </row>
    <row r="258">
      <c r="A258" s="7">
        <v>43950.94698222222</v>
      </c>
      <c r="B258" s="3" t="s">
        <v>97</v>
      </c>
      <c r="C258" s="3" t="s">
        <v>453</v>
      </c>
      <c r="D258" s="3" t="s">
        <v>454</v>
      </c>
      <c r="E258" s="3" t="s">
        <v>60</v>
      </c>
      <c r="F258" s="3" t="s">
        <v>35</v>
      </c>
      <c r="G258" s="3" t="s">
        <v>48</v>
      </c>
      <c r="H258" s="3" t="str">
        <f t="shared" si="1"/>
        <v>Tae Kwon Do,,,,,</v>
      </c>
      <c r="I258" s="3" t="s">
        <v>178</v>
      </c>
      <c r="J258" s="3"/>
      <c r="K258" s="3"/>
      <c r="L258" s="3"/>
      <c r="M258" s="3"/>
      <c r="N258" s="3"/>
      <c r="O258" s="3" t="s">
        <v>37</v>
      </c>
      <c r="P258" s="3">
        <v>1.0</v>
      </c>
      <c r="Q258" s="3" t="s">
        <v>49</v>
      </c>
      <c r="R258" s="3">
        <v>3.0</v>
      </c>
      <c r="S258" s="3">
        <v>2.0</v>
      </c>
      <c r="T258" s="3" t="s">
        <v>61</v>
      </c>
      <c r="U258" s="3" t="s">
        <v>62</v>
      </c>
      <c r="V258" s="8" t="s">
        <v>455</v>
      </c>
    </row>
    <row r="259">
      <c r="A259" s="7">
        <v>43950.89155349537</v>
      </c>
      <c r="B259" s="3" t="s">
        <v>71</v>
      </c>
      <c r="C259" s="3" t="s">
        <v>165</v>
      </c>
      <c r="D259" s="3"/>
      <c r="E259" s="3" t="s">
        <v>165</v>
      </c>
      <c r="F259" s="3" t="s">
        <v>35</v>
      </c>
      <c r="G259" s="3" t="s">
        <v>48</v>
      </c>
      <c r="H259" s="3" t="str">
        <f t="shared" si="1"/>
        <v>Tae Kwon Do,,,,,</v>
      </c>
      <c r="I259" s="3" t="s">
        <v>178</v>
      </c>
      <c r="J259" s="3"/>
      <c r="K259" s="3"/>
      <c r="L259" s="3"/>
      <c r="M259" s="3"/>
      <c r="N259" s="3"/>
      <c r="O259" s="3" t="s">
        <v>43</v>
      </c>
      <c r="P259" s="3">
        <v>1.0</v>
      </c>
      <c r="Q259" s="3" t="s">
        <v>38</v>
      </c>
      <c r="R259" s="3">
        <v>4.0</v>
      </c>
      <c r="S259" s="3">
        <v>5.0</v>
      </c>
      <c r="T259" s="3" t="s">
        <v>61</v>
      </c>
      <c r="U259" s="3" t="s">
        <v>40</v>
      </c>
      <c r="V259" s="8" t="s">
        <v>36</v>
      </c>
    </row>
    <row r="260">
      <c r="A260" s="7">
        <v>43951.07030315972</v>
      </c>
      <c r="B260" s="3" t="s">
        <v>97</v>
      </c>
      <c r="C260" s="3" t="s">
        <v>456</v>
      </c>
      <c r="D260" s="10" t="s">
        <v>457</v>
      </c>
      <c r="E260" s="3" t="s">
        <v>120</v>
      </c>
      <c r="F260" s="3" t="s">
        <v>35</v>
      </c>
      <c r="G260" s="3" t="s">
        <v>48</v>
      </c>
      <c r="H260" s="3" t="str">
        <f t="shared" si="1"/>
        <v>Tae Kwon Do,,,,,</v>
      </c>
      <c r="I260" s="3" t="s">
        <v>178</v>
      </c>
      <c r="J260" s="3"/>
      <c r="K260" s="3"/>
      <c r="L260" s="3"/>
      <c r="M260" s="3"/>
      <c r="N260" s="3"/>
      <c r="O260" s="3" t="s">
        <v>37</v>
      </c>
      <c r="P260" s="3">
        <v>1.0</v>
      </c>
      <c r="Q260" s="3" t="s">
        <v>49</v>
      </c>
      <c r="R260" s="3">
        <v>2.0</v>
      </c>
      <c r="S260" s="3">
        <v>4.0</v>
      </c>
      <c r="T260" s="3" t="s">
        <v>61</v>
      </c>
      <c r="U260" s="3" t="s">
        <v>62</v>
      </c>
      <c r="V260" s="6"/>
    </row>
    <row r="261">
      <c r="A261" s="7">
        <v>43951.613731157406</v>
      </c>
      <c r="B261" s="3" t="s">
        <v>44</v>
      </c>
      <c r="C261" s="3" t="s">
        <v>75</v>
      </c>
      <c r="D261" s="3"/>
      <c r="E261" s="3" t="s">
        <v>75</v>
      </c>
      <c r="F261" s="3" t="s">
        <v>35</v>
      </c>
      <c r="G261" s="3" t="s">
        <v>48</v>
      </c>
      <c r="H261" s="3" t="str">
        <f t="shared" si="1"/>
        <v>Tae Kwon Do,,,,,</v>
      </c>
      <c r="I261" s="3" t="s">
        <v>178</v>
      </c>
      <c r="J261" s="3"/>
      <c r="K261" s="3"/>
      <c r="L261" s="3"/>
      <c r="M261" s="3"/>
      <c r="N261" s="3"/>
      <c r="O261" s="3" t="s">
        <v>37</v>
      </c>
      <c r="P261" s="3">
        <v>1.0</v>
      </c>
      <c r="Q261" s="3" t="s">
        <v>38</v>
      </c>
      <c r="R261" s="3">
        <v>3.0</v>
      </c>
      <c r="S261" s="3">
        <v>3.0</v>
      </c>
      <c r="T261" s="3" t="s">
        <v>169</v>
      </c>
      <c r="U261" s="3" t="s">
        <v>62</v>
      </c>
      <c r="V261" s="8" t="s">
        <v>458</v>
      </c>
    </row>
    <row r="262">
      <c r="A262" s="7">
        <v>43950.75300667824</v>
      </c>
      <c r="B262" s="3" t="s">
        <v>44</v>
      </c>
      <c r="C262" s="3" t="s">
        <v>128</v>
      </c>
      <c r="D262" s="3"/>
      <c r="E262" s="3"/>
      <c r="F262" s="3" t="s">
        <v>128</v>
      </c>
      <c r="G262" s="3" t="s">
        <v>36</v>
      </c>
      <c r="H262" s="3" t="str">
        <f t="shared" si="1"/>
        <v>Tae Kwon Do,,,,,</v>
      </c>
      <c r="I262" s="3" t="s">
        <v>178</v>
      </c>
      <c r="J262" s="3"/>
      <c r="K262" s="3"/>
      <c r="L262" s="3"/>
      <c r="M262" s="3"/>
      <c r="N262" s="3"/>
      <c r="O262" s="3" t="s">
        <v>55</v>
      </c>
      <c r="P262" s="3">
        <v>1.0</v>
      </c>
      <c r="Q262" s="3" t="s">
        <v>49</v>
      </c>
      <c r="R262" s="3">
        <v>2.0</v>
      </c>
      <c r="S262" s="3">
        <v>4.0</v>
      </c>
      <c r="T262" s="3" t="s">
        <v>39</v>
      </c>
      <c r="U262" s="3" t="s">
        <v>40</v>
      </c>
      <c r="V262" s="6"/>
    </row>
    <row r="263">
      <c r="A263" s="7">
        <v>43954.94145296296</v>
      </c>
      <c r="B263" s="3" t="s">
        <v>44</v>
      </c>
      <c r="C263" s="3" t="s">
        <v>459</v>
      </c>
      <c r="G263" s="3" t="s">
        <v>36</v>
      </c>
      <c r="I263" s="3" t="s">
        <v>29</v>
      </c>
      <c r="O263" s="3" t="s">
        <v>55</v>
      </c>
      <c r="P263" s="3">
        <v>5.0</v>
      </c>
      <c r="Q263" s="3" t="s">
        <v>49</v>
      </c>
      <c r="R263" s="3">
        <v>2.0</v>
      </c>
      <c r="S263" s="3">
        <v>3.0</v>
      </c>
      <c r="T263" s="3" t="s">
        <v>39</v>
      </c>
      <c r="U263" s="3" t="s">
        <v>87</v>
      </c>
    </row>
    <row r="264">
      <c r="A264" s="7">
        <v>43954.9928815625</v>
      </c>
      <c r="B264" s="3" t="s">
        <v>44</v>
      </c>
      <c r="C264" s="3" t="s">
        <v>460</v>
      </c>
      <c r="G264" s="3" t="s">
        <v>48</v>
      </c>
      <c r="I264" s="3" t="s">
        <v>29</v>
      </c>
      <c r="O264" s="3" t="s">
        <v>37</v>
      </c>
      <c r="P264" s="3">
        <v>1.0</v>
      </c>
      <c r="Q264" s="3" t="s">
        <v>49</v>
      </c>
      <c r="R264" s="3">
        <v>3.0</v>
      </c>
      <c r="S264" s="3">
        <v>3.0</v>
      </c>
      <c r="T264" s="3" t="s">
        <v>39</v>
      </c>
      <c r="U264" s="3" t="s">
        <v>40</v>
      </c>
      <c r="V264" s="3" t="s">
        <v>461</v>
      </c>
    </row>
    <row r="265">
      <c r="A265" s="7">
        <v>43955.22871673611</v>
      </c>
      <c r="B265" s="3" t="s">
        <v>97</v>
      </c>
      <c r="C265" s="3" t="s">
        <v>136</v>
      </c>
      <c r="G265" s="3" t="s">
        <v>48</v>
      </c>
      <c r="I265" s="3" t="s">
        <v>14</v>
      </c>
      <c r="O265" s="3" t="s">
        <v>43</v>
      </c>
      <c r="P265" s="3">
        <v>1.0</v>
      </c>
      <c r="Q265" s="3" t="s">
        <v>49</v>
      </c>
      <c r="R265" s="3">
        <v>4.0</v>
      </c>
      <c r="S265" s="3">
        <v>5.0</v>
      </c>
      <c r="T265" s="3" t="s">
        <v>61</v>
      </c>
      <c r="U265" s="3" t="s">
        <v>62</v>
      </c>
    </row>
    <row r="266">
      <c r="A266" s="7">
        <v>43955.95065384259</v>
      </c>
      <c r="B266" s="3" t="s">
        <v>32</v>
      </c>
      <c r="G266" s="3" t="s">
        <v>48</v>
      </c>
      <c r="I266" s="3" t="s">
        <v>70</v>
      </c>
      <c r="O266" s="3" t="s">
        <v>76</v>
      </c>
      <c r="P266" s="3">
        <v>1.0</v>
      </c>
      <c r="Q266" s="3" t="s">
        <v>111</v>
      </c>
      <c r="R266" s="3">
        <v>4.0</v>
      </c>
      <c r="S266" s="3">
        <v>2.0</v>
      </c>
      <c r="T266" s="3" t="s">
        <v>61</v>
      </c>
      <c r="U266" s="3" t="s">
        <v>62</v>
      </c>
    </row>
    <row r="267">
      <c r="A267" s="7">
        <v>43956.39757069445</v>
      </c>
      <c r="B267" s="3" t="s">
        <v>44</v>
      </c>
      <c r="C267" s="3" t="s">
        <v>189</v>
      </c>
      <c r="G267" s="3" t="s">
        <v>36</v>
      </c>
      <c r="I267" s="3" t="s">
        <v>462</v>
      </c>
      <c r="O267" s="3" t="s">
        <v>37</v>
      </c>
      <c r="P267" s="3">
        <v>1.0</v>
      </c>
      <c r="Q267" s="3" t="s">
        <v>49</v>
      </c>
      <c r="R267" s="3">
        <v>4.0</v>
      </c>
      <c r="S267" s="3">
        <v>1.0</v>
      </c>
      <c r="T267" s="3" t="s">
        <v>61</v>
      </c>
      <c r="U267" s="3" t="s">
        <v>62</v>
      </c>
      <c r="V267" s="3" t="s">
        <v>463</v>
      </c>
    </row>
    <row r="268">
      <c r="V268" s="6"/>
    </row>
    <row r="269">
      <c r="V269" s="6"/>
    </row>
    <row r="270">
      <c r="V270" s="6"/>
    </row>
    <row r="271">
      <c r="V271" s="6"/>
    </row>
    <row r="272">
      <c r="V272" s="6"/>
    </row>
    <row r="273">
      <c r="V273" s="6"/>
    </row>
    <row r="274">
      <c r="V274" s="6"/>
    </row>
    <row r="275">
      <c r="V275" s="6"/>
    </row>
    <row r="276">
      <c r="V276" s="6"/>
    </row>
    <row r="277">
      <c r="V277" s="6"/>
    </row>
    <row r="278">
      <c r="V278" s="6"/>
    </row>
    <row r="279">
      <c r="V279" s="6"/>
    </row>
    <row r="280">
      <c r="V280" s="6"/>
    </row>
    <row r="281">
      <c r="V281" s="6"/>
    </row>
    <row r="282">
      <c r="V282" s="6"/>
    </row>
    <row r="283">
      <c r="V283" s="6"/>
    </row>
    <row r="284">
      <c r="V284" s="6"/>
    </row>
    <row r="285">
      <c r="V285" s="6"/>
    </row>
    <row r="286">
      <c r="V286" s="6"/>
    </row>
    <row r="287">
      <c r="V287" s="6"/>
    </row>
    <row r="288">
      <c r="V288" s="6"/>
    </row>
    <row r="289">
      <c r="V289" s="6"/>
    </row>
    <row r="290">
      <c r="V290" s="6"/>
    </row>
    <row r="291">
      <c r="V291" s="6"/>
    </row>
    <row r="292">
      <c r="V292" s="6"/>
    </row>
    <row r="293">
      <c r="V293" s="6"/>
    </row>
    <row r="294">
      <c r="V294" s="6"/>
    </row>
    <row r="295">
      <c r="V295" s="6"/>
    </row>
    <row r="296">
      <c r="V296" s="6"/>
    </row>
    <row r="297">
      <c r="V297" s="6"/>
    </row>
    <row r="298">
      <c r="V298" s="6"/>
    </row>
    <row r="299">
      <c r="V299" s="6"/>
    </row>
    <row r="300">
      <c r="V300" s="6"/>
    </row>
    <row r="301">
      <c r="V301" s="6"/>
    </row>
    <row r="302">
      <c r="V302" s="6"/>
    </row>
    <row r="303">
      <c r="V303" s="6"/>
    </row>
    <row r="304">
      <c r="V304" s="6"/>
    </row>
    <row r="305">
      <c r="V305" s="6"/>
    </row>
    <row r="306">
      <c r="V306" s="6"/>
    </row>
    <row r="307">
      <c r="V307" s="6"/>
    </row>
    <row r="308">
      <c r="V308" s="6"/>
    </row>
    <row r="309">
      <c r="V309" s="6"/>
    </row>
    <row r="310">
      <c r="V310" s="6"/>
    </row>
    <row r="311">
      <c r="V311" s="6"/>
    </row>
    <row r="312">
      <c r="V312" s="6"/>
    </row>
    <row r="313">
      <c r="V313" s="6"/>
    </row>
    <row r="314">
      <c r="V314" s="6"/>
    </row>
    <row r="315">
      <c r="V315" s="6"/>
    </row>
    <row r="316">
      <c r="V316" s="6"/>
    </row>
    <row r="317">
      <c r="V317" s="6"/>
    </row>
    <row r="318">
      <c r="V318" s="6"/>
    </row>
    <row r="319">
      <c r="V319" s="6"/>
    </row>
    <row r="320">
      <c r="V320" s="6"/>
    </row>
    <row r="321">
      <c r="V321" s="6"/>
    </row>
    <row r="322">
      <c r="V322" s="6"/>
    </row>
    <row r="323">
      <c r="V323" s="6"/>
    </row>
    <row r="324">
      <c r="V324" s="6"/>
    </row>
    <row r="325">
      <c r="V325" s="6"/>
    </row>
    <row r="326">
      <c r="V326" s="6"/>
    </row>
    <row r="327">
      <c r="V327" s="6"/>
    </row>
    <row r="328">
      <c r="V328" s="6"/>
    </row>
    <row r="329">
      <c r="V329" s="6"/>
    </row>
    <row r="330">
      <c r="V330" s="6"/>
    </row>
    <row r="331">
      <c r="V331" s="6"/>
    </row>
    <row r="332">
      <c r="V332" s="6"/>
    </row>
    <row r="333">
      <c r="V333" s="6"/>
    </row>
    <row r="334">
      <c r="V334" s="6"/>
    </row>
    <row r="335">
      <c r="V335" s="6"/>
    </row>
    <row r="336">
      <c r="V336" s="6"/>
    </row>
    <row r="337">
      <c r="V337" s="6"/>
    </row>
    <row r="338">
      <c r="V338" s="6"/>
    </row>
    <row r="339">
      <c r="V339" s="6"/>
    </row>
    <row r="340">
      <c r="V340" s="6"/>
    </row>
    <row r="341">
      <c r="V341" s="6"/>
    </row>
    <row r="342">
      <c r="V342" s="6"/>
    </row>
    <row r="343">
      <c r="V343" s="6"/>
    </row>
    <row r="344">
      <c r="V344" s="6"/>
    </row>
    <row r="345">
      <c r="V345" s="6"/>
    </row>
    <row r="346">
      <c r="V346" s="6"/>
    </row>
    <row r="347">
      <c r="V347" s="6"/>
    </row>
    <row r="348">
      <c r="V348" s="6"/>
    </row>
    <row r="349">
      <c r="V349" s="6"/>
    </row>
    <row r="350">
      <c r="V350" s="6"/>
    </row>
    <row r="351">
      <c r="V351" s="6"/>
    </row>
    <row r="352">
      <c r="V352" s="6"/>
    </row>
    <row r="353">
      <c r="V353" s="6"/>
    </row>
    <row r="354">
      <c r="V354" s="6"/>
    </row>
    <row r="355">
      <c r="V355" s="6"/>
    </row>
    <row r="356">
      <c r="V356" s="6"/>
    </row>
    <row r="357">
      <c r="V357" s="6"/>
    </row>
    <row r="358">
      <c r="V358" s="6"/>
    </row>
    <row r="359">
      <c r="V359" s="6"/>
    </row>
    <row r="360">
      <c r="V360" s="6"/>
    </row>
    <row r="361">
      <c r="V361" s="6"/>
    </row>
    <row r="362">
      <c r="V362" s="6"/>
    </row>
    <row r="363">
      <c r="V363" s="6"/>
    </row>
    <row r="364">
      <c r="V364" s="6"/>
    </row>
    <row r="365">
      <c r="V365" s="6"/>
    </row>
    <row r="366">
      <c r="V366" s="6"/>
    </row>
    <row r="367">
      <c r="V367" s="6"/>
    </row>
  </sheetData>
  <autoFilter ref="$A$1:$AB$267">
    <sortState ref="A1:AB267">
      <sortCondition ref="I1:I267"/>
      <sortCondition ref="J1:J267"/>
      <sortCondition ref="E1:E267"/>
      <sortCondition ref="F1:F267"/>
      <sortCondition ref="C1:C267"/>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8.29"/>
    <col customWidth="1" min="2" max="2" width="30.57"/>
    <col customWidth="1" min="5" max="5" width="26.57"/>
    <col customWidth="1" min="6" max="6" width="27.57"/>
    <col customWidth="1" min="8" max="8" width="26.71"/>
    <col customWidth="1" min="9" max="9" width="36.86"/>
  </cols>
  <sheetData>
    <row r="2">
      <c r="H2" s="2" t="s">
        <v>19</v>
      </c>
      <c r="I2" s="3" t="s">
        <v>469</v>
      </c>
    </row>
    <row r="3">
      <c r="C3" s="12"/>
      <c r="H3" s="2"/>
      <c r="I3" s="2">
        <v>0.0</v>
      </c>
    </row>
    <row r="4">
      <c r="C4" s="12"/>
      <c r="H4" s="3" t="s">
        <v>470</v>
      </c>
      <c r="I4" s="2">
        <v>189.0</v>
      </c>
    </row>
    <row r="5">
      <c r="C5" s="12"/>
      <c r="H5" s="3" t="s">
        <v>466</v>
      </c>
      <c r="I5" s="2">
        <v>37.0</v>
      </c>
    </row>
    <row r="6">
      <c r="C6" s="12"/>
      <c r="H6" s="3" t="s">
        <v>471</v>
      </c>
      <c r="I6" s="2">
        <v>8.0</v>
      </c>
    </row>
    <row r="7">
      <c r="C7" s="12"/>
      <c r="H7" s="3" t="s">
        <v>472</v>
      </c>
      <c r="I7" s="2">
        <v>9.0</v>
      </c>
    </row>
    <row r="8">
      <c r="C8" s="12"/>
      <c r="H8" s="3" t="s">
        <v>473</v>
      </c>
      <c r="I8" s="2">
        <v>22.0</v>
      </c>
    </row>
    <row r="9">
      <c r="C9" s="12"/>
    </row>
    <row r="11">
      <c r="H11" s="3" t="s">
        <v>475</v>
      </c>
    </row>
    <row r="12">
      <c r="H12" s="2" t="s">
        <v>49</v>
      </c>
      <c r="I12" s="13">
        <v>154.0</v>
      </c>
    </row>
    <row r="13">
      <c r="H13" s="2" t="s">
        <v>38</v>
      </c>
      <c r="I13" s="13">
        <v>80.0</v>
      </c>
    </row>
    <row r="14">
      <c r="H14" s="2" t="s">
        <v>86</v>
      </c>
      <c r="I14" s="2">
        <v>19.0</v>
      </c>
    </row>
    <row r="15">
      <c r="H15" s="2" t="s">
        <v>111</v>
      </c>
      <c r="I15" s="13">
        <v>12.0</v>
      </c>
    </row>
    <row r="16">
      <c r="C16" s="2">
        <f>B16/B20</f>
        <v>0.5708154506</v>
      </c>
      <c r="H16" s="2" t="s">
        <v>451</v>
      </c>
      <c r="I16" s="13">
        <v>1.0</v>
      </c>
    </row>
    <row r="17"/>
    <row r="18"/>
    <row r="19"/>
    <row r="20"/>
    <row r="23">
      <c r="E23" s="1" t="s">
        <v>0</v>
      </c>
      <c r="F23" s="1" t="s">
        <v>2</v>
      </c>
      <c r="G23" s="15"/>
    </row>
    <row r="24">
      <c r="E24" s="3" t="s">
        <v>3</v>
      </c>
      <c r="F24" s="4">
        <v>0.8518518518518519</v>
      </c>
    </row>
    <row r="25">
      <c r="E25" s="3" t="s">
        <v>14</v>
      </c>
      <c r="F25" s="4">
        <v>0.8148148148148148</v>
      </c>
    </row>
    <row r="26">
      <c r="E26" s="3" t="s">
        <v>21</v>
      </c>
      <c r="F26" s="4">
        <v>0.7837837837837838</v>
      </c>
    </row>
    <row r="27">
      <c r="E27" s="3" t="s">
        <v>24</v>
      </c>
      <c r="F27" s="4">
        <v>0.7674418604651163</v>
      </c>
    </row>
    <row r="28">
      <c r="B28" s="13"/>
      <c r="E28" s="3" t="s">
        <v>27</v>
      </c>
      <c r="F28" s="5">
        <v>0.7</v>
      </c>
    </row>
    <row r="29">
      <c r="C29" s="2">
        <f>B26/B27</f>
        <v>0.7475247525</v>
      </c>
      <c r="E29" s="3" t="s">
        <v>29</v>
      </c>
      <c r="F29" s="4">
        <v>0.6881188118811881</v>
      </c>
    </row>
    <row r="30">
      <c r="C30" s="2">
        <v>0.7213740458015268</v>
      </c>
      <c r="E30" s="3" t="s">
        <v>30</v>
      </c>
      <c r="F30" s="5">
        <v>0.6</v>
      </c>
    </row>
    <row r="31">
      <c r="E31" s="3" t="s">
        <v>31</v>
      </c>
      <c r="F31" s="4">
        <v>0.5769230769230769</v>
      </c>
    </row>
    <row r="32"/>
    <row r="33"/>
    <row r="34"/>
    <row r="35">
      <c r="D35" s="16">
        <f t="shared" ref="D35:D38" si="1">C35/C$39</f>
        <v>0.6756756757</v>
      </c>
      <c r="M35" s="17"/>
    </row>
    <row r="36">
      <c r="D36" s="16">
        <f t="shared" si="1"/>
        <v>0.05405405405</v>
      </c>
      <c r="H36" s="3">
        <v>0.5</v>
      </c>
      <c r="I36" s="3">
        <v>67.57</v>
      </c>
    </row>
    <row r="37">
      <c r="D37" s="16">
        <f t="shared" si="1"/>
        <v>0.1891891892</v>
      </c>
      <c r="H37" s="3">
        <v>2.5</v>
      </c>
      <c r="I37" s="3">
        <v>54.67</v>
      </c>
    </row>
    <row r="38">
      <c r="D38" s="16">
        <f t="shared" si="1"/>
        <v>0.08108108108</v>
      </c>
      <c r="H38" s="3">
        <v>4.5</v>
      </c>
      <c r="I38" s="3">
        <v>58.33</v>
      </c>
    </row>
    <row r="39">
      <c r="D39" s="16"/>
      <c r="F39" s="3" t="s">
        <v>479</v>
      </c>
      <c r="H39" s="3">
        <v>6.0</v>
      </c>
      <c r="I39" s="3">
        <v>56.19</v>
      </c>
    </row>
    <row r="40">
      <c r="D40" s="16">
        <f t="shared" ref="D40:D43" si="2">C40/C$44</f>
        <v>0.5660377358</v>
      </c>
      <c r="F40" s="3" t="s">
        <v>480</v>
      </c>
      <c r="G40" s="2">
        <v>35.0</v>
      </c>
    </row>
    <row r="41">
      <c r="D41" s="16">
        <f t="shared" si="2"/>
        <v>0.03773584906</v>
      </c>
      <c r="F41" s="3" t="s">
        <v>481</v>
      </c>
      <c r="G41" s="2">
        <v>52.0</v>
      </c>
    </row>
    <row r="42">
      <c r="D42" s="16">
        <f t="shared" si="2"/>
        <v>0.2924528302</v>
      </c>
      <c r="F42" s="3" t="s">
        <v>482</v>
      </c>
      <c r="G42" s="2">
        <v>74.0</v>
      </c>
    </row>
    <row r="43">
      <c r="D43" s="16">
        <f t="shared" si="2"/>
        <v>0.1037735849</v>
      </c>
      <c r="F43" s="9" t="s">
        <v>483</v>
      </c>
      <c r="G43" s="2">
        <v>64.0</v>
      </c>
    </row>
    <row r="44">
      <c r="D44" s="16"/>
      <c r="F44" s="3" t="s">
        <v>485</v>
      </c>
      <c r="G44" s="2">
        <v>41.0</v>
      </c>
    </row>
    <row r="45">
      <c r="D45" s="16">
        <f t="shared" ref="D45:D48" si="3">C45/C$49</f>
        <v>0.5466666667</v>
      </c>
    </row>
    <row r="46">
      <c r="D46" s="16">
        <f t="shared" si="3"/>
        <v>0.05333333333</v>
      </c>
    </row>
    <row r="47">
      <c r="D47" s="16">
        <f t="shared" si="3"/>
        <v>0.3733333333</v>
      </c>
    </row>
    <row r="48">
      <c r="D48" s="16">
        <f t="shared" si="3"/>
        <v>0.02666666667</v>
      </c>
    </row>
    <row r="49">
      <c r="D49" s="16"/>
    </row>
    <row r="50">
      <c r="D50" s="16">
        <f t="shared" ref="D50:D54" si="4">C50/C$55</f>
        <v>0.02083333333</v>
      </c>
    </row>
    <row r="51">
      <c r="D51" s="16">
        <f t="shared" si="4"/>
        <v>0.5833333333</v>
      </c>
    </row>
    <row r="52">
      <c r="D52" s="16">
        <f t="shared" si="4"/>
        <v>0.04166666667</v>
      </c>
    </row>
    <row r="53">
      <c r="D53" s="16">
        <f t="shared" si="4"/>
        <v>0.2916666667</v>
      </c>
    </row>
    <row r="54">
      <c r="D54" s="16">
        <f t="shared" si="4"/>
        <v>0.0625</v>
      </c>
    </row>
    <row r="55"/>
    <row r="56"/>
    <row r="59"/>
    <row r="60"/>
    <row r="61"/>
    <row r="62"/>
    <row r="63"/>
    <row r="64"/>
    <row r="65">
      <c r="D65" s="2">
        <f>C65/C69</f>
        <v>0.6141304348</v>
      </c>
    </row>
    <row r="66"/>
    <row r="67"/>
    <row r="68"/>
    <row r="69"/>
    <row r="70">
      <c r="D70" s="2">
        <f>C70/C74</f>
        <v>0.5128205128</v>
      </c>
    </row>
    <row r="71"/>
    <row r="72"/>
    <row r="73"/>
    <row r="74"/>
    <row r="75"/>
  </sheetData>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row>
    <row r="2">
      <c r="A2" s="3" t="s">
        <v>3</v>
      </c>
      <c r="B2" s="4">
        <v>0.8518518518518519</v>
      </c>
    </row>
    <row r="3">
      <c r="A3" s="3" t="s">
        <v>14</v>
      </c>
      <c r="B3" s="4">
        <v>0.8148148148148148</v>
      </c>
    </row>
    <row r="4">
      <c r="A4" s="3" t="s">
        <v>21</v>
      </c>
      <c r="B4" s="4">
        <v>0.7837837837837838</v>
      </c>
    </row>
    <row r="5">
      <c r="A5" s="3" t="s">
        <v>24</v>
      </c>
      <c r="B5" s="4">
        <v>0.7674418604651163</v>
      </c>
    </row>
    <row r="6">
      <c r="A6" s="3" t="s">
        <v>27</v>
      </c>
      <c r="B6" s="5">
        <v>0.7</v>
      </c>
    </row>
    <row r="7">
      <c r="A7" s="3" t="s">
        <v>29</v>
      </c>
      <c r="B7" s="4">
        <v>0.6881188118811881</v>
      </c>
    </row>
    <row r="8">
      <c r="A8" s="3" t="s">
        <v>30</v>
      </c>
      <c r="B8" s="5">
        <v>0.6</v>
      </c>
    </row>
    <row r="9">
      <c r="A9" s="3" t="s">
        <v>31</v>
      </c>
      <c r="B9" s="4">
        <v>0.5769230769230769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30.0"/>
    <col customWidth="1" min="3" max="3" width="45.86"/>
  </cols>
  <sheetData>
    <row r="1">
      <c r="G1" s="3" t="s">
        <v>7</v>
      </c>
      <c r="H1" s="3" t="s">
        <v>466</v>
      </c>
      <c r="I1" s="3" t="s">
        <v>467</v>
      </c>
      <c r="J1" s="3" t="s">
        <v>7</v>
      </c>
    </row>
    <row r="2">
      <c r="D2" s="11">
        <f>VLOOKUP(A2,Sheet2!A:B,2,0)</f>
        <v>6438</v>
      </c>
      <c r="G2" t="s">
        <v>47</v>
      </c>
      <c r="H2">
        <v>2.6666666666666665</v>
      </c>
      <c r="I2" s="14">
        <v>5594.0</v>
      </c>
      <c r="J2" t="s">
        <v>47</v>
      </c>
    </row>
    <row r="3">
      <c r="D3" s="11">
        <f>VLOOKUP(A3,Sheet2!A:B,2,0)</f>
        <v>5449</v>
      </c>
      <c r="G3" t="s">
        <v>103</v>
      </c>
      <c r="H3">
        <v>2.0454545454545454</v>
      </c>
      <c r="I3" s="14">
        <v>58724.0</v>
      </c>
      <c r="J3" t="s">
        <v>103</v>
      </c>
    </row>
    <row r="4">
      <c r="D4" s="11">
        <f>VLOOKUP(A4,Sheet2!A:B,2,0)</f>
        <v>5594</v>
      </c>
      <c r="G4" t="s">
        <v>80</v>
      </c>
      <c r="H4">
        <v>2.0</v>
      </c>
      <c r="I4" s="14">
        <v>20256.0</v>
      </c>
      <c r="J4" t="s">
        <v>80</v>
      </c>
    </row>
    <row r="5">
      <c r="D5" s="11">
        <f>VLOOKUP(A5,Sheet2!A:B,2,0)</f>
        <v>58724</v>
      </c>
      <c r="G5" t="s">
        <v>162</v>
      </c>
      <c r="H5">
        <v>2.0</v>
      </c>
      <c r="I5" s="14">
        <v>12511.0</v>
      </c>
      <c r="J5" t="s">
        <v>162</v>
      </c>
    </row>
    <row r="6">
      <c r="D6" s="11">
        <f>VLOOKUP(A6,Sheet2!A:B,2,0)</f>
        <v>16360</v>
      </c>
      <c r="G6" t="s">
        <v>139</v>
      </c>
      <c r="H6">
        <v>2.0</v>
      </c>
      <c r="I6" s="14">
        <v>17364.0</v>
      </c>
      <c r="J6" t="s">
        <v>139</v>
      </c>
    </row>
    <row r="7">
      <c r="D7" s="11">
        <f>VLOOKUP(A7,Sheet2!A:B,2,0)</f>
        <v>20256</v>
      </c>
      <c r="G7" t="s">
        <v>146</v>
      </c>
      <c r="H7">
        <v>1.8</v>
      </c>
      <c r="I7" s="14">
        <v>65962.0</v>
      </c>
      <c r="J7" t="s">
        <v>146</v>
      </c>
    </row>
    <row r="8">
      <c r="D8" s="11">
        <f>VLOOKUP(A8,Sheet2!A:B,2,0)</f>
        <v>2721</v>
      </c>
      <c r="G8" t="s">
        <v>142</v>
      </c>
      <c r="H8">
        <v>1.8</v>
      </c>
      <c r="I8" s="14">
        <v>37439.0</v>
      </c>
      <c r="J8" t="s">
        <v>142</v>
      </c>
    </row>
    <row r="9">
      <c r="D9" s="11">
        <f>VLOOKUP(A9,Sheet2!A:B,2,0)</f>
        <v>6841</v>
      </c>
      <c r="G9" t="s">
        <v>60</v>
      </c>
      <c r="H9">
        <v>1.7333333333333334</v>
      </c>
      <c r="I9" s="14">
        <v>330139.0</v>
      </c>
      <c r="J9" t="s">
        <v>60</v>
      </c>
    </row>
    <row r="10">
      <c r="D10" s="11">
        <f>VLOOKUP(A10,Sheet2!A:B,2,0)</f>
        <v>12511</v>
      </c>
      <c r="G10" t="s">
        <v>52</v>
      </c>
      <c r="H10">
        <v>1.7</v>
      </c>
      <c r="I10" s="14">
        <v>131705.0</v>
      </c>
      <c r="J10" t="s">
        <v>52</v>
      </c>
    </row>
    <row r="11">
      <c r="D11" s="11">
        <f>VLOOKUP(A11,Sheet2!A:B,2,0)</f>
        <v>2636</v>
      </c>
      <c r="G11" t="s">
        <v>165</v>
      </c>
      <c r="H11">
        <v>1.6666666666666667</v>
      </c>
      <c r="I11" s="14">
        <v>20971.0</v>
      </c>
      <c r="J11" t="s">
        <v>165</v>
      </c>
    </row>
    <row r="12">
      <c r="D12" s="11">
        <f>VLOOKUP(A12,Sheet2!A:B,2,0)</f>
        <v>9100</v>
      </c>
      <c r="G12" t="s">
        <v>120</v>
      </c>
      <c r="H12">
        <v>1.4285714285714286</v>
      </c>
      <c r="I12" s="14">
        <v>53907.0</v>
      </c>
      <c r="J12" t="s">
        <v>120</v>
      </c>
    </row>
    <row r="13">
      <c r="D13" s="11">
        <f>VLOOKUP(A13,Sheet2!A:B,2,0)</f>
        <v>7851</v>
      </c>
      <c r="G13" t="s">
        <v>201</v>
      </c>
      <c r="H13">
        <v>1.3333333333333333</v>
      </c>
      <c r="I13" s="14">
        <v>21033.0</v>
      </c>
      <c r="J13" t="s">
        <v>201</v>
      </c>
    </row>
    <row r="14">
      <c r="D14" s="11">
        <f>VLOOKUP(A14,Sheet2!A:B,2,0)</f>
        <v>1226</v>
      </c>
      <c r="G14" t="s">
        <v>34</v>
      </c>
      <c r="H14">
        <v>1.3333333333333333</v>
      </c>
      <c r="I14" s="14">
        <v>9305.0</v>
      </c>
      <c r="J14" t="s">
        <v>34</v>
      </c>
    </row>
    <row r="15">
      <c r="D15" s="11">
        <f>VLOOKUP(A15,Sheet2!A:B,2,0)</f>
        <v>5822</v>
      </c>
      <c r="G15" t="s">
        <v>85</v>
      </c>
      <c r="H15">
        <v>1.25</v>
      </c>
      <c r="I15" s="14">
        <v>8566.0</v>
      </c>
      <c r="J15" t="s">
        <v>85</v>
      </c>
    </row>
    <row r="16">
      <c r="D16" s="11">
        <f>VLOOKUP(A16,Sheet2!A:B,2,0)</f>
        <v>2127</v>
      </c>
      <c r="G16" t="s">
        <v>240</v>
      </c>
      <c r="H16">
        <v>1.25</v>
      </c>
      <c r="I16" s="14">
        <v>30044.0</v>
      </c>
      <c r="J16" t="s">
        <v>240</v>
      </c>
    </row>
    <row r="17">
      <c r="D17" s="11">
        <f>VLOOKUP(A17,Sheet2!A:B,2,0)</f>
        <v>17364</v>
      </c>
      <c r="G17" t="s">
        <v>101</v>
      </c>
      <c r="H17">
        <v>1.25</v>
      </c>
      <c r="I17" s="14">
        <v>8437.0</v>
      </c>
      <c r="J17" t="s">
        <v>101</v>
      </c>
    </row>
    <row r="18">
      <c r="D18" s="11">
        <f>VLOOKUP(A18,Sheet2!A:B,2,0)</f>
        <v>65962</v>
      </c>
      <c r="G18" t="s">
        <v>289</v>
      </c>
      <c r="H18">
        <v>1.2</v>
      </c>
      <c r="I18" s="14">
        <v>2839.0</v>
      </c>
      <c r="J18" t="s">
        <v>289</v>
      </c>
    </row>
    <row r="19">
      <c r="D19" s="11">
        <f>VLOOKUP(A19,Sheet2!A:B,2,0)</f>
        <v>37439</v>
      </c>
      <c r="G19" t="s">
        <v>75</v>
      </c>
      <c r="H19">
        <v>1.1111111111111112</v>
      </c>
      <c r="I19" s="14">
        <v>34269.0</v>
      </c>
      <c r="J19" t="s">
        <v>75</v>
      </c>
    </row>
    <row r="20">
      <c r="D20" s="11">
        <f>VLOOKUP(A20,Sheet2!A:B,2,0)</f>
        <v>330139</v>
      </c>
      <c r="G20" t="s">
        <v>209</v>
      </c>
      <c r="H20">
        <v>1.0</v>
      </c>
      <c r="I20" s="14">
        <v>44397.0</v>
      </c>
      <c r="J20" t="s">
        <v>209</v>
      </c>
    </row>
    <row r="21">
      <c r="D21" s="11">
        <f>VLOOKUP(A21,Sheet2!A:B,2,0)</f>
        <v>131705</v>
      </c>
      <c r="G21" t="s">
        <v>151</v>
      </c>
      <c r="H21">
        <v>1.0</v>
      </c>
      <c r="I21" s="14">
        <v>70271.0</v>
      </c>
      <c r="J21" t="s">
        <v>151</v>
      </c>
    </row>
    <row r="22">
      <c r="D22" s="11">
        <f>VLOOKUP(A22,Sheet2!A:B,2,0)</f>
        <v>20971</v>
      </c>
      <c r="G22" t="s">
        <v>250</v>
      </c>
      <c r="H22">
        <v>1.0</v>
      </c>
      <c r="I22" s="14">
        <v>27117.0</v>
      </c>
      <c r="J22" t="s">
        <v>250</v>
      </c>
    </row>
    <row r="23">
      <c r="D23" s="11">
        <f>VLOOKUP(A23,Sheet2!A:B,2,0)</f>
        <v>53907</v>
      </c>
      <c r="G23" t="s">
        <v>42</v>
      </c>
      <c r="H23">
        <v>1.0</v>
      </c>
      <c r="I23" s="14">
        <v>5322.0</v>
      </c>
      <c r="J23" t="s">
        <v>42</v>
      </c>
    </row>
    <row r="24">
      <c r="D24" s="11">
        <f>VLOOKUP(A24,Sheet2!A:B,2,0)</f>
        <v>21033</v>
      </c>
    </row>
    <row r="25">
      <c r="D25" s="11">
        <f>VLOOKUP(A25,Sheet2!A:B,2,0)</f>
        <v>9305</v>
      </c>
    </row>
    <row r="26">
      <c r="D26" s="11">
        <f>VLOOKUP(A26,Sheet2!A:B,2,0)</f>
        <v>8566</v>
      </c>
    </row>
    <row r="27">
      <c r="D27" s="11">
        <f>VLOOKUP(A27,Sheet2!A:B,2,0)</f>
        <v>30420</v>
      </c>
    </row>
    <row r="28">
      <c r="D28" s="11">
        <f>VLOOKUP(A28,Sheet2!A:B,2,0)</f>
        <v>8437</v>
      </c>
    </row>
    <row r="29">
      <c r="D29" s="11">
        <f>VLOOKUP(A29,Sheet2!A:B,2,0)</f>
        <v>2839</v>
      </c>
    </row>
    <row r="30">
      <c r="D30" s="11">
        <f>VLOOKUP(A30,Sheet2!A:B,2,0)</f>
        <v>34269</v>
      </c>
    </row>
    <row r="31">
      <c r="D31" s="11">
        <f>VLOOKUP(A31,Sheet2!A:B,2,0)</f>
        <v>13690</v>
      </c>
    </row>
    <row r="32">
      <c r="D32" s="11">
        <f>VLOOKUP(A32,Sheet2!A:B,2,0)</f>
        <v>4138</v>
      </c>
    </row>
    <row r="33">
      <c r="D33" s="11">
        <f>VLOOKUP(A33,Sheet2!A:B,2,0)</f>
        <v>44397</v>
      </c>
    </row>
    <row r="34">
      <c r="D34" s="11">
        <f>VLOOKUP(A34,Sheet2!A:B,2,0)</f>
        <v>70271</v>
      </c>
    </row>
    <row r="35">
      <c r="D35" s="11">
        <f>VLOOKUP(A35,Sheet2!A:B,2,0)</f>
        <v>27117</v>
      </c>
    </row>
    <row r="36">
      <c r="D36" s="11">
        <f>VLOOKUP(A36,Sheet2!A:B,2,0)</f>
        <v>29996</v>
      </c>
    </row>
    <row r="37">
      <c r="D37" s="11">
        <f>VLOOKUP(A37,Sheet2!A:B,2,0)</f>
        <v>5322</v>
      </c>
    </row>
    <row r="38">
      <c r="D38" s="11">
        <f>VLOOKUP(A38,Sheet2!A:B,2,0)</f>
        <v>3525</v>
      </c>
    </row>
    <row r="39"/>
    <row r="40">
      <c r="C40" s="12"/>
      <c r="D40" s="2" t="str">
        <f>VLOOKUP(A40,Sheet2!A:B,2,0)</f>
        <v>#N/A</v>
      </c>
    </row>
    <row r="41">
      <c r="C41" s="12"/>
      <c r="D41" s="2" t="str">
        <f>VLOOKUP(A41,Sheet2!A:B,2,0)</f>
        <v>#N/A</v>
      </c>
    </row>
    <row r="42">
      <c r="C42" s="12"/>
      <c r="D42" s="2" t="str">
        <f>VLOOKUP(A42,Sheet2!A:B,2,0)</f>
        <v>#N/A</v>
      </c>
    </row>
    <row r="43">
      <c r="C43" s="12"/>
    </row>
    <row r="44">
      <c r="C44" s="12"/>
    </row>
    <row r="45">
      <c r="C45" s="12"/>
    </row>
    <row r="46">
      <c r="C46" s="12"/>
    </row>
    <row r="47">
      <c r="C47" s="12"/>
    </row>
    <row r="48">
      <c r="C48" s="12"/>
    </row>
    <row r="49">
      <c r="C49" s="12"/>
    </row>
    <row r="50">
      <c r="C50" s="12"/>
    </row>
    <row r="51">
      <c r="C51" s="12"/>
    </row>
    <row r="52">
      <c r="C52" s="12"/>
    </row>
    <row r="53">
      <c r="C53" s="12"/>
    </row>
    <row r="54">
      <c r="C54" s="12"/>
    </row>
    <row r="55">
      <c r="C55" s="12"/>
    </row>
    <row r="56">
      <c r="C56" s="12"/>
    </row>
    <row r="57">
      <c r="C57" s="12"/>
    </row>
    <row r="58">
      <c r="C58" s="12"/>
    </row>
    <row r="59">
      <c r="C59" s="12"/>
    </row>
    <row r="60">
      <c r="C60" s="12"/>
    </row>
    <row r="61">
      <c r="C61" s="12"/>
    </row>
    <row r="62">
      <c r="C62" s="12"/>
    </row>
    <row r="63">
      <c r="C63" s="12"/>
    </row>
    <row r="64">
      <c r="C64" s="12"/>
    </row>
    <row r="65">
      <c r="C65" s="12"/>
    </row>
    <row r="66">
      <c r="C66" s="12"/>
    </row>
    <row r="67">
      <c r="C67" s="12"/>
    </row>
    <row r="68">
      <c r="C68" s="12"/>
    </row>
    <row r="69">
      <c r="C69" s="12"/>
    </row>
    <row r="70">
      <c r="C70" s="12"/>
    </row>
    <row r="71">
      <c r="C71" s="12"/>
    </row>
    <row r="72">
      <c r="C72" s="12"/>
    </row>
    <row r="73">
      <c r="C73" s="12"/>
    </row>
    <row r="74">
      <c r="C74" s="12"/>
    </row>
    <row r="75">
      <c r="C75" s="12"/>
    </row>
    <row r="76">
      <c r="C76" s="12"/>
    </row>
    <row r="77">
      <c r="C77" s="12"/>
    </row>
    <row r="78">
      <c r="C78" s="12"/>
    </row>
    <row r="79">
      <c r="C79" s="12"/>
    </row>
    <row r="80">
      <c r="C80" s="12"/>
    </row>
    <row r="81">
      <c r="C81" s="12"/>
    </row>
    <row r="82">
      <c r="C82" s="12"/>
    </row>
    <row r="83">
      <c r="C83" s="12"/>
    </row>
    <row r="84">
      <c r="C84" s="12"/>
    </row>
    <row r="85">
      <c r="C85" s="12"/>
    </row>
    <row r="86">
      <c r="C86" s="12"/>
    </row>
    <row r="87">
      <c r="C87" s="12"/>
    </row>
    <row r="88">
      <c r="C88" s="12"/>
    </row>
    <row r="89">
      <c r="C89" s="12"/>
    </row>
    <row r="90">
      <c r="C90" s="12"/>
    </row>
    <row r="91">
      <c r="C91" s="12"/>
    </row>
    <row r="92">
      <c r="C92" s="12"/>
    </row>
    <row r="93">
      <c r="C93" s="12"/>
    </row>
    <row r="94">
      <c r="C94" s="12"/>
    </row>
    <row r="95">
      <c r="C95" s="12"/>
    </row>
    <row r="96">
      <c r="C96" s="12"/>
    </row>
    <row r="97">
      <c r="C97" s="12"/>
    </row>
    <row r="98">
      <c r="C98" s="12"/>
    </row>
    <row r="99">
      <c r="C99" s="12"/>
    </row>
    <row r="100">
      <c r="C100" s="12"/>
    </row>
    <row r="101">
      <c r="C101" s="12"/>
    </row>
    <row r="102">
      <c r="C102" s="12"/>
    </row>
    <row r="103">
      <c r="C103" s="12"/>
    </row>
    <row r="104">
      <c r="C104" s="12"/>
    </row>
    <row r="105">
      <c r="C105" s="12"/>
    </row>
    <row r="106">
      <c r="C106" s="12"/>
    </row>
    <row r="107">
      <c r="C107" s="12"/>
    </row>
    <row r="108">
      <c r="C108" s="12"/>
    </row>
    <row r="109">
      <c r="C109" s="12"/>
    </row>
    <row r="110">
      <c r="C110" s="12"/>
    </row>
    <row r="111">
      <c r="C111" s="12"/>
    </row>
    <row r="112">
      <c r="C112" s="12"/>
    </row>
    <row r="113">
      <c r="C113" s="12"/>
    </row>
    <row r="114">
      <c r="C114" s="12"/>
    </row>
    <row r="115">
      <c r="C115" s="12"/>
    </row>
    <row r="116">
      <c r="C116" s="12"/>
    </row>
    <row r="117">
      <c r="C117" s="12"/>
    </row>
    <row r="118">
      <c r="C118" s="12"/>
    </row>
    <row r="119">
      <c r="C119" s="12"/>
    </row>
    <row r="120">
      <c r="C120" s="12"/>
    </row>
    <row r="121">
      <c r="C121" s="12"/>
    </row>
    <row r="122">
      <c r="C122" s="12"/>
    </row>
    <row r="123">
      <c r="C123" s="12"/>
    </row>
    <row r="124">
      <c r="C124" s="12"/>
    </row>
    <row r="125">
      <c r="C125" s="12"/>
    </row>
    <row r="126">
      <c r="C126" s="12"/>
    </row>
    <row r="127">
      <c r="C127" s="12"/>
    </row>
    <row r="128">
      <c r="C128" s="12"/>
    </row>
    <row r="129">
      <c r="C129" s="12"/>
    </row>
    <row r="130">
      <c r="C130" s="12"/>
    </row>
    <row r="131">
      <c r="C131" s="12"/>
    </row>
    <row r="132">
      <c r="C132" s="12"/>
    </row>
    <row r="133">
      <c r="C133" s="12"/>
    </row>
    <row r="134">
      <c r="C134" s="12"/>
    </row>
    <row r="135">
      <c r="C135" s="12"/>
    </row>
    <row r="136">
      <c r="C136" s="12"/>
    </row>
    <row r="137">
      <c r="C137" s="12"/>
    </row>
    <row r="138">
      <c r="C138" s="12"/>
    </row>
    <row r="139">
      <c r="C139" s="12"/>
    </row>
    <row r="140">
      <c r="C140" s="12"/>
    </row>
    <row r="141">
      <c r="C141" s="12"/>
    </row>
    <row r="142">
      <c r="C142" s="12"/>
    </row>
    <row r="143">
      <c r="C143" s="12"/>
    </row>
    <row r="144">
      <c r="C144" s="12"/>
    </row>
    <row r="145">
      <c r="C145" s="12"/>
    </row>
    <row r="146">
      <c r="C146" s="12"/>
    </row>
    <row r="147">
      <c r="C147" s="12"/>
    </row>
    <row r="148">
      <c r="C148" s="12"/>
    </row>
    <row r="149">
      <c r="C149" s="12"/>
    </row>
    <row r="150">
      <c r="C150" s="12"/>
    </row>
    <row r="151">
      <c r="C151" s="12"/>
    </row>
    <row r="152">
      <c r="C152" s="12"/>
    </row>
    <row r="153">
      <c r="C153" s="12"/>
    </row>
    <row r="154">
      <c r="C154" s="12"/>
    </row>
    <row r="155">
      <c r="C155" s="12"/>
    </row>
    <row r="156">
      <c r="C156" s="12"/>
    </row>
    <row r="157">
      <c r="C157" s="12"/>
    </row>
    <row r="158">
      <c r="C158" s="12"/>
    </row>
    <row r="159">
      <c r="C159" s="12"/>
    </row>
    <row r="160">
      <c r="C160" s="12"/>
    </row>
    <row r="161">
      <c r="C161" s="12"/>
    </row>
    <row r="162">
      <c r="C162" s="12"/>
    </row>
    <row r="163">
      <c r="C163" s="12"/>
    </row>
    <row r="164">
      <c r="C164" s="12"/>
    </row>
    <row r="165">
      <c r="C165" s="12"/>
    </row>
    <row r="166">
      <c r="C166" s="12"/>
    </row>
    <row r="167">
      <c r="C167" s="12"/>
    </row>
    <row r="168">
      <c r="C168" s="12"/>
    </row>
    <row r="169">
      <c r="C169" s="12"/>
    </row>
    <row r="170">
      <c r="C170" s="12"/>
    </row>
    <row r="171">
      <c r="C171" s="12"/>
    </row>
    <row r="172">
      <c r="C172" s="12"/>
    </row>
    <row r="173">
      <c r="C173" s="12"/>
    </row>
    <row r="174">
      <c r="C174" s="12"/>
    </row>
    <row r="175">
      <c r="C175" s="12"/>
    </row>
    <row r="176">
      <c r="C176" s="12"/>
    </row>
    <row r="177">
      <c r="C177" s="12"/>
    </row>
    <row r="178">
      <c r="C178" s="12"/>
    </row>
    <row r="179">
      <c r="C179" s="12"/>
    </row>
    <row r="180">
      <c r="C180" s="12"/>
    </row>
    <row r="181">
      <c r="C181" s="12"/>
    </row>
    <row r="182">
      <c r="C182" s="12"/>
    </row>
    <row r="183">
      <c r="C183" s="12"/>
    </row>
    <row r="184">
      <c r="C184" s="12"/>
    </row>
    <row r="185">
      <c r="C185" s="12"/>
    </row>
    <row r="186">
      <c r="C186" s="12"/>
    </row>
    <row r="187">
      <c r="C187" s="12"/>
    </row>
    <row r="188">
      <c r="C188" s="12"/>
    </row>
    <row r="189">
      <c r="C189" s="12"/>
    </row>
    <row r="190">
      <c r="C190" s="12"/>
    </row>
    <row r="191">
      <c r="C191" s="12"/>
    </row>
    <row r="192">
      <c r="C192" s="12"/>
    </row>
    <row r="193">
      <c r="C193" s="12"/>
    </row>
    <row r="194">
      <c r="C194" s="12"/>
    </row>
    <row r="195">
      <c r="C195" s="12"/>
    </row>
    <row r="196">
      <c r="C196" s="12"/>
    </row>
    <row r="197">
      <c r="C197" s="12"/>
    </row>
    <row r="198">
      <c r="C198" s="12"/>
    </row>
    <row r="199">
      <c r="C199" s="12"/>
    </row>
    <row r="200">
      <c r="C200" s="12"/>
    </row>
    <row r="201">
      <c r="C201" s="12"/>
    </row>
    <row r="202">
      <c r="C202" s="12"/>
    </row>
    <row r="203">
      <c r="C203" s="12"/>
    </row>
    <row r="204">
      <c r="C204" s="12"/>
    </row>
    <row r="205">
      <c r="C205" s="12"/>
    </row>
    <row r="206">
      <c r="C206" s="12"/>
    </row>
    <row r="207">
      <c r="C207" s="12"/>
    </row>
    <row r="208">
      <c r="C208" s="12"/>
    </row>
    <row r="209">
      <c r="C209" s="12"/>
    </row>
    <row r="210">
      <c r="C210" s="12"/>
    </row>
    <row r="211">
      <c r="C211" s="12"/>
    </row>
    <row r="212">
      <c r="C212" s="12"/>
    </row>
    <row r="213">
      <c r="C213" s="12"/>
    </row>
    <row r="214">
      <c r="C214" s="12"/>
    </row>
    <row r="215">
      <c r="C215" s="12"/>
    </row>
    <row r="216">
      <c r="C216" s="12"/>
    </row>
    <row r="217">
      <c r="C217" s="12"/>
    </row>
    <row r="218">
      <c r="C218" s="12"/>
    </row>
    <row r="219">
      <c r="C219" s="12"/>
    </row>
    <row r="220">
      <c r="C220" s="12"/>
    </row>
    <row r="221">
      <c r="C221" s="12"/>
    </row>
    <row r="222">
      <c r="C222" s="12"/>
    </row>
    <row r="223">
      <c r="C223" s="12"/>
    </row>
    <row r="224">
      <c r="C224" s="12"/>
    </row>
    <row r="225">
      <c r="C225" s="12"/>
    </row>
    <row r="226">
      <c r="C226" s="12"/>
    </row>
    <row r="227">
      <c r="C227" s="12"/>
    </row>
    <row r="228">
      <c r="C228" s="12"/>
    </row>
    <row r="229">
      <c r="C229" s="12"/>
    </row>
    <row r="230">
      <c r="C230" s="12"/>
    </row>
    <row r="231">
      <c r="C231" s="12"/>
    </row>
    <row r="232">
      <c r="C232" s="12"/>
    </row>
    <row r="233">
      <c r="C233" s="12"/>
    </row>
    <row r="234">
      <c r="C234" s="12"/>
    </row>
    <row r="235">
      <c r="C235" s="12"/>
    </row>
    <row r="236">
      <c r="C236" s="12"/>
    </row>
    <row r="237">
      <c r="C237" s="12"/>
    </row>
    <row r="238">
      <c r="C238" s="12"/>
    </row>
    <row r="239">
      <c r="C239" s="12"/>
    </row>
    <row r="240">
      <c r="C240" s="12"/>
    </row>
    <row r="241">
      <c r="C241" s="12"/>
    </row>
    <row r="242">
      <c r="C242" s="12"/>
    </row>
    <row r="243">
      <c r="C243" s="12"/>
    </row>
    <row r="244">
      <c r="C244" s="12"/>
    </row>
    <row r="245">
      <c r="C245" s="12"/>
    </row>
    <row r="246">
      <c r="C246" s="12"/>
    </row>
    <row r="247">
      <c r="C247" s="12"/>
    </row>
    <row r="248">
      <c r="C248" s="12"/>
    </row>
    <row r="249">
      <c r="C249" s="12"/>
    </row>
    <row r="250">
      <c r="C250" s="12"/>
    </row>
    <row r="251">
      <c r="C251" s="12"/>
    </row>
    <row r="252">
      <c r="C252" s="12"/>
    </row>
    <row r="253">
      <c r="C253" s="12"/>
    </row>
    <row r="254">
      <c r="C254" s="12"/>
    </row>
    <row r="255">
      <c r="C255" s="12"/>
    </row>
    <row r="256">
      <c r="C256" s="12"/>
    </row>
    <row r="257">
      <c r="C257" s="12"/>
    </row>
    <row r="258">
      <c r="C258" s="12"/>
    </row>
    <row r="259">
      <c r="C259" s="12"/>
    </row>
    <row r="260">
      <c r="C260" s="12"/>
    </row>
    <row r="261">
      <c r="C261" s="12"/>
    </row>
    <row r="262">
      <c r="C262" s="12"/>
    </row>
    <row r="263">
      <c r="C263" s="12"/>
    </row>
    <row r="264">
      <c r="C264" s="12"/>
    </row>
    <row r="265">
      <c r="C265" s="12"/>
    </row>
    <row r="266">
      <c r="C266" s="12"/>
    </row>
    <row r="267">
      <c r="C267" s="12"/>
    </row>
    <row r="268">
      <c r="C268" s="12"/>
    </row>
    <row r="269">
      <c r="C269" s="12"/>
    </row>
    <row r="270">
      <c r="C270" s="12"/>
    </row>
    <row r="271">
      <c r="C271" s="12"/>
    </row>
    <row r="272">
      <c r="C272" s="12"/>
    </row>
    <row r="273">
      <c r="C273" s="12"/>
    </row>
    <row r="274">
      <c r="C274" s="12"/>
    </row>
    <row r="275">
      <c r="C275" s="12"/>
    </row>
    <row r="276">
      <c r="C276" s="12"/>
    </row>
    <row r="277">
      <c r="C277" s="12"/>
    </row>
    <row r="278">
      <c r="C278" s="12"/>
    </row>
    <row r="279">
      <c r="C279" s="12"/>
    </row>
    <row r="280">
      <c r="C280" s="12"/>
    </row>
    <row r="281">
      <c r="C281" s="12"/>
    </row>
    <row r="282">
      <c r="C282" s="12"/>
    </row>
    <row r="283">
      <c r="C283" s="12"/>
    </row>
    <row r="284">
      <c r="C284" s="12"/>
    </row>
    <row r="285">
      <c r="C285" s="12"/>
    </row>
    <row r="286">
      <c r="C286" s="12"/>
    </row>
    <row r="287">
      <c r="C287" s="12"/>
    </row>
    <row r="288">
      <c r="C288" s="12"/>
    </row>
    <row r="289">
      <c r="C289" s="12"/>
    </row>
    <row r="290">
      <c r="C290" s="12"/>
    </row>
    <row r="291">
      <c r="C291" s="12"/>
    </row>
    <row r="292">
      <c r="C292" s="12"/>
    </row>
    <row r="293">
      <c r="C293" s="12"/>
    </row>
    <row r="294">
      <c r="C294" s="12"/>
    </row>
    <row r="295">
      <c r="C295" s="12"/>
    </row>
    <row r="296">
      <c r="C296" s="12"/>
    </row>
    <row r="297">
      <c r="C297" s="12"/>
    </row>
    <row r="298">
      <c r="C298" s="12"/>
    </row>
    <row r="299">
      <c r="C299" s="12"/>
    </row>
    <row r="300">
      <c r="C300" s="12"/>
    </row>
    <row r="301">
      <c r="C301" s="12"/>
    </row>
    <row r="302">
      <c r="C302" s="12"/>
    </row>
    <row r="303">
      <c r="C303" s="12"/>
    </row>
    <row r="304">
      <c r="C304" s="12"/>
    </row>
    <row r="305">
      <c r="C305" s="12"/>
    </row>
    <row r="306">
      <c r="C306" s="12"/>
    </row>
    <row r="307">
      <c r="C307" s="12"/>
    </row>
    <row r="308">
      <c r="C308" s="12"/>
    </row>
    <row r="309">
      <c r="C309" s="12"/>
    </row>
    <row r="310">
      <c r="C310" s="12"/>
    </row>
    <row r="311">
      <c r="C311" s="12"/>
    </row>
    <row r="312">
      <c r="C312" s="12"/>
    </row>
    <row r="313">
      <c r="C313" s="12"/>
    </row>
    <row r="314">
      <c r="C314" s="12"/>
    </row>
    <row r="315">
      <c r="C315" s="12"/>
    </row>
    <row r="316">
      <c r="C316" s="12"/>
    </row>
    <row r="317">
      <c r="C317" s="12"/>
    </row>
    <row r="318">
      <c r="C318" s="12"/>
    </row>
    <row r="319">
      <c r="C319" s="12"/>
    </row>
    <row r="320">
      <c r="C320" s="12"/>
    </row>
    <row r="321">
      <c r="C321" s="12"/>
    </row>
    <row r="322">
      <c r="C322" s="12"/>
    </row>
    <row r="323">
      <c r="C323" s="12"/>
    </row>
    <row r="324">
      <c r="C324" s="12"/>
    </row>
    <row r="325">
      <c r="C325" s="12"/>
    </row>
    <row r="326">
      <c r="C326" s="12"/>
    </row>
    <row r="327">
      <c r="C327" s="12"/>
    </row>
    <row r="328">
      <c r="C328" s="12"/>
    </row>
    <row r="329">
      <c r="C329" s="12"/>
    </row>
    <row r="330">
      <c r="C330" s="12"/>
    </row>
    <row r="331">
      <c r="C331" s="12"/>
    </row>
    <row r="332">
      <c r="C332" s="12"/>
    </row>
    <row r="333">
      <c r="C333" s="12"/>
    </row>
    <row r="334">
      <c r="C334" s="12"/>
    </row>
    <row r="335">
      <c r="C335" s="12"/>
    </row>
    <row r="336">
      <c r="C336" s="12"/>
    </row>
    <row r="337">
      <c r="C337" s="12"/>
    </row>
    <row r="338">
      <c r="C338" s="12"/>
    </row>
    <row r="339">
      <c r="C339" s="12"/>
    </row>
    <row r="340">
      <c r="C340" s="12"/>
    </row>
    <row r="341">
      <c r="C341" s="12"/>
    </row>
    <row r="342">
      <c r="C342" s="12"/>
    </row>
    <row r="343">
      <c r="C343" s="12"/>
    </row>
    <row r="344">
      <c r="C344" s="12"/>
    </row>
    <row r="345">
      <c r="C345" s="12"/>
    </row>
    <row r="346">
      <c r="C346" s="12"/>
    </row>
    <row r="347">
      <c r="C347" s="12"/>
    </row>
    <row r="348">
      <c r="C348" s="12"/>
    </row>
    <row r="349">
      <c r="C349" s="12"/>
    </row>
    <row r="350">
      <c r="C350" s="12"/>
    </row>
    <row r="351">
      <c r="C351" s="12"/>
    </row>
    <row r="352">
      <c r="C352" s="12"/>
    </row>
    <row r="353">
      <c r="C353" s="12"/>
    </row>
    <row r="354">
      <c r="C354" s="12"/>
    </row>
    <row r="355">
      <c r="C355" s="12"/>
    </row>
    <row r="356">
      <c r="C356" s="12"/>
    </row>
    <row r="357">
      <c r="C357" s="12"/>
    </row>
    <row r="358">
      <c r="C358" s="12"/>
    </row>
    <row r="359">
      <c r="C359" s="12"/>
    </row>
    <row r="360">
      <c r="C360" s="12"/>
    </row>
    <row r="361">
      <c r="C361" s="12"/>
    </row>
    <row r="362">
      <c r="C362" s="12"/>
    </row>
    <row r="363">
      <c r="C363" s="12"/>
    </row>
    <row r="364">
      <c r="C364" s="12"/>
    </row>
    <row r="365">
      <c r="C365" s="12"/>
    </row>
    <row r="366">
      <c r="C366" s="12"/>
    </row>
    <row r="367">
      <c r="C367" s="12"/>
    </row>
    <row r="368">
      <c r="C368" s="12"/>
    </row>
    <row r="369">
      <c r="C369" s="12"/>
    </row>
    <row r="370">
      <c r="C370" s="12"/>
    </row>
    <row r="371">
      <c r="C371" s="12"/>
    </row>
    <row r="372">
      <c r="C372" s="12"/>
    </row>
    <row r="373">
      <c r="C373" s="12"/>
    </row>
    <row r="374">
      <c r="C374" s="12"/>
    </row>
    <row r="375">
      <c r="C375" s="12"/>
    </row>
    <row r="376">
      <c r="C376" s="12"/>
    </row>
    <row r="377">
      <c r="C377" s="12"/>
    </row>
    <row r="378">
      <c r="C378" s="12"/>
    </row>
    <row r="379">
      <c r="C379" s="12"/>
    </row>
    <row r="380">
      <c r="C380" s="12"/>
    </row>
    <row r="381">
      <c r="C381" s="12"/>
    </row>
    <row r="382">
      <c r="C382" s="12"/>
    </row>
    <row r="383">
      <c r="C383" s="12"/>
    </row>
    <row r="384">
      <c r="C384" s="12"/>
    </row>
    <row r="385">
      <c r="C385" s="12"/>
    </row>
    <row r="386">
      <c r="C386" s="12"/>
    </row>
    <row r="387">
      <c r="C387" s="12"/>
    </row>
    <row r="388">
      <c r="C388" s="12"/>
    </row>
    <row r="389">
      <c r="C389" s="12"/>
    </row>
    <row r="390">
      <c r="C390" s="12"/>
    </row>
    <row r="391">
      <c r="C391" s="12"/>
    </row>
    <row r="392">
      <c r="C392" s="12"/>
    </row>
    <row r="393">
      <c r="C393" s="12"/>
    </row>
    <row r="394">
      <c r="C394" s="12"/>
    </row>
    <row r="395">
      <c r="C395" s="12"/>
    </row>
    <row r="396">
      <c r="C396" s="12"/>
    </row>
    <row r="397">
      <c r="C397" s="12"/>
    </row>
    <row r="398">
      <c r="C398" s="12"/>
    </row>
    <row r="399">
      <c r="C399" s="12"/>
    </row>
    <row r="400">
      <c r="C400" s="12"/>
    </row>
    <row r="401">
      <c r="C401" s="12"/>
    </row>
    <row r="402">
      <c r="C402" s="12"/>
    </row>
    <row r="403">
      <c r="C403" s="12"/>
    </row>
    <row r="404">
      <c r="C404" s="12"/>
    </row>
    <row r="405">
      <c r="C405" s="12"/>
    </row>
    <row r="406">
      <c r="C406" s="12"/>
    </row>
    <row r="407">
      <c r="C407" s="12"/>
    </row>
    <row r="408">
      <c r="C408" s="12"/>
    </row>
    <row r="409">
      <c r="C409" s="12"/>
    </row>
    <row r="410">
      <c r="C410" s="12"/>
    </row>
    <row r="411">
      <c r="C411" s="12"/>
    </row>
    <row r="412">
      <c r="C412" s="12"/>
    </row>
    <row r="413">
      <c r="C413" s="12"/>
    </row>
    <row r="414">
      <c r="C414" s="12"/>
    </row>
    <row r="415">
      <c r="C415" s="12"/>
    </row>
    <row r="416">
      <c r="C416" s="12"/>
    </row>
    <row r="417">
      <c r="C417" s="12"/>
    </row>
    <row r="418">
      <c r="C418" s="12"/>
    </row>
    <row r="419">
      <c r="C419" s="12"/>
    </row>
    <row r="420">
      <c r="C420" s="12"/>
    </row>
    <row r="421">
      <c r="C421" s="12"/>
    </row>
    <row r="422">
      <c r="C422" s="12"/>
    </row>
    <row r="423">
      <c r="C423" s="12"/>
    </row>
    <row r="424">
      <c r="C424" s="12"/>
    </row>
    <row r="425">
      <c r="C425" s="12"/>
    </row>
    <row r="426">
      <c r="C426" s="12"/>
    </row>
    <row r="427">
      <c r="C427" s="12"/>
    </row>
    <row r="428">
      <c r="C428" s="12"/>
    </row>
    <row r="429">
      <c r="C429" s="12"/>
    </row>
    <row r="430">
      <c r="C430" s="12"/>
    </row>
    <row r="431">
      <c r="C431" s="12"/>
    </row>
    <row r="432">
      <c r="C432" s="12"/>
    </row>
    <row r="433">
      <c r="C433" s="12"/>
    </row>
    <row r="434">
      <c r="C434" s="12"/>
    </row>
    <row r="435">
      <c r="C435" s="12"/>
    </row>
    <row r="436">
      <c r="C436" s="12"/>
    </row>
    <row r="437">
      <c r="C437" s="12"/>
    </row>
    <row r="438">
      <c r="C438" s="12"/>
    </row>
    <row r="439">
      <c r="C439" s="12"/>
    </row>
    <row r="440">
      <c r="C440" s="12"/>
    </row>
    <row r="441">
      <c r="C441" s="12"/>
    </row>
    <row r="442">
      <c r="C442" s="12"/>
    </row>
    <row r="443">
      <c r="C443" s="12"/>
    </row>
    <row r="444">
      <c r="C444" s="12"/>
    </row>
    <row r="445">
      <c r="C445" s="12"/>
    </row>
    <row r="446">
      <c r="C446" s="12"/>
    </row>
    <row r="447">
      <c r="C447" s="12"/>
    </row>
    <row r="448">
      <c r="C448" s="12"/>
    </row>
    <row r="449">
      <c r="C449" s="12"/>
    </row>
    <row r="450">
      <c r="C450" s="12"/>
    </row>
    <row r="451">
      <c r="C451" s="12"/>
    </row>
    <row r="452">
      <c r="C452" s="12"/>
    </row>
    <row r="453">
      <c r="C453" s="12"/>
    </row>
    <row r="454">
      <c r="C454" s="12"/>
    </row>
    <row r="455">
      <c r="C455" s="12"/>
    </row>
    <row r="456">
      <c r="C456" s="12"/>
    </row>
    <row r="457">
      <c r="C457" s="12"/>
    </row>
    <row r="458">
      <c r="C458" s="12"/>
    </row>
    <row r="459">
      <c r="C459" s="12"/>
    </row>
    <row r="460">
      <c r="C460" s="12"/>
    </row>
    <row r="461">
      <c r="C461" s="12"/>
    </row>
    <row r="462">
      <c r="C462" s="12"/>
    </row>
    <row r="463">
      <c r="C463" s="12"/>
    </row>
    <row r="464">
      <c r="C464" s="12"/>
    </row>
    <row r="465">
      <c r="C465" s="12"/>
    </row>
    <row r="466">
      <c r="C466" s="12"/>
    </row>
    <row r="467">
      <c r="C467" s="12"/>
    </row>
    <row r="468">
      <c r="C468" s="12"/>
    </row>
    <row r="469">
      <c r="C469" s="12"/>
    </row>
    <row r="470">
      <c r="C470" s="12"/>
    </row>
    <row r="471">
      <c r="C471" s="12"/>
    </row>
    <row r="472">
      <c r="C472" s="12"/>
    </row>
    <row r="473">
      <c r="C473" s="12"/>
    </row>
    <row r="474">
      <c r="C474" s="12"/>
    </row>
    <row r="475">
      <c r="C475" s="12"/>
    </row>
    <row r="476">
      <c r="C476" s="12"/>
    </row>
    <row r="477">
      <c r="C477" s="12"/>
    </row>
    <row r="478">
      <c r="C478" s="12"/>
    </row>
    <row r="479">
      <c r="C479" s="12"/>
    </row>
    <row r="480">
      <c r="C480" s="12"/>
    </row>
    <row r="481">
      <c r="C481" s="12"/>
    </row>
    <row r="482">
      <c r="C482" s="12"/>
    </row>
    <row r="483">
      <c r="C483" s="12"/>
    </row>
    <row r="484">
      <c r="C484" s="12"/>
    </row>
    <row r="485">
      <c r="C485" s="12"/>
    </row>
    <row r="486">
      <c r="C486" s="12"/>
    </row>
    <row r="487">
      <c r="C487" s="12"/>
    </row>
    <row r="488">
      <c r="C488" s="12"/>
    </row>
    <row r="489">
      <c r="C489" s="12"/>
    </row>
    <row r="490">
      <c r="C490" s="12"/>
    </row>
    <row r="491">
      <c r="C491" s="12"/>
    </row>
    <row r="492">
      <c r="C492" s="12"/>
    </row>
    <row r="493">
      <c r="C493" s="12"/>
    </row>
    <row r="494">
      <c r="C494" s="12"/>
    </row>
    <row r="495">
      <c r="C495" s="12"/>
    </row>
    <row r="496">
      <c r="C496" s="12"/>
    </row>
    <row r="497">
      <c r="C497" s="12"/>
    </row>
    <row r="498">
      <c r="C498" s="12"/>
    </row>
    <row r="499">
      <c r="C499" s="12"/>
    </row>
    <row r="500">
      <c r="C500" s="12"/>
    </row>
    <row r="501">
      <c r="C501" s="12"/>
    </row>
    <row r="502">
      <c r="C502" s="12"/>
    </row>
    <row r="503">
      <c r="C503" s="12"/>
    </row>
    <row r="504">
      <c r="C504" s="12"/>
    </row>
    <row r="505">
      <c r="C505" s="12"/>
    </row>
    <row r="506">
      <c r="C506" s="12"/>
    </row>
    <row r="507">
      <c r="C507" s="12"/>
    </row>
    <row r="508">
      <c r="C508" s="12"/>
    </row>
    <row r="509">
      <c r="C509" s="12"/>
    </row>
    <row r="510">
      <c r="C510" s="12"/>
    </row>
    <row r="511">
      <c r="C511" s="12"/>
    </row>
    <row r="512">
      <c r="C512" s="12"/>
    </row>
    <row r="513">
      <c r="C513" s="12"/>
    </row>
    <row r="514">
      <c r="C514" s="12"/>
    </row>
    <row r="515">
      <c r="C515" s="12"/>
    </row>
    <row r="516">
      <c r="C516" s="12"/>
    </row>
    <row r="517">
      <c r="C517" s="12"/>
    </row>
    <row r="518">
      <c r="C518" s="12"/>
    </row>
    <row r="519">
      <c r="C519" s="12"/>
    </row>
    <row r="520">
      <c r="C520" s="12"/>
    </row>
    <row r="521">
      <c r="C521" s="12"/>
    </row>
    <row r="522">
      <c r="C522" s="12"/>
    </row>
    <row r="523">
      <c r="C523" s="12"/>
    </row>
    <row r="524">
      <c r="C524" s="12"/>
    </row>
    <row r="525">
      <c r="C525" s="12"/>
    </row>
    <row r="526">
      <c r="C526" s="12"/>
    </row>
    <row r="527">
      <c r="C527" s="12"/>
    </row>
    <row r="528">
      <c r="C528" s="12"/>
    </row>
    <row r="529">
      <c r="C529" s="12"/>
    </row>
    <row r="530">
      <c r="C530" s="12"/>
    </row>
    <row r="531">
      <c r="C531" s="12"/>
    </row>
    <row r="532">
      <c r="C532" s="12"/>
    </row>
    <row r="533">
      <c r="C533" s="12"/>
    </row>
    <row r="534">
      <c r="C534" s="12"/>
    </row>
    <row r="535">
      <c r="C535" s="12"/>
    </row>
    <row r="536">
      <c r="C536" s="12"/>
    </row>
    <row r="537">
      <c r="C537" s="12"/>
    </row>
    <row r="538">
      <c r="C538" s="12"/>
    </row>
    <row r="539">
      <c r="C539" s="12"/>
    </row>
    <row r="540">
      <c r="C540" s="12"/>
    </row>
    <row r="541">
      <c r="C541" s="12"/>
    </row>
    <row r="542">
      <c r="C542" s="12"/>
    </row>
    <row r="543">
      <c r="C543" s="12"/>
    </row>
    <row r="544">
      <c r="C544" s="12"/>
    </row>
    <row r="545">
      <c r="C545" s="12"/>
    </row>
    <row r="546">
      <c r="C546" s="12"/>
    </row>
    <row r="547">
      <c r="C547" s="12"/>
    </row>
    <row r="548">
      <c r="C548" s="12"/>
    </row>
    <row r="549">
      <c r="C549" s="12"/>
    </row>
    <row r="550">
      <c r="C550" s="12"/>
    </row>
    <row r="551">
      <c r="C551" s="12"/>
    </row>
    <row r="552">
      <c r="C552" s="12"/>
    </row>
    <row r="553">
      <c r="C553" s="12"/>
    </row>
    <row r="554">
      <c r="C554" s="12"/>
    </row>
    <row r="555">
      <c r="C555" s="12"/>
    </row>
    <row r="556">
      <c r="C556" s="12"/>
    </row>
    <row r="557">
      <c r="C557" s="12"/>
    </row>
    <row r="558">
      <c r="C558" s="12"/>
    </row>
    <row r="559">
      <c r="C559" s="12"/>
    </row>
    <row r="560">
      <c r="C560" s="12"/>
    </row>
    <row r="561">
      <c r="C561" s="12"/>
    </row>
    <row r="562">
      <c r="C562" s="12"/>
    </row>
    <row r="563">
      <c r="C563" s="12"/>
    </row>
    <row r="564">
      <c r="C564" s="12"/>
    </row>
    <row r="565">
      <c r="C565" s="12"/>
    </row>
    <row r="566">
      <c r="C566" s="12"/>
    </row>
    <row r="567">
      <c r="C567" s="12"/>
    </row>
    <row r="568">
      <c r="C568" s="12"/>
    </row>
    <row r="569">
      <c r="C569" s="12"/>
    </row>
    <row r="570">
      <c r="C570" s="12"/>
    </row>
    <row r="571">
      <c r="C571" s="12"/>
    </row>
    <row r="572">
      <c r="C572" s="12"/>
    </row>
    <row r="573">
      <c r="C573" s="12"/>
    </row>
    <row r="574">
      <c r="C574" s="12"/>
    </row>
    <row r="575">
      <c r="C575" s="12"/>
    </row>
    <row r="576">
      <c r="C576" s="12"/>
    </row>
    <row r="577">
      <c r="C577" s="12"/>
    </row>
    <row r="578">
      <c r="C578" s="12"/>
    </row>
    <row r="579">
      <c r="C579" s="12"/>
    </row>
    <row r="580">
      <c r="C580" s="12"/>
    </row>
    <row r="581">
      <c r="C581" s="12"/>
    </row>
    <row r="582">
      <c r="C582" s="12"/>
    </row>
    <row r="583">
      <c r="C583" s="12"/>
    </row>
    <row r="584">
      <c r="C584" s="12"/>
    </row>
    <row r="585">
      <c r="C585" s="12"/>
    </row>
    <row r="586">
      <c r="C586" s="12"/>
    </row>
    <row r="587">
      <c r="C587" s="12"/>
    </row>
    <row r="588">
      <c r="C588" s="12"/>
    </row>
    <row r="589">
      <c r="C589" s="12"/>
    </row>
    <row r="590">
      <c r="C590" s="12"/>
    </row>
    <row r="591">
      <c r="C591" s="12"/>
    </row>
    <row r="592">
      <c r="C592" s="12"/>
    </row>
    <row r="593">
      <c r="C593" s="12"/>
    </row>
    <row r="594">
      <c r="C594" s="12"/>
    </row>
    <row r="595">
      <c r="C595" s="12"/>
    </row>
    <row r="596">
      <c r="C596" s="12"/>
    </row>
    <row r="597">
      <c r="C597" s="12"/>
    </row>
    <row r="598">
      <c r="C598" s="12"/>
    </row>
    <row r="599">
      <c r="C599" s="12"/>
    </row>
    <row r="600">
      <c r="C600" s="12"/>
    </row>
    <row r="601">
      <c r="C601" s="12"/>
    </row>
    <row r="602">
      <c r="C602" s="12"/>
    </row>
    <row r="603">
      <c r="C603" s="12"/>
    </row>
    <row r="604">
      <c r="C604" s="12"/>
    </row>
    <row r="605">
      <c r="C605" s="12"/>
    </row>
    <row r="606">
      <c r="C606" s="12"/>
    </row>
    <row r="607">
      <c r="C607" s="12"/>
    </row>
    <row r="608">
      <c r="C608" s="12"/>
    </row>
    <row r="609">
      <c r="C609" s="12"/>
    </row>
    <row r="610">
      <c r="C610" s="12"/>
    </row>
    <row r="611">
      <c r="C611" s="12"/>
    </row>
    <row r="612">
      <c r="C612" s="12"/>
    </row>
    <row r="613">
      <c r="C613" s="12"/>
    </row>
    <row r="614">
      <c r="C614" s="12"/>
    </row>
    <row r="615">
      <c r="C615" s="12"/>
    </row>
    <row r="616">
      <c r="C616" s="12"/>
    </row>
    <row r="617">
      <c r="C617" s="12"/>
    </row>
    <row r="618">
      <c r="C618" s="12"/>
    </row>
    <row r="619">
      <c r="C619" s="12"/>
    </row>
    <row r="620">
      <c r="C620" s="12"/>
    </row>
    <row r="621">
      <c r="C621" s="12"/>
    </row>
    <row r="622">
      <c r="C622" s="12"/>
    </row>
    <row r="623">
      <c r="C623" s="12"/>
    </row>
    <row r="624">
      <c r="C624" s="12"/>
    </row>
    <row r="625">
      <c r="C625" s="12"/>
    </row>
    <row r="626">
      <c r="C626" s="12"/>
    </row>
    <row r="627">
      <c r="C627" s="12"/>
    </row>
    <row r="628">
      <c r="C628" s="12"/>
    </row>
    <row r="629">
      <c r="C629" s="12"/>
    </row>
    <row r="630">
      <c r="C630" s="12"/>
    </row>
    <row r="631">
      <c r="C631" s="12"/>
    </row>
    <row r="632">
      <c r="C632" s="12"/>
    </row>
    <row r="633">
      <c r="C633" s="12"/>
    </row>
    <row r="634">
      <c r="C634" s="12"/>
    </row>
    <row r="635">
      <c r="C635" s="12"/>
    </row>
    <row r="636">
      <c r="C636" s="12"/>
    </row>
    <row r="637">
      <c r="C637" s="12"/>
    </row>
    <row r="638">
      <c r="C638" s="12"/>
    </row>
    <row r="639">
      <c r="C639" s="12"/>
    </row>
    <row r="640">
      <c r="C640" s="12"/>
    </row>
    <row r="641">
      <c r="C641" s="12"/>
    </row>
    <row r="642">
      <c r="C642" s="12"/>
    </row>
    <row r="643">
      <c r="C643" s="12"/>
    </row>
    <row r="644">
      <c r="C644" s="12"/>
    </row>
    <row r="645">
      <c r="C645" s="12"/>
    </row>
    <row r="646">
      <c r="C646" s="12"/>
    </row>
    <row r="647">
      <c r="C647" s="12"/>
    </row>
    <row r="648">
      <c r="C648" s="12"/>
    </row>
    <row r="649">
      <c r="C649" s="12"/>
    </row>
    <row r="650">
      <c r="C650" s="12"/>
    </row>
    <row r="651">
      <c r="C651" s="12"/>
    </row>
    <row r="652">
      <c r="C652" s="12"/>
    </row>
    <row r="653">
      <c r="C653" s="12"/>
    </row>
    <row r="654">
      <c r="C654" s="12"/>
    </row>
    <row r="655">
      <c r="C655" s="12"/>
    </row>
    <row r="656">
      <c r="C656" s="12"/>
    </row>
    <row r="657">
      <c r="C657" s="12"/>
    </row>
    <row r="658">
      <c r="C658" s="12"/>
    </row>
    <row r="659">
      <c r="C659" s="12"/>
    </row>
    <row r="660">
      <c r="C660" s="12"/>
    </row>
    <row r="661">
      <c r="C661" s="12"/>
    </row>
    <row r="662">
      <c r="C662" s="12"/>
    </row>
    <row r="663">
      <c r="C663" s="12"/>
    </row>
    <row r="664">
      <c r="C664" s="12"/>
    </row>
    <row r="665">
      <c r="C665" s="12"/>
    </row>
    <row r="666">
      <c r="C666" s="12"/>
    </row>
    <row r="667">
      <c r="C667" s="12"/>
    </row>
    <row r="668">
      <c r="C668" s="12"/>
    </row>
    <row r="669">
      <c r="C669" s="12"/>
    </row>
    <row r="670">
      <c r="C670" s="12"/>
    </row>
    <row r="671">
      <c r="C671" s="12"/>
    </row>
    <row r="672">
      <c r="C672" s="12"/>
    </row>
    <row r="673">
      <c r="C673" s="12"/>
    </row>
    <row r="674">
      <c r="C674" s="12"/>
    </row>
    <row r="675">
      <c r="C675" s="12"/>
    </row>
    <row r="676">
      <c r="C676" s="12"/>
    </row>
    <row r="677">
      <c r="C677" s="12"/>
    </row>
    <row r="678">
      <c r="C678" s="12"/>
    </row>
    <row r="679">
      <c r="C679" s="12"/>
    </row>
    <row r="680">
      <c r="C680" s="12"/>
    </row>
    <row r="681">
      <c r="C681" s="12"/>
    </row>
    <row r="682">
      <c r="C682" s="12"/>
    </row>
    <row r="683">
      <c r="C683" s="12"/>
    </row>
    <row r="684">
      <c r="C684" s="12"/>
    </row>
    <row r="685">
      <c r="C685" s="12"/>
    </row>
    <row r="686">
      <c r="C686" s="12"/>
    </row>
    <row r="687">
      <c r="C687" s="12"/>
    </row>
    <row r="688">
      <c r="C688" s="12"/>
    </row>
    <row r="689">
      <c r="C689" s="12"/>
    </row>
    <row r="690">
      <c r="C690" s="12"/>
    </row>
    <row r="691">
      <c r="C691" s="12"/>
    </row>
    <row r="692">
      <c r="C692" s="12"/>
    </row>
    <row r="693">
      <c r="C693" s="12"/>
    </row>
    <row r="694">
      <c r="C694" s="12"/>
    </row>
    <row r="695">
      <c r="C695" s="12"/>
    </row>
    <row r="696">
      <c r="C696" s="12"/>
    </row>
    <row r="697">
      <c r="C697" s="12"/>
    </row>
    <row r="698">
      <c r="C698" s="12"/>
    </row>
    <row r="699">
      <c r="C699" s="12"/>
    </row>
    <row r="700">
      <c r="C700" s="12"/>
    </row>
    <row r="701">
      <c r="C701" s="12"/>
    </row>
    <row r="702">
      <c r="C702" s="12"/>
    </row>
    <row r="703">
      <c r="C703" s="12"/>
    </row>
    <row r="704">
      <c r="C704" s="12"/>
    </row>
    <row r="705">
      <c r="C705" s="12"/>
    </row>
    <row r="706">
      <c r="C706" s="12"/>
    </row>
    <row r="707">
      <c r="C707" s="12"/>
    </row>
    <row r="708">
      <c r="C708" s="12"/>
    </row>
    <row r="709">
      <c r="C709" s="12"/>
    </row>
    <row r="710">
      <c r="C710" s="12"/>
    </row>
    <row r="711">
      <c r="C711" s="12"/>
    </row>
    <row r="712">
      <c r="C712" s="12"/>
    </row>
    <row r="713">
      <c r="C713" s="12"/>
    </row>
    <row r="714">
      <c r="C714" s="12"/>
    </row>
    <row r="715">
      <c r="C715" s="12"/>
    </row>
    <row r="716">
      <c r="C716" s="12"/>
    </row>
    <row r="717">
      <c r="C717" s="12"/>
    </row>
    <row r="718">
      <c r="C718" s="12"/>
    </row>
    <row r="719">
      <c r="C719" s="12"/>
    </row>
    <row r="720">
      <c r="C720" s="12"/>
    </row>
    <row r="721">
      <c r="C721" s="12"/>
    </row>
    <row r="722">
      <c r="C722" s="12"/>
    </row>
    <row r="723">
      <c r="C723" s="12"/>
    </row>
    <row r="724">
      <c r="C724" s="12"/>
    </row>
    <row r="725">
      <c r="C725" s="12"/>
    </row>
    <row r="726">
      <c r="C726" s="12"/>
    </row>
    <row r="727">
      <c r="C727" s="12"/>
    </row>
    <row r="728">
      <c r="C728" s="12"/>
    </row>
    <row r="729">
      <c r="C729" s="12"/>
    </row>
    <row r="730">
      <c r="C730" s="12"/>
    </row>
    <row r="731">
      <c r="C731" s="12"/>
    </row>
    <row r="732">
      <c r="C732" s="12"/>
    </row>
    <row r="733">
      <c r="C733" s="12"/>
    </row>
    <row r="734">
      <c r="C734" s="12"/>
    </row>
    <row r="735">
      <c r="C735" s="12"/>
    </row>
    <row r="736">
      <c r="C736" s="12"/>
    </row>
    <row r="737">
      <c r="C737" s="12"/>
    </row>
    <row r="738">
      <c r="C738" s="12"/>
    </row>
    <row r="739">
      <c r="C739" s="12"/>
    </row>
    <row r="740">
      <c r="C740" s="12"/>
    </row>
    <row r="741">
      <c r="C741" s="12"/>
    </row>
    <row r="742">
      <c r="C742" s="12"/>
    </row>
    <row r="743">
      <c r="C743" s="12"/>
    </row>
    <row r="744">
      <c r="C744" s="12"/>
    </row>
    <row r="745">
      <c r="C745" s="12"/>
    </row>
    <row r="746">
      <c r="C746" s="12"/>
    </row>
    <row r="747">
      <c r="C747" s="12"/>
    </row>
    <row r="748">
      <c r="C748" s="12"/>
    </row>
    <row r="749">
      <c r="C749" s="12"/>
    </row>
    <row r="750">
      <c r="C750" s="12"/>
    </row>
    <row r="751">
      <c r="C751" s="12"/>
    </row>
    <row r="752">
      <c r="C752" s="12"/>
    </row>
    <row r="753">
      <c r="C753" s="12"/>
    </row>
    <row r="754">
      <c r="C754" s="12"/>
    </row>
    <row r="755">
      <c r="C755" s="12"/>
    </row>
    <row r="756">
      <c r="C756" s="12"/>
    </row>
    <row r="757">
      <c r="C757" s="12"/>
    </row>
    <row r="758">
      <c r="C758" s="12"/>
    </row>
    <row r="759">
      <c r="C759" s="12"/>
    </row>
    <row r="760">
      <c r="C760" s="12"/>
    </row>
    <row r="761">
      <c r="C761" s="12"/>
    </row>
    <row r="762">
      <c r="C762" s="12"/>
    </row>
    <row r="763">
      <c r="C763" s="12"/>
    </row>
    <row r="764">
      <c r="C764" s="12"/>
    </row>
    <row r="765">
      <c r="C765" s="12"/>
    </row>
    <row r="766">
      <c r="C766" s="12"/>
    </row>
    <row r="767">
      <c r="C767" s="12"/>
    </row>
    <row r="768">
      <c r="C768" s="12"/>
    </row>
    <row r="769">
      <c r="C769" s="12"/>
    </row>
    <row r="770">
      <c r="C770" s="12"/>
    </row>
    <row r="771">
      <c r="C771" s="12"/>
    </row>
    <row r="772">
      <c r="C772" s="12"/>
    </row>
    <row r="773">
      <c r="C773" s="12"/>
    </row>
    <row r="774">
      <c r="C774" s="12"/>
    </row>
    <row r="775">
      <c r="C775" s="12"/>
    </row>
    <row r="776">
      <c r="C776" s="12"/>
    </row>
    <row r="777">
      <c r="C777" s="12"/>
    </row>
    <row r="778">
      <c r="C778" s="12"/>
    </row>
    <row r="779">
      <c r="C779" s="12"/>
    </row>
    <row r="780">
      <c r="C780" s="12"/>
    </row>
    <row r="781">
      <c r="C781" s="12"/>
    </row>
    <row r="782">
      <c r="C782" s="12"/>
    </row>
    <row r="783">
      <c r="C783" s="12"/>
    </row>
    <row r="784">
      <c r="C784" s="12"/>
    </row>
    <row r="785">
      <c r="C785" s="12"/>
    </row>
    <row r="786">
      <c r="C786" s="12"/>
    </row>
    <row r="787">
      <c r="C787" s="12"/>
    </row>
    <row r="788">
      <c r="C788" s="12"/>
    </row>
    <row r="789">
      <c r="C789" s="12"/>
    </row>
    <row r="790">
      <c r="C790" s="12"/>
    </row>
    <row r="791">
      <c r="C791" s="12"/>
    </row>
    <row r="792">
      <c r="C792" s="12"/>
    </row>
    <row r="793">
      <c r="C793" s="12"/>
    </row>
    <row r="794">
      <c r="C794" s="12"/>
    </row>
    <row r="795">
      <c r="C795" s="12"/>
    </row>
    <row r="796">
      <c r="C796" s="12"/>
    </row>
    <row r="797">
      <c r="C797" s="12"/>
    </row>
    <row r="798">
      <c r="C798" s="12"/>
    </row>
    <row r="799">
      <c r="C799" s="12"/>
    </row>
    <row r="800">
      <c r="C800" s="12"/>
    </row>
    <row r="801">
      <c r="C801" s="12"/>
    </row>
    <row r="802">
      <c r="C802" s="12"/>
    </row>
    <row r="803">
      <c r="C803" s="12"/>
    </row>
    <row r="804">
      <c r="C804" s="12"/>
    </row>
    <row r="805">
      <c r="C805" s="12"/>
    </row>
    <row r="806">
      <c r="C806" s="12"/>
    </row>
    <row r="807">
      <c r="C807" s="12"/>
    </row>
    <row r="808">
      <c r="C808" s="12"/>
    </row>
    <row r="809">
      <c r="C809" s="12"/>
    </row>
    <row r="810">
      <c r="C810" s="12"/>
    </row>
    <row r="811">
      <c r="C811" s="12"/>
    </row>
    <row r="812">
      <c r="C812" s="12"/>
    </row>
    <row r="813">
      <c r="C813" s="12"/>
    </row>
    <row r="814">
      <c r="C814" s="12"/>
    </row>
    <row r="815">
      <c r="C815" s="12"/>
    </row>
    <row r="816">
      <c r="C816" s="12"/>
    </row>
    <row r="817">
      <c r="C817" s="12"/>
    </row>
    <row r="818">
      <c r="C818" s="12"/>
    </row>
    <row r="819">
      <c r="C819" s="12"/>
    </row>
    <row r="820">
      <c r="C820" s="12"/>
    </row>
    <row r="821">
      <c r="C821" s="12"/>
    </row>
    <row r="822">
      <c r="C822" s="12"/>
    </row>
    <row r="823">
      <c r="C823" s="12"/>
    </row>
    <row r="824">
      <c r="C824" s="12"/>
    </row>
    <row r="825">
      <c r="C825" s="12"/>
    </row>
    <row r="826">
      <c r="C826" s="12"/>
    </row>
    <row r="827">
      <c r="C827" s="12"/>
    </row>
    <row r="828">
      <c r="C828" s="12"/>
    </row>
    <row r="829">
      <c r="C829" s="12"/>
    </row>
    <row r="830">
      <c r="C830" s="12"/>
    </row>
    <row r="831">
      <c r="C831" s="12"/>
    </row>
    <row r="832">
      <c r="C832" s="12"/>
    </row>
    <row r="833">
      <c r="C833" s="12"/>
    </row>
    <row r="834">
      <c r="C834" s="12"/>
    </row>
    <row r="835">
      <c r="C835" s="12"/>
    </row>
    <row r="836">
      <c r="C836" s="12"/>
    </row>
    <row r="837">
      <c r="C837" s="12"/>
    </row>
    <row r="838">
      <c r="C838" s="12"/>
    </row>
    <row r="839">
      <c r="C839" s="12"/>
    </row>
    <row r="840">
      <c r="C840" s="12"/>
    </row>
    <row r="841">
      <c r="C841" s="12"/>
    </row>
    <row r="842">
      <c r="C842" s="12"/>
    </row>
    <row r="843">
      <c r="C843" s="12"/>
    </row>
    <row r="844">
      <c r="C844" s="12"/>
    </row>
    <row r="845">
      <c r="C845" s="12"/>
    </row>
    <row r="846">
      <c r="C846" s="12"/>
    </row>
    <row r="847">
      <c r="C847" s="12"/>
    </row>
    <row r="848">
      <c r="C848" s="12"/>
    </row>
    <row r="849">
      <c r="C849" s="12"/>
    </row>
    <row r="850">
      <c r="C850" s="12"/>
    </row>
    <row r="851">
      <c r="C851" s="12"/>
    </row>
    <row r="852">
      <c r="C852" s="12"/>
    </row>
    <row r="853">
      <c r="C853" s="12"/>
    </row>
    <row r="854">
      <c r="C854" s="12"/>
    </row>
    <row r="855">
      <c r="C855" s="12"/>
    </row>
    <row r="856">
      <c r="C856" s="12"/>
    </row>
    <row r="857">
      <c r="C857" s="12"/>
    </row>
    <row r="858">
      <c r="C858" s="12"/>
    </row>
    <row r="859">
      <c r="C859" s="12"/>
    </row>
    <row r="860">
      <c r="C860" s="12"/>
    </row>
    <row r="861">
      <c r="C861" s="12"/>
    </row>
    <row r="862">
      <c r="C862" s="12"/>
    </row>
    <row r="863">
      <c r="C863" s="12"/>
    </row>
    <row r="864">
      <c r="C864" s="12"/>
    </row>
    <row r="865">
      <c r="C865" s="12"/>
    </row>
    <row r="866">
      <c r="C866" s="12"/>
    </row>
    <row r="867">
      <c r="C867" s="12"/>
    </row>
    <row r="868">
      <c r="C868" s="12"/>
    </row>
    <row r="869">
      <c r="C869" s="12"/>
    </row>
    <row r="870">
      <c r="C870" s="12"/>
    </row>
    <row r="871">
      <c r="C871" s="12"/>
    </row>
    <row r="872">
      <c r="C872" s="12"/>
    </row>
    <row r="873">
      <c r="C873" s="12"/>
    </row>
    <row r="874">
      <c r="C874" s="12"/>
    </row>
    <row r="875">
      <c r="C875" s="12"/>
    </row>
    <row r="876">
      <c r="C876" s="12"/>
    </row>
    <row r="877">
      <c r="C877" s="12"/>
    </row>
    <row r="878">
      <c r="C878" s="12"/>
    </row>
    <row r="879">
      <c r="C879" s="12"/>
    </row>
    <row r="880">
      <c r="C880" s="12"/>
    </row>
    <row r="881">
      <c r="C881" s="12"/>
    </row>
    <row r="882">
      <c r="C882" s="12"/>
    </row>
    <row r="883">
      <c r="C883" s="12"/>
    </row>
    <row r="884">
      <c r="C884" s="12"/>
    </row>
    <row r="885">
      <c r="C885" s="12"/>
    </row>
    <row r="886">
      <c r="C886" s="12"/>
    </row>
    <row r="887">
      <c r="C887" s="12"/>
    </row>
    <row r="888">
      <c r="C888" s="12"/>
    </row>
    <row r="889">
      <c r="C889" s="12"/>
    </row>
    <row r="890">
      <c r="C890" s="12"/>
    </row>
    <row r="891">
      <c r="C891" s="12"/>
    </row>
    <row r="892">
      <c r="C892" s="12"/>
    </row>
    <row r="893">
      <c r="C893" s="12"/>
    </row>
    <row r="894">
      <c r="C894" s="12"/>
    </row>
    <row r="895">
      <c r="C895" s="12"/>
    </row>
    <row r="896">
      <c r="C896" s="12"/>
    </row>
    <row r="897">
      <c r="C897" s="12"/>
    </row>
    <row r="898">
      <c r="C898" s="12"/>
    </row>
    <row r="899">
      <c r="C899" s="12"/>
    </row>
    <row r="900">
      <c r="C900" s="12"/>
    </row>
    <row r="901">
      <c r="C901" s="12"/>
    </row>
    <row r="902">
      <c r="C902" s="12"/>
    </row>
    <row r="903">
      <c r="C903" s="12"/>
    </row>
    <row r="904">
      <c r="C904" s="12"/>
    </row>
    <row r="905">
      <c r="C905" s="12"/>
    </row>
    <row r="906">
      <c r="C906" s="12"/>
    </row>
    <row r="907">
      <c r="C907" s="12"/>
    </row>
    <row r="908">
      <c r="C908" s="12"/>
    </row>
    <row r="909">
      <c r="C909" s="12"/>
    </row>
    <row r="910">
      <c r="C910" s="12"/>
    </row>
    <row r="911">
      <c r="C911" s="12"/>
    </row>
    <row r="912">
      <c r="C912" s="12"/>
    </row>
    <row r="913">
      <c r="C913" s="12"/>
    </row>
    <row r="914">
      <c r="C914" s="12"/>
    </row>
    <row r="915">
      <c r="C915" s="12"/>
    </row>
    <row r="916">
      <c r="C916" s="12"/>
    </row>
    <row r="917">
      <c r="C917" s="12"/>
    </row>
    <row r="918">
      <c r="C918" s="12"/>
    </row>
    <row r="919">
      <c r="C919" s="12"/>
    </row>
    <row r="920">
      <c r="C920" s="12"/>
    </row>
    <row r="921">
      <c r="C921" s="12"/>
    </row>
    <row r="922">
      <c r="C922" s="12"/>
    </row>
    <row r="923">
      <c r="C923" s="12"/>
    </row>
    <row r="924">
      <c r="C924" s="12"/>
    </row>
    <row r="925">
      <c r="C925" s="12"/>
    </row>
    <row r="926">
      <c r="C926" s="12"/>
    </row>
    <row r="927">
      <c r="C927" s="12"/>
    </row>
    <row r="928">
      <c r="C928" s="12"/>
    </row>
    <row r="929">
      <c r="C929" s="12"/>
    </row>
    <row r="930">
      <c r="C930" s="12"/>
    </row>
    <row r="931">
      <c r="C931" s="12"/>
    </row>
    <row r="932">
      <c r="C932" s="12"/>
    </row>
    <row r="933">
      <c r="C933" s="12"/>
    </row>
    <row r="934">
      <c r="C934" s="12"/>
    </row>
    <row r="935">
      <c r="C935" s="12"/>
    </row>
    <row r="936">
      <c r="C936" s="12"/>
    </row>
    <row r="937">
      <c r="C937" s="12"/>
    </row>
    <row r="938">
      <c r="C938" s="12"/>
    </row>
    <row r="939">
      <c r="C939" s="12"/>
    </row>
    <row r="940">
      <c r="C940" s="12"/>
    </row>
    <row r="941">
      <c r="C941" s="12"/>
    </row>
    <row r="942">
      <c r="C942" s="12"/>
    </row>
    <row r="943">
      <c r="C943" s="12"/>
    </row>
    <row r="944">
      <c r="C944" s="12"/>
    </row>
    <row r="945">
      <c r="C945" s="12"/>
    </row>
    <row r="946">
      <c r="C946" s="12"/>
    </row>
    <row r="947">
      <c r="C947" s="12"/>
    </row>
    <row r="948">
      <c r="C948" s="12"/>
    </row>
    <row r="949">
      <c r="C949" s="12"/>
    </row>
    <row r="950">
      <c r="C950" s="12"/>
    </row>
    <row r="951">
      <c r="C951" s="12"/>
    </row>
    <row r="952">
      <c r="C952" s="12"/>
    </row>
    <row r="953">
      <c r="C953" s="12"/>
    </row>
    <row r="954">
      <c r="C954" s="12"/>
    </row>
    <row r="955">
      <c r="C955" s="12"/>
    </row>
    <row r="956">
      <c r="C956" s="12"/>
    </row>
    <row r="957">
      <c r="C957" s="12"/>
    </row>
    <row r="958">
      <c r="C958" s="12"/>
    </row>
    <row r="959">
      <c r="C959" s="12"/>
    </row>
    <row r="960">
      <c r="C960" s="12"/>
    </row>
    <row r="961">
      <c r="C961" s="12"/>
    </row>
    <row r="962">
      <c r="C962" s="12"/>
    </row>
    <row r="963">
      <c r="C963" s="12"/>
    </row>
    <row r="964">
      <c r="C964" s="12"/>
    </row>
    <row r="965">
      <c r="C965" s="12"/>
    </row>
    <row r="966">
      <c r="C966" s="12"/>
    </row>
    <row r="967">
      <c r="C967" s="12"/>
    </row>
    <row r="968">
      <c r="C968" s="12"/>
    </row>
    <row r="969">
      <c r="C969" s="12"/>
    </row>
    <row r="970">
      <c r="C970" s="12"/>
    </row>
    <row r="971">
      <c r="C971" s="12"/>
    </row>
    <row r="972">
      <c r="C972" s="12"/>
    </row>
    <row r="973">
      <c r="C973" s="12"/>
    </row>
    <row r="974">
      <c r="C974" s="12"/>
    </row>
    <row r="975">
      <c r="C975" s="12"/>
    </row>
    <row r="976">
      <c r="C976" s="12"/>
    </row>
    <row r="977">
      <c r="C977" s="12"/>
    </row>
    <row r="978">
      <c r="C978" s="12"/>
    </row>
    <row r="979">
      <c r="C979" s="12"/>
    </row>
    <row r="980">
      <c r="C980" s="12"/>
    </row>
    <row r="981">
      <c r="C981" s="12"/>
    </row>
    <row r="982">
      <c r="C982" s="12"/>
    </row>
    <row r="983">
      <c r="C983" s="12"/>
    </row>
    <row r="984">
      <c r="C984" s="12"/>
    </row>
    <row r="985">
      <c r="C985" s="12"/>
    </row>
    <row r="986">
      <c r="C986" s="12"/>
    </row>
    <row r="987">
      <c r="C987" s="12"/>
    </row>
    <row r="988">
      <c r="C988" s="12"/>
    </row>
    <row r="989">
      <c r="C989" s="12"/>
    </row>
    <row r="990">
      <c r="C990" s="12"/>
    </row>
    <row r="991">
      <c r="C991" s="12"/>
    </row>
    <row r="992">
      <c r="C992" s="12"/>
    </row>
    <row r="993">
      <c r="C993" s="12"/>
    </row>
    <row r="994">
      <c r="C994" s="12"/>
    </row>
    <row r="995">
      <c r="C995" s="12"/>
    </row>
    <row r="996">
      <c r="C996" s="12"/>
    </row>
    <row r="997">
      <c r="C997" s="12"/>
    </row>
    <row r="998">
      <c r="C998" s="12"/>
    </row>
    <row r="999">
      <c r="C999" s="12"/>
    </row>
    <row r="1000">
      <c r="C1000" s="12"/>
    </row>
  </sheetData>
  <autoFilter ref="$A$1:$C$1000"/>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71"/>
  </cols>
  <sheetData>
    <row r="2">
      <c r="A2" s="2" t="str">
        <f>IFERROR(__xludf.DUMMYFUNCTION("IMPORTHTML(""https://www.worldometers.info/coronavirus/country/us/"",""table"",1)"),"USA
State")</f>
        <v>USA
State</v>
      </c>
      <c r="B2" s="2" t="str">
        <f>IFERROR(__xludf.DUMMYFUNCTION("""COMPUTED_VALUE"""),"Total
Cases")</f>
        <v>Total
Cases</v>
      </c>
      <c r="C2" s="2" t="str">
        <f>IFERROR(__xludf.DUMMYFUNCTION("""COMPUTED_VALUE"""),"New
Cases")</f>
        <v>New
Cases</v>
      </c>
      <c r="D2" s="2" t="str">
        <f>IFERROR(__xludf.DUMMYFUNCTION("""COMPUTED_VALUE"""),"Total
Deaths")</f>
        <v>Total
Deaths</v>
      </c>
      <c r="E2" s="2" t="str">
        <f>IFERROR(__xludf.DUMMYFUNCTION("""COMPUTED_VALUE"""),"New
Deaths")</f>
        <v>New
Deaths</v>
      </c>
      <c r="F2" s="2" t="str">
        <f>IFERROR(__xludf.DUMMYFUNCTION("""COMPUTED_VALUE"""),"Active
Cases")</f>
        <v>Active
Cases</v>
      </c>
      <c r="G2" s="2" t="str">
        <f>IFERROR(__xludf.DUMMYFUNCTION("""COMPUTED_VALUE"""),"Tot Cases/
1M pop")</f>
        <v>Tot Cases/
1M pop</v>
      </c>
      <c r="H2" s="2" t="str">
        <f>IFERROR(__xludf.DUMMYFUNCTION("""COMPUTED_VALUE"""),"Deaths/
1M pop")</f>
        <v>Deaths/
1M pop</v>
      </c>
      <c r="I2" s="2" t="str">
        <f>IFERROR(__xludf.DUMMYFUNCTION("""COMPUTED_VALUE"""),"Total
Tests")</f>
        <v>Total
Tests</v>
      </c>
      <c r="J2" s="2" t="str">
        <f>IFERROR(__xludf.DUMMYFUNCTION("""COMPUTED_VALUE"""),"Tests/
1M pop")</f>
        <v>Tests/
1M pop</v>
      </c>
      <c r="K2" s="2" t="str">
        <f>IFERROR(__xludf.DUMMYFUNCTION("""COMPUTED_VALUE"""),"Source")</f>
        <v>Source</v>
      </c>
      <c r="L2" s="2" t="str">
        <f>IFERROR(__xludf.DUMMYFUNCTION("""COMPUTED_VALUE"""),"Projections")</f>
        <v>Projections</v>
      </c>
    </row>
    <row r="3">
      <c r="A3" s="2" t="str">
        <f>IFERROR(__xludf.DUMMYFUNCTION("""COMPUTED_VALUE"""),"USA Total")</f>
        <v>USA Total</v>
      </c>
      <c r="B3" s="11">
        <f>IFERROR(__xludf.DUMMYFUNCTION("""COMPUTED_VALUE"""),1238459.0)</f>
        <v>1238459</v>
      </c>
      <c r="C3" s="2" t="str">
        <f>IFERROR(__xludf.DUMMYFUNCTION("""COMPUTED_VALUE"""),"+826")</f>
        <v>+826</v>
      </c>
      <c r="D3" s="11">
        <f>IFERROR(__xludf.DUMMYFUNCTION("""COMPUTED_VALUE"""),72285.0)</f>
        <v>72285</v>
      </c>
      <c r="E3" s="2" t="str">
        <f>IFERROR(__xludf.DUMMYFUNCTION("""COMPUTED_VALUE"""),"+14")</f>
        <v>+14</v>
      </c>
      <c r="F3" s="11">
        <f>IFERROR(__xludf.DUMMYFUNCTION("""COMPUTED_VALUE"""),965163.0)</f>
        <v>965163</v>
      </c>
      <c r="G3" s="11">
        <f>IFERROR(__xludf.DUMMYFUNCTION("""COMPUTED_VALUE"""),3742.0)</f>
        <v>3742</v>
      </c>
      <c r="H3" s="2">
        <f>IFERROR(__xludf.DUMMYFUNCTION("""COMPUTED_VALUE"""),218.0)</f>
        <v>218</v>
      </c>
      <c r="I3" s="11">
        <f>IFERROR(__xludf.DUMMYFUNCTION("""COMPUTED_VALUE"""),7727938.0)</f>
        <v>7727938</v>
      </c>
      <c r="J3" s="11">
        <f>IFERROR(__xludf.DUMMYFUNCTION("""COMPUTED_VALUE"""),23347.0)</f>
        <v>23347</v>
      </c>
      <c r="K3" s="2" t="str">
        <f>IFERROR(__xludf.DUMMYFUNCTION("""COMPUTED_VALUE"""),"")</f>
        <v/>
      </c>
      <c r="L3" s="2" t="str">
        <f>IFERROR(__xludf.DUMMYFUNCTION("""COMPUTED_VALUE"""),"")</f>
        <v/>
      </c>
    </row>
    <row r="4">
      <c r="A4" s="2" t="str">
        <f>IFERROR(__xludf.DUMMYFUNCTION("""COMPUTED_VALUE"""),"New York")</f>
        <v>New York</v>
      </c>
      <c r="B4" s="11">
        <f>IFERROR(__xludf.DUMMYFUNCTION("""COMPUTED_VALUE"""),330139.0)</f>
        <v>330139</v>
      </c>
      <c r="C4" s="2" t="str">
        <f>IFERROR(__xludf.DUMMYFUNCTION("""COMPUTED_VALUE"""),"")</f>
        <v/>
      </c>
      <c r="D4" s="11">
        <f>IFERROR(__xludf.DUMMYFUNCTION("""COMPUTED_VALUE"""),25204.0)</f>
        <v>25204</v>
      </c>
      <c r="E4" s="2" t="str">
        <f>IFERROR(__xludf.DUMMYFUNCTION("""COMPUTED_VALUE"""),"")</f>
        <v/>
      </c>
      <c r="F4" s="11">
        <f>IFERROR(__xludf.DUMMYFUNCTION("""COMPUTED_VALUE"""),251204.0)</f>
        <v>251204</v>
      </c>
      <c r="G4" s="11">
        <f>IFERROR(__xludf.DUMMYFUNCTION("""COMPUTED_VALUE"""),16828.0)</f>
        <v>16828</v>
      </c>
      <c r="H4" s="11">
        <f>IFERROR(__xludf.DUMMYFUNCTION("""COMPUTED_VALUE"""),1285.0)</f>
        <v>1285</v>
      </c>
      <c r="I4" s="11">
        <f>IFERROR(__xludf.DUMMYFUNCTION("""COMPUTED_VALUE"""),1028899.0)</f>
        <v>1028899</v>
      </c>
      <c r="J4" s="11">
        <f>IFERROR(__xludf.DUMMYFUNCTION("""COMPUTED_VALUE"""),52445.0)</f>
        <v>52445</v>
      </c>
      <c r="K4" s="2" t="str">
        <f>IFERROR(__xludf.DUMMYFUNCTION("""COMPUTED_VALUE"""),"[1] [2] [3] [4] [5] [6] [7] [8] [9] [10]")</f>
        <v>[1] [2] [3] [4] [5] [6] [7] [8] [9] [10]</v>
      </c>
      <c r="L4" s="2" t="str">
        <f>IFERROR(__xludf.DUMMYFUNCTION("""COMPUTED_VALUE"""),"[projections]")</f>
        <v>[projections]</v>
      </c>
    </row>
    <row r="5">
      <c r="A5" s="2" t="str">
        <f>IFERROR(__xludf.DUMMYFUNCTION("""COMPUTED_VALUE"""),"New Jersey")</f>
        <v>New Jersey</v>
      </c>
      <c r="B5" s="11">
        <f>IFERROR(__xludf.DUMMYFUNCTION("""COMPUTED_VALUE"""),131705.0)</f>
        <v>131705</v>
      </c>
      <c r="C5" s="2" t="str">
        <f>IFERROR(__xludf.DUMMYFUNCTION("""COMPUTED_VALUE"""),"")</f>
        <v/>
      </c>
      <c r="D5" s="11">
        <f>IFERROR(__xludf.DUMMYFUNCTION("""COMPUTED_VALUE"""),8292.0)</f>
        <v>8292</v>
      </c>
      <c r="E5" s="2" t="str">
        <f>IFERROR(__xludf.DUMMYFUNCTION("""COMPUTED_VALUE"""),"")</f>
        <v/>
      </c>
      <c r="F5" s="11">
        <f>IFERROR(__xludf.DUMMYFUNCTION("""COMPUTED_VALUE"""),122142.0)</f>
        <v>122142</v>
      </c>
      <c r="G5" s="11">
        <f>IFERROR(__xludf.DUMMYFUNCTION("""COMPUTED_VALUE"""),14829.0)</f>
        <v>14829</v>
      </c>
      <c r="H5" s="2">
        <f>IFERROR(__xludf.DUMMYFUNCTION("""COMPUTED_VALUE"""),934.0)</f>
        <v>934</v>
      </c>
      <c r="I5" s="11">
        <f>IFERROR(__xludf.DUMMYFUNCTION("""COMPUTED_VALUE"""),286207.0)</f>
        <v>286207</v>
      </c>
      <c r="J5" s="11">
        <f>IFERROR(__xludf.DUMMYFUNCTION("""COMPUTED_VALUE"""),32224.0)</f>
        <v>32224</v>
      </c>
      <c r="K5" s="2" t="str">
        <f>IFERROR(__xludf.DUMMYFUNCTION("""COMPUTED_VALUE"""),"[view by county] [1]")</f>
        <v>[view by county] [1]</v>
      </c>
      <c r="L5" s="2" t="str">
        <f>IFERROR(__xludf.DUMMYFUNCTION("""COMPUTED_VALUE"""),"[projections]")</f>
        <v>[projections]</v>
      </c>
    </row>
    <row r="6">
      <c r="A6" s="2" t="str">
        <f>IFERROR(__xludf.DUMMYFUNCTION("""COMPUTED_VALUE"""),"Massachusetts")</f>
        <v>Massachusetts</v>
      </c>
      <c r="B6" s="11">
        <f>IFERROR(__xludf.DUMMYFUNCTION("""COMPUTED_VALUE"""),70271.0)</f>
        <v>70271</v>
      </c>
      <c r="C6" s="2" t="str">
        <f>IFERROR(__xludf.DUMMYFUNCTION("""COMPUTED_VALUE"""),"")</f>
        <v/>
      </c>
      <c r="D6" s="11">
        <f>IFERROR(__xludf.DUMMYFUNCTION("""COMPUTED_VALUE"""),4212.0)</f>
        <v>4212</v>
      </c>
      <c r="E6" s="2" t="str">
        <f>IFERROR(__xludf.DUMMYFUNCTION("""COMPUTED_VALUE"""),"")</f>
        <v/>
      </c>
      <c r="F6" s="11">
        <f>IFERROR(__xludf.DUMMYFUNCTION("""COMPUTED_VALUE"""),57941.0)</f>
        <v>57941</v>
      </c>
      <c r="G6" s="11">
        <f>IFERROR(__xludf.DUMMYFUNCTION("""COMPUTED_VALUE"""),10288.0)</f>
        <v>10288</v>
      </c>
      <c r="H6" s="2">
        <f>IFERROR(__xludf.DUMMYFUNCTION("""COMPUTED_VALUE"""),617.0)</f>
        <v>617</v>
      </c>
      <c r="I6" s="11">
        <f>IFERROR(__xludf.DUMMYFUNCTION("""COMPUTED_VALUE"""),333349.0)</f>
        <v>333349</v>
      </c>
      <c r="J6" s="11">
        <f>IFERROR(__xludf.DUMMYFUNCTION("""COMPUTED_VALUE"""),48805.0)</f>
        <v>48805</v>
      </c>
      <c r="K6" s="2" t="str">
        <f>IFERROR(__xludf.DUMMYFUNCTION("""COMPUTED_VALUE"""),"[1] [2]")</f>
        <v>[1] [2]</v>
      </c>
      <c r="L6" s="2" t="str">
        <f>IFERROR(__xludf.DUMMYFUNCTION("""COMPUTED_VALUE"""),"[projections]")</f>
        <v>[projections]</v>
      </c>
    </row>
    <row r="7">
      <c r="A7" s="2" t="str">
        <f>IFERROR(__xludf.DUMMYFUNCTION("""COMPUTED_VALUE"""),"Illinois")</f>
        <v>Illinois</v>
      </c>
      <c r="B7" s="11">
        <f>IFERROR(__xludf.DUMMYFUNCTION("""COMPUTED_VALUE"""),65962.0)</f>
        <v>65962</v>
      </c>
      <c r="C7" s="2" t="str">
        <f>IFERROR(__xludf.DUMMYFUNCTION("""COMPUTED_VALUE"""),"")</f>
        <v/>
      </c>
      <c r="D7" s="11">
        <f>IFERROR(__xludf.DUMMYFUNCTION("""COMPUTED_VALUE"""),2838.0)</f>
        <v>2838</v>
      </c>
      <c r="E7" s="2" t="str">
        <f>IFERROR(__xludf.DUMMYFUNCTION("""COMPUTED_VALUE"""),"")</f>
        <v/>
      </c>
      <c r="F7" s="11">
        <f>IFERROR(__xludf.DUMMYFUNCTION("""COMPUTED_VALUE"""),62479.0)</f>
        <v>62479</v>
      </c>
      <c r="G7" s="11">
        <f>IFERROR(__xludf.DUMMYFUNCTION("""COMPUTED_VALUE"""),5145.0)</f>
        <v>5145</v>
      </c>
      <c r="H7" s="2">
        <f>IFERROR(__xludf.DUMMYFUNCTION("""COMPUTED_VALUE"""),221.0)</f>
        <v>221</v>
      </c>
      <c r="I7" s="11">
        <f>IFERROR(__xludf.DUMMYFUNCTION("""COMPUTED_VALUE"""),346286.0)</f>
        <v>346286</v>
      </c>
      <c r="J7" s="11">
        <f>IFERROR(__xludf.DUMMYFUNCTION("""COMPUTED_VALUE"""),27008.0)</f>
        <v>27008</v>
      </c>
      <c r="K7" s="2" t="str">
        <f>IFERROR(__xludf.DUMMYFUNCTION("""COMPUTED_VALUE"""),"[1] [2] [3] [4]")</f>
        <v>[1] [2] [3] [4]</v>
      </c>
      <c r="L7" s="2" t="str">
        <f>IFERROR(__xludf.DUMMYFUNCTION("""COMPUTED_VALUE"""),"[projections]")</f>
        <v>[projections]</v>
      </c>
    </row>
    <row r="8">
      <c r="A8" s="2" t="str">
        <f>IFERROR(__xludf.DUMMYFUNCTION("""COMPUTED_VALUE"""),"California")</f>
        <v>California</v>
      </c>
      <c r="B8" s="11">
        <f>IFERROR(__xludf.DUMMYFUNCTION("""COMPUTED_VALUE"""),58724.0)</f>
        <v>58724</v>
      </c>
      <c r="C8" s="2" t="str">
        <f>IFERROR(__xludf.DUMMYFUNCTION("""COMPUTED_VALUE"""),"+99")</f>
        <v>+99</v>
      </c>
      <c r="D8" s="11">
        <f>IFERROR(__xludf.DUMMYFUNCTION("""COMPUTED_VALUE"""),2379.0)</f>
        <v>2379</v>
      </c>
      <c r="E8" s="2" t="str">
        <f>IFERROR(__xludf.DUMMYFUNCTION("""COMPUTED_VALUE"""),"+3")</f>
        <v>+3</v>
      </c>
      <c r="F8" s="11">
        <f>IFERROR(__xludf.DUMMYFUNCTION("""COMPUTED_VALUE"""),48165.0)</f>
        <v>48165</v>
      </c>
      <c r="G8" s="11">
        <f>IFERROR(__xludf.DUMMYFUNCTION("""COMPUTED_VALUE"""),1500.0)</f>
        <v>1500</v>
      </c>
      <c r="H8" s="2">
        <f>IFERROR(__xludf.DUMMYFUNCTION("""COMPUTED_VALUE"""),61.0)</f>
        <v>61</v>
      </c>
      <c r="I8" s="11">
        <f>IFERROR(__xludf.DUMMYFUNCTION("""COMPUTED_VALUE"""),782208.0)</f>
        <v>782208</v>
      </c>
      <c r="J8" s="11">
        <f>IFERROR(__xludf.DUMMYFUNCTION("""COMPUTED_VALUE"""),19980.0)</f>
        <v>19980</v>
      </c>
      <c r="K8" s="2" t="str">
        <f>IFERROR(__xludf.DUMMYFUNCTION("""COMPUTED_VALUE"""),"[view by county] [1]")</f>
        <v>[view by county] [1]</v>
      </c>
      <c r="L8" s="2" t="str">
        <f>IFERROR(__xludf.DUMMYFUNCTION("""COMPUTED_VALUE"""),"[projections]")</f>
        <v>[projections]</v>
      </c>
    </row>
    <row r="9">
      <c r="A9" s="2" t="str">
        <f>IFERROR(__xludf.DUMMYFUNCTION("""COMPUTED_VALUE"""),"Pennsylvania")</f>
        <v>Pennsylvania</v>
      </c>
      <c r="B9" s="11">
        <f>IFERROR(__xludf.DUMMYFUNCTION("""COMPUTED_VALUE"""),53907.0)</f>
        <v>53907</v>
      </c>
      <c r="C9" s="2" t="str">
        <f>IFERROR(__xludf.DUMMYFUNCTION("""COMPUTED_VALUE"""),"")</f>
        <v/>
      </c>
      <c r="D9" s="11">
        <f>IFERROR(__xludf.DUMMYFUNCTION("""COMPUTED_VALUE"""),3196.0)</f>
        <v>3196</v>
      </c>
      <c r="E9" s="2" t="str">
        <f>IFERROR(__xludf.DUMMYFUNCTION("""COMPUTED_VALUE"""),"")</f>
        <v/>
      </c>
      <c r="F9" s="11">
        <f>IFERROR(__xludf.DUMMYFUNCTION("""COMPUTED_VALUE"""),49728.0)</f>
        <v>49728</v>
      </c>
      <c r="G9" s="11">
        <f>IFERROR(__xludf.DUMMYFUNCTION("""COMPUTED_VALUE"""),4214.0)</f>
        <v>4214</v>
      </c>
      <c r="H9" s="2">
        <f>IFERROR(__xludf.DUMMYFUNCTION("""COMPUTED_VALUE"""),250.0)</f>
        <v>250</v>
      </c>
      <c r="I9" s="11">
        <f>IFERROR(__xludf.DUMMYFUNCTION("""COMPUTED_VALUE"""),250882.0)</f>
        <v>250882</v>
      </c>
      <c r="J9" s="11">
        <f>IFERROR(__xludf.DUMMYFUNCTION("""COMPUTED_VALUE"""),19614.0)</f>
        <v>19614</v>
      </c>
      <c r="K9" s="2" t="str">
        <f>IFERROR(__xludf.DUMMYFUNCTION("""COMPUTED_VALUE"""),"[view by county] [1]")</f>
        <v>[view by county] [1]</v>
      </c>
      <c r="L9" s="2" t="str">
        <f>IFERROR(__xludf.DUMMYFUNCTION("""COMPUTED_VALUE"""),"[projections]")</f>
        <v>[projections]</v>
      </c>
    </row>
    <row r="10">
      <c r="A10" s="2" t="str">
        <f>IFERROR(__xludf.DUMMYFUNCTION("""COMPUTED_VALUE"""),"Michigan")</f>
        <v>Michigan</v>
      </c>
      <c r="B10" s="11">
        <f>IFERROR(__xludf.DUMMYFUNCTION("""COMPUTED_VALUE"""),44397.0)</f>
        <v>44397</v>
      </c>
      <c r="C10" s="2" t="str">
        <f>IFERROR(__xludf.DUMMYFUNCTION("""COMPUTED_VALUE"""),"")</f>
        <v/>
      </c>
      <c r="D10" s="11">
        <f>IFERROR(__xludf.DUMMYFUNCTION("""COMPUTED_VALUE"""),4179.0)</f>
        <v>4179</v>
      </c>
      <c r="E10" s="2" t="str">
        <f>IFERROR(__xludf.DUMMYFUNCTION("""COMPUTED_VALUE"""),"")</f>
        <v/>
      </c>
      <c r="F10" s="11">
        <f>IFERROR(__xludf.DUMMYFUNCTION("""COMPUTED_VALUE"""),24559.0)</f>
        <v>24559</v>
      </c>
      <c r="G10" s="11">
        <f>IFERROR(__xludf.DUMMYFUNCTION("""COMPUTED_VALUE"""),4459.0)</f>
        <v>4459</v>
      </c>
      <c r="H10" s="2">
        <f>IFERROR(__xludf.DUMMYFUNCTION("""COMPUTED_VALUE"""),420.0)</f>
        <v>420</v>
      </c>
      <c r="I10" s="11">
        <f>IFERROR(__xludf.DUMMYFUNCTION("""COMPUTED_VALUE"""),229183.0)</f>
        <v>229183</v>
      </c>
      <c r="J10" s="11">
        <f>IFERROR(__xludf.DUMMYFUNCTION("""COMPUTED_VALUE"""),23016.0)</f>
        <v>23016</v>
      </c>
      <c r="K10" s="2" t="str">
        <f>IFERROR(__xludf.DUMMYFUNCTION("""COMPUTED_VALUE"""),"[1] [2] [3]")</f>
        <v>[1] [2] [3]</v>
      </c>
      <c r="L10" s="2" t="str">
        <f>IFERROR(__xludf.DUMMYFUNCTION("""COMPUTED_VALUE"""),"[projections]")</f>
        <v>[projections]</v>
      </c>
    </row>
    <row r="11">
      <c r="A11" s="2" t="str">
        <f>IFERROR(__xludf.DUMMYFUNCTION("""COMPUTED_VALUE"""),"Florida")</f>
        <v>Florida</v>
      </c>
      <c r="B11" s="11">
        <f>IFERROR(__xludf.DUMMYFUNCTION("""COMPUTED_VALUE"""),37439.0)</f>
        <v>37439</v>
      </c>
      <c r="C11" s="2" t="str">
        <f>IFERROR(__xludf.DUMMYFUNCTION("""COMPUTED_VALUE"""),"")</f>
        <v/>
      </c>
      <c r="D11" s="11">
        <f>IFERROR(__xludf.DUMMYFUNCTION("""COMPUTED_VALUE"""),1471.0)</f>
        <v>1471</v>
      </c>
      <c r="E11" s="2" t="str">
        <f>IFERROR(__xludf.DUMMYFUNCTION("""COMPUTED_VALUE"""),"")</f>
        <v/>
      </c>
      <c r="F11" s="11">
        <f>IFERROR(__xludf.DUMMYFUNCTION("""COMPUTED_VALUE"""),35282.0)</f>
        <v>35282</v>
      </c>
      <c r="G11" s="11">
        <f>IFERROR(__xludf.DUMMYFUNCTION("""COMPUTED_VALUE"""),1818.0)</f>
        <v>1818</v>
      </c>
      <c r="H11" s="2">
        <f>IFERROR(__xludf.DUMMYFUNCTION("""COMPUTED_VALUE"""),71.0)</f>
        <v>71</v>
      </c>
      <c r="I11" s="11">
        <f>IFERROR(__xludf.DUMMYFUNCTION("""COMPUTED_VALUE"""),467553.0)</f>
        <v>467553</v>
      </c>
      <c r="J11" s="11">
        <f>IFERROR(__xludf.DUMMYFUNCTION("""COMPUTED_VALUE"""),22699.0)</f>
        <v>22699</v>
      </c>
      <c r="K11" s="2" t="str">
        <f>IFERROR(__xludf.DUMMYFUNCTION("""COMPUTED_VALUE"""),"[view by county] [1]")</f>
        <v>[view by county] [1]</v>
      </c>
      <c r="L11" s="2" t="str">
        <f>IFERROR(__xludf.DUMMYFUNCTION("""COMPUTED_VALUE"""),"[projections]")</f>
        <v>[projections]</v>
      </c>
    </row>
    <row r="12">
      <c r="A12" s="2" t="str">
        <f>IFERROR(__xludf.DUMMYFUNCTION("""COMPUTED_VALUE"""),"Texas")</f>
        <v>Texas</v>
      </c>
      <c r="B12" s="11">
        <f>IFERROR(__xludf.DUMMYFUNCTION("""COMPUTED_VALUE"""),34269.0)</f>
        <v>34269</v>
      </c>
      <c r="C12" s="2" t="str">
        <f>IFERROR(__xludf.DUMMYFUNCTION("""COMPUTED_VALUE"""),"+31")</f>
        <v>+31</v>
      </c>
      <c r="D12" s="2">
        <f>IFERROR(__xludf.DUMMYFUNCTION("""COMPUTED_VALUE"""),961.0)</f>
        <v>961</v>
      </c>
      <c r="E12" s="2" t="str">
        <f>IFERROR(__xludf.DUMMYFUNCTION("""COMPUTED_VALUE"""),"+1")</f>
        <v>+1</v>
      </c>
      <c r="F12" s="11">
        <f>IFERROR(__xludf.DUMMYFUNCTION("""COMPUTED_VALUE"""),16371.0)</f>
        <v>16371</v>
      </c>
      <c r="G12" s="11">
        <f>IFERROR(__xludf.DUMMYFUNCTION("""COMPUTED_VALUE"""),1229.0)</f>
        <v>1229</v>
      </c>
      <c r="H12" s="2">
        <f>IFERROR(__xludf.DUMMYFUNCTION("""COMPUTED_VALUE"""),34.0)</f>
        <v>34</v>
      </c>
      <c r="I12" s="11">
        <f>IFERROR(__xludf.DUMMYFUNCTION("""COMPUTED_VALUE"""),441297.0)</f>
        <v>441297</v>
      </c>
      <c r="J12" s="11">
        <f>IFERROR(__xludf.DUMMYFUNCTION("""COMPUTED_VALUE"""),15825.0)</f>
        <v>15825</v>
      </c>
      <c r="K12" s="2" t="str">
        <f>IFERROR(__xludf.DUMMYFUNCTION("""COMPUTED_VALUE"""),"[view by county]")</f>
        <v>[view by county]</v>
      </c>
      <c r="L12" s="2" t="str">
        <f>IFERROR(__xludf.DUMMYFUNCTION("""COMPUTED_VALUE"""),"[projections]")</f>
        <v>[projections]</v>
      </c>
    </row>
    <row r="13">
      <c r="A13" s="2" t="str">
        <f>IFERROR(__xludf.DUMMYFUNCTION("""COMPUTED_VALUE"""),"Connecticut")</f>
        <v>Connecticut</v>
      </c>
      <c r="B13" s="11">
        <f>IFERROR(__xludf.DUMMYFUNCTION("""COMPUTED_VALUE"""),30621.0)</f>
        <v>30621</v>
      </c>
      <c r="C13" s="2" t="str">
        <f>IFERROR(__xludf.DUMMYFUNCTION("""COMPUTED_VALUE"""),"")</f>
        <v/>
      </c>
      <c r="D13" s="11">
        <f>IFERROR(__xludf.DUMMYFUNCTION("""COMPUTED_VALUE"""),2633.0)</f>
        <v>2633</v>
      </c>
      <c r="E13" s="2" t="str">
        <f>IFERROR(__xludf.DUMMYFUNCTION("""COMPUTED_VALUE"""),"")</f>
        <v/>
      </c>
      <c r="F13" s="11">
        <f>IFERROR(__xludf.DUMMYFUNCTION("""COMPUTED_VALUE"""),27923.0)</f>
        <v>27923</v>
      </c>
      <c r="G13" s="11">
        <f>IFERROR(__xludf.DUMMYFUNCTION("""COMPUTED_VALUE"""),8550.0)</f>
        <v>8550</v>
      </c>
      <c r="H13" s="2">
        <f>IFERROR(__xludf.DUMMYFUNCTION("""COMPUTED_VALUE"""),735.0)</f>
        <v>735</v>
      </c>
      <c r="I13" s="11">
        <f>IFERROR(__xludf.DUMMYFUNCTION("""COMPUTED_VALUE"""),108643.0)</f>
        <v>108643</v>
      </c>
      <c r="J13" s="11">
        <f>IFERROR(__xludf.DUMMYFUNCTION("""COMPUTED_VALUE"""),30334.0)</f>
        <v>30334</v>
      </c>
      <c r="K13" s="2" t="str">
        <f>IFERROR(__xludf.DUMMYFUNCTION("""COMPUTED_VALUE"""),"[1] [2]")</f>
        <v>[1] [2]</v>
      </c>
      <c r="L13" s="2" t="str">
        <f>IFERROR(__xludf.DUMMYFUNCTION("""COMPUTED_VALUE"""),"[projections]")</f>
        <v>[projections]</v>
      </c>
    </row>
    <row r="14">
      <c r="A14" s="2" t="str">
        <f>IFERROR(__xludf.DUMMYFUNCTION("""COMPUTED_VALUE"""),"Georgia")</f>
        <v>Georgia</v>
      </c>
      <c r="B14" s="11">
        <f>IFERROR(__xludf.DUMMYFUNCTION("""COMPUTED_VALUE"""),30420.0)</f>
        <v>30420</v>
      </c>
      <c r="C14" s="2" t="str">
        <f>IFERROR(__xludf.DUMMYFUNCTION("""COMPUTED_VALUE"""),"+528")</f>
        <v>+528</v>
      </c>
      <c r="D14" s="11">
        <f>IFERROR(__xludf.DUMMYFUNCTION("""COMPUTED_VALUE"""),1295.0)</f>
        <v>1295</v>
      </c>
      <c r="E14" s="2" t="str">
        <f>IFERROR(__xludf.DUMMYFUNCTION("""COMPUTED_VALUE"""),"")</f>
        <v/>
      </c>
      <c r="F14" s="11">
        <f>IFERROR(__xludf.DUMMYFUNCTION("""COMPUTED_VALUE"""),28785.0)</f>
        <v>28785</v>
      </c>
      <c r="G14" s="11">
        <f>IFERROR(__xludf.DUMMYFUNCTION("""COMPUTED_VALUE"""),2954.0)</f>
        <v>2954</v>
      </c>
      <c r="H14" s="2">
        <f>IFERROR(__xludf.DUMMYFUNCTION("""COMPUTED_VALUE"""),126.0)</f>
        <v>126</v>
      </c>
      <c r="I14" s="11">
        <f>IFERROR(__xludf.DUMMYFUNCTION("""COMPUTED_VALUE"""),200814.0)</f>
        <v>200814</v>
      </c>
      <c r="J14" s="11">
        <f>IFERROR(__xludf.DUMMYFUNCTION("""COMPUTED_VALUE"""),19501.0)</f>
        <v>19501</v>
      </c>
      <c r="K14" s="2" t="str">
        <f>IFERROR(__xludf.DUMMYFUNCTION("""COMPUTED_VALUE"""),"[1]")</f>
        <v>[1]</v>
      </c>
      <c r="L14" s="2" t="str">
        <f>IFERROR(__xludf.DUMMYFUNCTION("""COMPUTED_VALUE"""),"[projections]")</f>
        <v>[projections]</v>
      </c>
    </row>
    <row r="15">
      <c r="A15" s="2" t="str">
        <f>IFERROR(__xludf.DUMMYFUNCTION("""COMPUTED_VALUE"""),"Louisiana")</f>
        <v>Louisiana</v>
      </c>
      <c r="B15" s="11">
        <f>IFERROR(__xludf.DUMMYFUNCTION("""COMPUTED_VALUE"""),29996.0)</f>
        <v>29996</v>
      </c>
      <c r="C15" s="2" t="str">
        <f>IFERROR(__xludf.DUMMYFUNCTION("""COMPUTED_VALUE"""),"")</f>
        <v/>
      </c>
      <c r="D15" s="11">
        <f>IFERROR(__xludf.DUMMYFUNCTION("""COMPUTED_VALUE"""),2115.0)</f>
        <v>2115</v>
      </c>
      <c r="E15" s="2" t="str">
        <f>IFERROR(__xludf.DUMMYFUNCTION("""COMPUTED_VALUE"""),"")</f>
        <v/>
      </c>
      <c r="F15" s="11">
        <f>IFERROR(__xludf.DUMMYFUNCTION("""COMPUTED_VALUE"""),7565.0)</f>
        <v>7565</v>
      </c>
      <c r="G15" s="11">
        <f>IFERROR(__xludf.DUMMYFUNCTION("""COMPUTED_VALUE"""),6432.0)</f>
        <v>6432</v>
      </c>
      <c r="H15" s="2">
        <f>IFERROR(__xludf.DUMMYFUNCTION("""COMPUTED_VALUE"""),454.0)</f>
        <v>454</v>
      </c>
      <c r="I15" s="11">
        <f>IFERROR(__xludf.DUMMYFUNCTION("""COMPUTED_VALUE"""),188231.0)</f>
        <v>188231</v>
      </c>
      <c r="J15" s="11">
        <f>IFERROR(__xludf.DUMMYFUNCTION("""COMPUTED_VALUE"""),40362.0)</f>
        <v>40362</v>
      </c>
      <c r="K15" s="2" t="str">
        <f>IFERROR(__xludf.DUMMYFUNCTION("""COMPUTED_VALUE"""),"[view by county] [1]")</f>
        <v>[view by county] [1]</v>
      </c>
      <c r="L15" s="2" t="str">
        <f>IFERROR(__xludf.DUMMYFUNCTION("""COMPUTED_VALUE"""),"[projections]")</f>
        <v>[projections]</v>
      </c>
    </row>
    <row r="16">
      <c r="A16" s="2" t="str">
        <f>IFERROR(__xludf.DUMMYFUNCTION("""COMPUTED_VALUE"""),"Maryland")</f>
        <v>Maryland</v>
      </c>
      <c r="B16" s="11">
        <f>IFERROR(__xludf.DUMMYFUNCTION("""COMPUTED_VALUE"""),27117.0)</f>
        <v>27117</v>
      </c>
      <c r="C16" s="2" t="str">
        <f>IFERROR(__xludf.DUMMYFUNCTION("""COMPUTED_VALUE"""),"")</f>
        <v/>
      </c>
      <c r="D16" s="11">
        <f>IFERROR(__xludf.DUMMYFUNCTION("""COMPUTED_VALUE"""),1390.0)</f>
        <v>1390</v>
      </c>
      <c r="E16" s="2" t="str">
        <f>IFERROR(__xludf.DUMMYFUNCTION("""COMPUTED_VALUE"""),"")</f>
        <v/>
      </c>
      <c r="F16" s="11">
        <f>IFERROR(__xludf.DUMMYFUNCTION("""COMPUTED_VALUE"""),24210.0)</f>
        <v>24210</v>
      </c>
      <c r="G16" s="11">
        <f>IFERROR(__xludf.DUMMYFUNCTION("""COMPUTED_VALUE"""),4517.0)</f>
        <v>4517</v>
      </c>
      <c r="H16" s="2">
        <f>IFERROR(__xludf.DUMMYFUNCTION("""COMPUTED_VALUE"""),232.0)</f>
        <v>232</v>
      </c>
      <c r="I16" s="11">
        <f>IFERROR(__xludf.DUMMYFUNCTION("""COMPUTED_VALUE"""),140103.0)</f>
        <v>140103</v>
      </c>
      <c r="J16" s="11">
        <f>IFERROR(__xludf.DUMMYFUNCTION("""COMPUTED_VALUE"""),23337.0)</f>
        <v>23337</v>
      </c>
      <c r="K16" s="2" t="str">
        <f>IFERROR(__xludf.DUMMYFUNCTION("""COMPUTED_VALUE"""),"[1]")</f>
        <v>[1]</v>
      </c>
      <c r="L16" s="2" t="str">
        <f>IFERROR(__xludf.DUMMYFUNCTION("""COMPUTED_VALUE"""),"[projections]")</f>
        <v>[projections]</v>
      </c>
    </row>
    <row r="17">
      <c r="A17" s="2" t="str">
        <f>IFERROR(__xludf.DUMMYFUNCTION("""COMPUTED_VALUE"""),"Indiana")</f>
        <v>Indiana</v>
      </c>
      <c r="B17" s="11">
        <f>IFERROR(__xludf.DUMMYFUNCTION("""COMPUTED_VALUE"""),21033.0)</f>
        <v>21033</v>
      </c>
      <c r="C17" s="2" t="str">
        <f>IFERROR(__xludf.DUMMYFUNCTION("""COMPUTED_VALUE"""),"")</f>
        <v/>
      </c>
      <c r="D17" s="11">
        <f>IFERROR(__xludf.DUMMYFUNCTION("""COMPUTED_VALUE"""),1326.0)</f>
        <v>1326</v>
      </c>
      <c r="E17" s="2" t="str">
        <f>IFERROR(__xludf.DUMMYFUNCTION("""COMPUTED_VALUE"""),"")</f>
        <v/>
      </c>
      <c r="F17" s="11">
        <f>IFERROR(__xludf.DUMMYFUNCTION("""COMPUTED_VALUE"""),19693.0)</f>
        <v>19693</v>
      </c>
      <c r="G17" s="11">
        <f>IFERROR(__xludf.DUMMYFUNCTION("""COMPUTED_VALUE"""),3169.0)</f>
        <v>3169</v>
      </c>
      <c r="H17" s="2">
        <f>IFERROR(__xludf.DUMMYFUNCTION("""COMPUTED_VALUE"""),200.0)</f>
        <v>200</v>
      </c>
      <c r="I17" s="11">
        <f>IFERROR(__xludf.DUMMYFUNCTION("""COMPUTED_VALUE"""),115834.0)</f>
        <v>115834</v>
      </c>
      <c r="J17" s="11">
        <f>IFERROR(__xludf.DUMMYFUNCTION("""COMPUTED_VALUE"""),17452.0)</f>
        <v>17452</v>
      </c>
      <c r="K17" s="2" t="str">
        <f>IFERROR(__xludf.DUMMYFUNCTION("""COMPUTED_VALUE"""),"[1] [2]")</f>
        <v>[1] [2]</v>
      </c>
      <c r="L17" s="2" t="str">
        <f>IFERROR(__xludf.DUMMYFUNCTION("""COMPUTED_VALUE"""),"[projections]")</f>
        <v>[projections]</v>
      </c>
    </row>
    <row r="18">
      <c r="A18" s="2" t="str">
        <f>IFERROR(__xludf.DUMMYFUNCTION("""COMPUTED_VALUE"""),"Ohio")</f>
        <v>Ohio</v>
      </c>
      <c r="B18" s="11">
        <f>IFERROR(__xludf.DUMMYFUNCTION("""COMPUTED_VALUE"""),20971.0)</f>
        <v>20971</v>
      </c>
      <c r="C18" s="2" t="str">
        <f>IFERROR(__xludf.DUMMYFUNCTION("""COMPUTED_VALUE"""),"")</f>
        <v/>
      </c>
      <c r="D18" s="11">
        <f>IFERROR(__xludf.DUMMYFUNCTION("""COMPUTED_VALUE"""),1136.0)</f>
        <v>1136</v>
      </c>
      <c r="E18" s="2" t="str">
        <f>IFERROR(__xludf.DUMMYFUNCTION("""COMPUTED_VALUE"""),"")</f>
        <v/>
      </c>
      <c r="F18" s="11">
        <f>IFERROR(__xludf.DUMMYFUNCTION("""COMPUTED_VALUE"""),19387.0)</f>
        <v>19387</v>
      </c>
      <c r="G18" s="11">
        <f>IFERROR(__xludf.DUMMYFUNCTION("""COMPUTED_VALUE"""),1801.0)</f>
        <v>1801</v>
      </c>
      <c r="H18" s="2">
        <f>IFERROR(__xludf.DUMMYFUNCTION("""COMPUTED_VALUE"""),98.0)</f>
        <v>98</v>
      </c>
      <c r="I18" s="11">
        <f>IFERROR(__xludf.DUMMYFUNCTION("""COMPUTED_VALUE"""),160735.0)</f>
        <v>160735</v>
      </c>
      <c r="J18" s="11">
        <f>IFERROR(__xludf.DUMMYFUNCTION("""COMPUTED_VALUE"""),13807.0)</f>
        <v>13807</v>
      </c>
      <c r="K18" s="2" t="str">
        <f>IFERROR(__xludf.DUMMYFUNCTION("""COMPUTED_VALUE"""),"[view by county] [1] [2] [3]")</f>
        <v>[view by county] [1] [2] [3]</v>
      </c>
      <c r="L18" s="2" t="str">
        <f>IFERROR(__xludf.DUMMYFUNCTION("""COMPUTED_VALUE"""),"[projections]")</f>
        <v>[projections]</v>
      </c>
    </row>
    <row r="19">
      <c r="A19" s="2" t="str">
        <f>IFERROR(__xludf.DUMMYFUNCTION("""COMPUTED_VALUE"""),"Virginia")</f>
        <v>Virginia</v>
      </c>
      <c r="B19" s="11">
        <f>IFERROR(__xludf.DUMMYFUNCTION("""COMPUTED_VALUE"""),20256.0)</f>
        <v>20256</v>
      </c>
      <c r="C19" s="2" t="str">
        <f>IFERROR(__xludf.DUMMYFUNCTION("""COMPUTED_VALUE"""),"")</f>
        <v/>
      </c>
      <c r="D19" s="2">
        <f>IFERROR(__xludf.DUMMYFUNCTION("""COMPUTED_VALUE"""),713.0)</f>
        <v>713</v>
      </c>
      <c r="E19" s="2" t="str">
        <f>IFERROR(__xludf.DUMMYFUNCTION("""COMPUTED_VALUE"""),"")</f>
        <v/>
      </c>
      <c r="F19" s="11">
        <f>IFERROR(__xludf.DUMMYFUNCTION("""COMPUTED_VALUE"""),17046.0)</f>
        <v>17046</v>
      </c>
      <c r="G19" s="11">
        <f>IFERROR(__xludf.DUMMYFUNCTION("""COMPUTED_VALUE"""),2407.0)</f>
        <v>2407</v>
      </c>
      <c r="H19" s="2">
        <f>IFERROR(__xludf.DUMMYFUNCTION("""COMPUTED_VALUE"""),85.0)</f>
        <v>85</v>
      </c>
      <c r="I19" s="11">
        <f>IFERROR(__xludf.DUMMYFUNCTION("""COMPUTED_VALUE"""),127938.0)</f>
        <v>127938</v>
      </c>
      <c r="J19" s="11">
        <f>IFERROR(__xludf.DUMMYFUNCTION("""COMPUTED_VALUE"""),15206.0)</f>
        <v>15206</v>
      </c>
      <c r="K19" s="2" t="str">
        <f>IFERROR(__xludf.DUMMYFUNCTION("""COMPUTED_VALUE"""),"[1] [2]")</f>
        <v>[1] [2]</v>
      </c>
      <c r="L19" s="2" t="str">
        <f>IFERROR(__xludf.DUMMYFUNCTION("""COMPUTED_VALUE"""),"[projections]")</f>
        <v>[projections]</v>
      </c>
    </row>
    <row r="20">
      <c r="A20" s="2" t="str">
        <f>IFERROR(__xludf.DUMMYFUNCTION("""COMPUTED_VALUE"""),"Colorado")</f>
        <v>Colorado</v>
      </c>
      <c r="B20" s="11">
        <f>IFERROR(__xludf.DUMMYFUNCTION("""COMPUTED_VALUE"""),17364.0)</f>
        <v>17364</v>
      </c>
      <c r="C20" s="2" t="str">
        <f>IFERROR(__xludf.DUMMYFUNCTION("""COMPUTED_VALUE"""),"")</f>
        <v/>
      </c>
      <c r="D20" s="2">
        <f>IFERROR(__xludf.DUMMYFUNCTION("""COMPUTED_VALUE"""),903.0)</f>
        <v>903</v>
      </c>
      <c r="E20" s="2" t="str">
        <f>IFERROR(__xludf.DUMMYFUNCTION("""COMPUTED_VALUE"""),"")</f>
        <v/>
      </c>
      <c r="F20" s="11">
        <f>IFERROR(__xludf.DUMMYFUNCTION("""COMPUTED_VALUE"""),15902.0)</f>
        <v>15902</v>
      </c>
      <c r="G20" s="11">
        <f>IFERROR(__xludf.DUMMYFUNCTION("""COMPUTED_VALUE"""),3139.0)</f>
        <v>3139</v>
      </c>
      <c r="H20" s="2">
        <f>IFERROR(__xludf.DUMMYFUNCTION("""COMPUTED_VALUE"""),163.0)</f>
        <v>163</v>
      </c>
      <c r="I20" s="11">
        <f>IFERROR(__xludf.DUMMYFUNCTION("""COMPUTED_VALUE"""),85976.0)</f>
        <v>85976</v>
      </c>
      <c r="J20" s="11">
        <f>IFERROR(__xludf.DUMMYFUNCTION("""COMPUTED_VALUE"""),15544.0)</f>
        <v>15544</v>
      </c>
      <c r="K20" s="2" t="str">
        <f>IFERROR(__xludf.DUMMYFUNCTION("""COMPUTED_VALUE"""),"[1]")</f>
        <v>[1]</v>
      </c>
      <c r="L20" s="2" t="str">
        <f>IFERROR(__xludf.DUMMYFUNCTION("""COMPUTED_VALUE"""),"[projections]")</f>
        <v>[projections]</v>
      </c>
    </row>
    <row r="21">
      <c r="A21" s="2" t="str">
        <f>IFERROR(__xludf.DUMMYFUNCTION("""COMPUTED_VALUE"""),"Washington")</f>
        <v>Washington</v>
      </c>
      <c r="B21" s="11">
        <f>IFERROR(__xludf.DUMMYFUNCTION("""COMPUTED_VALUE"""),16360.0)</f>
        <v>16360</v>
      </c>
      <c r="C21" s="2" t="str">
        <f>IFERROR(__xludf.DUMMYFUNCTION("""COMPUTED_VALUE"""),"")</f>
        <v/>
      </c>
      <c r="D21" s="2">
        <f>IFERROR(__xludf.DUMMYFUNCTION("""COMPUTED_VALUE"""),870.0)</f>
        <v>870</v>
      </c>
      <c r="E21" s="2" t="str">
        <f>IFERROR(__xludf.DUMMYFUNCTION("""COMPUTED_VALUE"""),"")</f>
        <v/>
      </c>
      <c r="F21" s="11">
        <f>IFERROR(__xludf.DUMMYFUNCTION("""COMPUTED_VALUE"""),12945.0)</f>
        <v>12945</v>
      </c>
      <c r="G21" s="11">
        <f>IFERROR(__xludf.DUMMYFUNCTION("""COMPUTED_VALUE"""),2243.0)</f>
        <v>2243</v>
      </c>
      <c r="H21" s="2">
        <f>IFERROR(__xludf.DUMMYFUNCTION("""COMPUTED_VALUE"""),119.0)</f>
        <v>119</v>
      </c>
      <c r="I21" s="11">
        <f>IFERROR(__xludf.DUMMYFUNCTION("""COMPUTED_VALUE"""),219453.0)</f>
        <v>219453</v>
      </c>
      <c r="J21" s="11">
        <f>IFERROR(__xludf.DUMMYFUNCTION("""COMPUTED_VALUE"""),30085.0)</f>
        <v>30085</v>
      </c>
      <c r="K21" s="2" t="str">
        <f>IFERROR(__xludf.DUMMYFUNCTION("""COMPUTED_VALUE"""),"[view by county] [1]")</f>
        <v>[view by county] [1]</v>
      </c>
      <c r="L21" s="2" t="str">
        <f>IFERROR(__xludf.DUMMYFUNCTION("""COMPUTED_VALUE"""),"[projections]")</f>
        <v>[projections]</v>
      </c>
    </row>
    <row r="22">
      <c r="A22" s="2" t="str">
        <f>IFERROR(__xludf.DUMMYFUNCTION("""COMPUTED_VALUE"""),"Tennessee")</f>
        <v>Tennessee</v>
      </c>
      <c r="B22" s="11">
        <f>IFERROR(__xludf.DUMMYFUNCTION("""COMPUTED_VALUE"""),13690.0)</f>
        <v>13690</v>
      </c>
      <c r="C22" s="2" t="str">
        <f>IFERROR(__xludf.DUMMYFUNCTION("""COMPUTED_VALUE"""),"")</f>
        <v/>
      </c>
      <c r="D22" s="2">
        <f>IFERROR(__xludf.DUMMYFUNCTION("""COMPUTED_VALUE"""),226.0)</f>
        <v>226</v>
      </c>
      <c r="E22" s="2" t="str">
        <f>IFERROR(__xludf.DUMMYFUNCTION("""COMPUTED_VALUE"""),"")</f>
        <v/>
      </c>
      <c r="F22" s="11">
        <f>IFERROR(__xludf.DUMMYFUNCTION("""COMPUTED_VALUE"""),7108.0)</f>
        <v>7108</v>
      </c>
      <c r="G22" s="11">
        <f>IFERROR(__xludf.DUMMYFUNCTION("""COMPUTED_VALUE"""),2058.0)</f>
        <v>2058</v>
      </c>
      <c r="H22" s="2">
        <f>IFERROR(__xludf.DUMMYFUNCTION("""COMPUTED_VALUE"""),34.0)</f>
        <v>34</v>
      </c>
      <c r="I22" s="11">
        <f>IFERROR(__xludf.DUMMYFUNCTION("""COMPUTED_VALUE"""),218796.0)</f>
        <v>218796</v>
      </c>
      <c r="J22" s="11">
        <f>IFERROR(__xludf.DUMMYFUNCTION("""COMPUTED_VALUE"""),32896.0)</f>
        <v>32896</v>
      </c>
      <c r="K22" s="2" t="str">
        <f>IFERROR(__xludf.DUMMYFUNCTION("""COMPUTED_VALUE"""),"[1] [2] [3]")</f>
        <v>[1] [2] [3]</v>
      </c>
      <c r="L22" s="2" t="str">
        <f>IFERROR(__xludf.DUMMYFUNCTION("""COMPUTED_VALUE"""),"[projections]")</f>
        <v>[projections]</v>
      </c>
    </row>
    <row r="23">
      <c r="A23" s="2" t="str">
        <f>IFERROR(__xludf.DUMMYFUNCTION("""COMPUTED_VALUE"""),"North Carolina")</f>
        <v>North Carolina</v>
      </c>
      <c r="B23" s="11">
        <f>IFERROR(__xludf.DUMMYFUNCTION("""COMPUTED_VALUE"""),12511.0)</f>
        <v>12511</v>
      </c>
      <c r="C23" s="2" t="str">
        <f>IFERROR(__xludf.DUMMYFUNCTION("""COMPUTED_VALUE"""),"")</f>
        <v/>
      </c>
      <c r="D23" s="2">
        <f>IFERROR(__xludf.DUMMYFUNCTION("""COMPUTED_VALUE"""),470.0)</f>
        <v>470</v>
      </c>
      <c r="E23" s="2" t="str">
        <f>IFERROR(__xludf.DUMMYFUNCTION("""COMPUTED_VALUE"""),"")</f>
        <v/>
      </c>
      <c r="F23" s="11">
        <f>IFERROR(__xludf.DUMMYFUNCTION("""COMPUTED_VALUE"""),10233.0)</f>
        <v>10233</v>
      </c>
      <c r="G23" s="11">
        <f>IFERROR(__xludf.DUMMYFUNCTION("""COMPUTED_VALUE"""),1232.0)</f>
        <v>1232</v>
      </c>
      <c r="H23" s="2">
        <f>IFERROR(__xludf.DUMMYFUNCTION("""COMPUTED_VALUE"""),46.0)</f>
        <v>46</v>
      </c>
      <c r="I23" s="11">
        <f>IFERROR(__xludf.DUMMYFUNCTION("""COMPUTED_VALUE"""),151800.0)</f>
        <v>151800</v>
      </c>
      <c r="J23" s="11">
        <f>IFERROR(__xludf.DUMMYFUNCTION("""COMPUTED_VALUE"""),14947.0)</f>
        <v>14947</v>
      </c>
      <c r="K23" s="2" t="str">
        <f>IFERROR(__xludf.DUMMYFUNCTION("""COMPUTED_VALUE"""),"[1] [2] [3] [4]")</f>
        <v>[1] [2] [3] [4]</v>
      </c>
      <c r="L23" s="2" t="str">
        <f>IFERROR(__xludf.DUMMYFUNCTION("""COMPUTED_VALUE"""),"[projections]")</f>
        <v>[projections]</v>
      </c>
    </row>
    <row r="24">
      <c r="A24" s="2" t="str">
        <f>IFERROR(__xludf.DUMMYFUNCTION("""COMPUTED_VALUE"""),"Iowa")</f>
        <v>Iowa</v>
      </c>
      <c r="B24" s="11">
        <f>IFERROR(__xludf.DUMMYFUNCTION("""COMPUTED_VALUE"""),10111.0)</f>
        <v>10111</v>
      </c>
      <c r="C24" s="2" t="str">
        <f>IFERROR(__xludf.DUMMYFUNCTION("""COMPUTED_VALUE"""),"")</f>
        <v/>
      </c>
      <c r="D24" s="2">
        <f>IFERROR(__xludf.DUMMYFUNCTION("""COMPUTED_VALUE"""),207.0)</f>
        <v>207</v>
      </c>
      <c r="E24" s="2" t="str">
        <f>IFERROR(__xludf.DUMMYFUNCTION("""COMPUTED_VALUE"""),"")</f>
        <v/>
      </c>
      <c r="F24" s="11">
        <f>IFERROR(__xludf.DUMMYFUNCTION("""COMPUTED_VALUE"""),6332.0)</f>
        <v>6332</v>
      </c>
      <c r="G24" s="11">
        <f>IFERROR(__xludf.DUMMYFUNCTION("""COMPUTED_VALUE"""),3228.0)</f>
        <v>3228</v>
      </c>
      <c r="H24" s="2">
        <f>IFERROR(__xludf.DUMMYFUNCTION("""COMPUTED_VALUE"""),66.0)</f>
        <v>66</v>
      </c>
      <c r="I24" s="11">
        <f>IFERROR(__xludf.DUMMYFUNCTION("""COMPUTED_VALUE"""),60569.0)</f>
        <v>60569</v>
      </c>
      <c r="J24" s="11">
        <f>IFERROR(__xludf.DUMMYFUNCTION("""COMPUTED_VALUE"""),19336.0)</f>
        <v>19336</v>
      </c>
      <c r="K24" s="2" t="str">
        <f>IFERROR(__xludf.DUMMYFUNCTION("""COMPUTED_VALUE"""),"[1] [2]")</f>
        <v>[1] [2]</v>
      </c>
      <c r="L24" s="2" t="str">
        <f>IFERROR(__xludf.DUMMYFUNCTION("""COMPUTED_VALUE"""),"[projections]")</f>
        <v>[projections]</v>
      </c>
    </row>
    <row r="25">
      <c r="A25" s="2" t="str">
        <f>IFERROR(__xludf.DUMMYFUNCTION("""COMPUTED_VALUE"""),"Rhode Island")</f>
        <v>Rhode Island</v>
      </c>
      <c r="B25" s="11">
        <f>IFERROR(__xludf.DUMMYFUNCTION("""COMPUTED_VALUE"""),9933.0)</f>
        <v>9933</v>
      </c>
      <c r="C25" s="2" t="str">
        <f>IFERROR(__xludf.DUMMYFUNCTION("""COMPUTED_VALUE"""),"")</f>
        <v/>
      </c>
      <c r="D25" s="2">
        <f>IFERROR(__xludf.DUMMYFUNCTION("""COMPUTED_VALUE"""),355.0)</f>
        <v>355</v>
      </c>
      <c r="E25" s="2" t="str">
        <f>IFERROR(__xludf.DUMMYFUNCTION("""COMPUTED_VALUE"""),"")</f>
        <v/>
      </c>
      <c r="F25" s="11">
        <f>IFERROR(__xludf.DUMMYFUNCTION("""COMPUTED_VALUE"""),9236.0)</f>
        <v>9236</v>
      </c>
      <c r="G25" s="11">
        <f>IFERROR(__xludf.DUMMYFUNCTION("""COMPUTED_VALUE"""),9401.0)</f>
        <v>9401</v>
      </c>
      <c r="H25" s="2">
        <f>IFERROR(__xludf.DUMMYFUNCTION("""COMPUTED_VALUE"""),336.0)</f>
        <v>336</v>
      </c>
      <c r="I25" s="11">
        <f>IFERROR(__xludf.DUMMYFUNCTION("""COMPUTED_VALUE"""),76435.0)</f>
        <v>76435</v>
      </c>
      <c r="J25" s="11">
        <f>IFERROR(__xludf.DUMMYFUNCTION("""COMPUTED_VALUE"""),72340.0)</f>
        <v>72340</v>
      </c>
      <c r="K25" s="2" t="str">
        <f>IFERROR(__xludf.DUMMYFUNCTION("""COMPUTED_VALUE"""),"[1]")</f>
        <v>[1]</v>
      </c>
      <c r="L25" s="2" t="str">
        <f>IFERROR(__xludf.DUMMYFUNCTION("""COMPUTED_VALUE"""),"[projections]")</f>
        <v>[projections]</v>
      </c>
    </row>
    <row r="26">
      <c r="A26" s="2" t="str">
        <f>IFERROR(__xludf.DUMMYFUNCTION("""COMPUTED_VALUE"""),"Arizona")</f>
        <v>Arizona</v>
      </c>
      <c r="B26" s="11">
        <f>IFERROR(__xludf.DUMMYFUNCTION("""COMPUTED_VALUE"""),9305.0)</f>
        <v>9305</v>
      </c>
      <c r="C26" s="2" t="str">
        <f>IFERROR(__xludf.DUMMYFUNCTION("""COMPUTED_VALUE"""),"")</f>
        <v/>
      </c>
      <c r="D26" s="2">
        <f>IFERROR(__xludf.DUMMYFUNCTION("""COMPUTED_VALUE"""),395.0)</f>
        <v>395</v>
      </c>
      <c r="E26" s="2" t="str">
        <f>IFERROR(__xludf.DUMMYFUNCTION("""COMPUTED_VALUE"""),"")</f>
        <v/>
      </c>
      <c r="F26" s="11">
        <f>IFERROR(__xludf.DUMMYFUNCTION("""COMPUTED_VALUE"""),8840.0)</f>
        <v>8840</v>
      </c>
      <c r="G26" s="11">
        <f>IFERROR(__xludf.DUMMYFUNCTION("""COMPUTED_VALUE"""),1339.0)</f>
        <v>1339</v>
      </c>
      <c r="H26" s="2">
        <f>IFERROR(__xludf.DUMMYFUNCTION("""COMPUTED_VALUE"""),57.0)</f>
        <v>57</v>
      </c>
      <c r="I26" s="11">
        <f>IFERROR(__xludf.DUMMYFUNCTION("""COMPUTED_VALUE"""),88260.0)</f>
        <v>88260</v>
      </c>
      <c r="J26" s="11">
        <f>IFERROR(__xludf.DUMMYFUNCTION("""COMPUTED_VALUE"""),12705.0)</f>
        <v>12705</v>
      </c>
      <c r="K26" s="2" t="str">
        <f>IFERROR(__xludf.DUMMYFUNCTION("""COMPUTED_VALUE"""),"[1]")</f>
        <v>[1]</v>
      </c>
      <c r="L26" s="2" t="str">
        <f>IFERROR(__xludf.DUMMYFUNCTION("""COMPUTED_VALUE"""),"[projections]")</f>
        <v>[projections]</v>
      </c>
    </row>
    <row r="27">
      <c r="A27" s="2" t="str">
        <f>IFERROR(__xludf.DUMMYFUNCTION("""COMPUTED_VALUE"""),"Missouri")</f>
        <v>Missouri</v>
      </c>
      <c r="B27" s="11">
        <f>IFERROR(__xludf.DUMMYFUNCTION("""COMPUTED_VALUE"""),9100.0)</f>
        <v>9100</v>
      </c>
      <c r="C27" s="2" t="str">
        <f>IFERROR(__xludf.DUMMYFUNCTION("""COMPUTED_VALUE"""),"+123")</f>
        <v>+123</v>
      </c>
      <c r="D27" s="2">
        <f>IFERROR(__xludf.DUMMYFUNCTION("""COMPUTED_VALUE"""),409.0)</f>
        <v>409</v>
      </c>
      <c r="E27" s="2" t="str">
        <f>IFERROR(__xludf.DUMMYFUNCTION("""COMPUTED_VALUE"""),"+9")</f>
        <v>+9</v>
      </c>
      <c r="F27" s="11">
        <f>IFERROR(__xludf.DUMMYFUNCTION("""COMPUTED_VALUE"""),6704.0)</f>
        <v>6704</v>
      </c>
      <c r="G27" s="11">
        <f>IFERROR(__xludf.DUMMYFUNCTION("""COMPUTED_VALUE"""),1494.0)</f>
        <v>1494</v>
      </c>
      <c r="H27" s="2">
        <f>IFERROR(__xludf.DUMMYFUNCTION("""COMPUTED_VALUE"""),67.0)</f>
        <v>67</v>
      </c>
      <c r="I27" s="11">
        <f>IFERROR(__xludf.DUMMYFUNCTION("""COMPUTED_VALUE"""),95066.0)</f>
        <v>95066</v>
      </c>
      <c r="J27" s="11">
        <f>IFERROR(__xludf.DUMMYFUNCTION("""COMPUTED_VALUE"""),15610.0)</f>
        <v>15610</v>
      </c>
      <c r="K27" s="2" t="str">
        <f>IFERROR(__xludf.DUMMYFUNCTION("""COMPUTED_VALUE"""),"[1] [2] [3] [4] [5] [6] [7]")</f>
        <v>[1] [2] [3] [4] [5] [6] [7]</v>
      </c>
      <c r="L27" s="2" t="str">
        <f>IFERROR(__xludf.DUMMYFUNCTION("""COMPUTED_VALUE"""),"[projections]")</f>
        <v>[projections]</v>
      </c>
    </row>
    <row r="28">
      <c r="A28" s="2" t="str">
        <f>IFERROR(__xludf.DUMMYFUNCTION("""COMPUTED_VALUE"""),"Wisconsin")</f>
        <v>Wisconsin</v>
      </c>
      <c r="B28" s="11">
        <f>IFERROR(__xludf.DUMMYFUNCTION("""COMPUTED_VALUE"""),8566.0)</f>
        <v>8566</v>
      </c>
      <c r="C28" s="2" t="str">
        <f>IFERROR(__xludf.DUMMYFUNCTION("""COMPUTED_VALUE"""),"")</f>
        <v/>
      </c>
      <c r="D28" s="2">
        <f>IFERROR(__xludf.DUMMYFUNCTION("""COMPUTED_VALUE"""),353.0)</f>
        <v>353</v>
      </c>
      <c r="E28" s="2" t="str">
        <f>IFERROR(__xludf.DUMMYFUNCTION("""COMPUTED_VALUE"""),"")</f>
        <v/>
      </c>
      <c r="F28" s="11">
        <f>IFERROR(__xludf.DUMMYFUNCTION("""COMPUTED_VALUE"""),4082.0)</f>
        <v>4082</v>
      </c>
      <c r="G28" s="11">
        <f>IFERROR(__xludf.DUMMYFUNCTION("""COMPUTED_VALUE"""),1482.0)</f>
        <v>1482</v>
      </c>
      <c r="H28" s="2">
        <f>IFERROR(__xludf.DUMMYFUNCTION("""COMPUTED_VALUE"""),61.0)</f>
        <v>61</v>
      </c>
      <c r="I28" s="11">
        <f>IFERROR(__xludf.DUMMYFUNCTION("""COMPUTED_VALUE"""),92533.0)</f>
        <v>92533</v>
      </c>
      <c r="J28" s="11">
        <f>IFERROR(__xludf.DUMMYFUNCTION("""COMPUTED_VALUE"""),16014.0)</f>
        <v>16014</v>
      </c>
      <c r="K28" s="2" t="str">
        <f>IFERROR(__xludf.DUMMYFUNCTION("""COMPUTED_VALUE"""),"[1] [2] [3] [4] [5] [6]")</f>
        <v>[1] [2] [3] [4] [5] [6]</v>
      </c>
      <c r="L28" s="2" t="str">
        <f>IFERROR(__xludf.DUMMYFUNCTION("""COMPUTED_VALUE"""),"[projections]")</f>
        <v>[projections]</v>
      </c>
    </row>
    <row r="29">
      <c r="A29" s="2" t="str">
        <f>IFERROR(__xludf.DUMMYFUNCTION("""COMPUTED_VALUE"""),"Alabama")</f>
        <v>Alabama</v>
      </c>
      <c r="B29" s="11">
        <f>IFERROR(__xludf.DUMMYFUNCTION("""COMPUTED_VALUE"""),8437.0)</f>
        <v>8437</v>
      </c>
      <c r="C29" s="2" t="str">
        <f>IFERROR(__xludf.DUMMYFUNCTION("""COMPUTED_VALUE"""),"")</f>
        <v/>
      </c>
      <c r="D29" s="2">
        <f>IFERROR(__xludf.DUMMYFUNCTION("""COMPUTED_VALUE"""),315.0)</f>
        <v>315</v>
      </c>
      <c r="E29" s="2" t="str">
        <f>IFERROR(__xludf.DUMMYFUNCTION("""COMPUTED_VALUE"""),"")</f>
        <v/>
      </c>
      <c r="F29" s="11">
        <f>IFERROR(__xludf.DUMMYFUNCTION("""COMPUTED_VALUE"""),8102.0)</f>
        <v>8102</v>
      </c>
      <c r="G29" s="11">
        <f>IFERROR(__xludf.DUMMYFUNCTION("""COMPUTED_VALUE"""),1734.0)</f>
        <v>1734</v>
      </c>
      <c r="H29" s="2">
        <f>IFERROR(__xludf.DUMMYFUNCTION("""COMPUTED_VALUE"""),65.0)</f>
        <v>65</v>
      </c>
      <c r="I29" s="11">
        <f>IFERROR(__xludf.DUMMYFUNCTION("""COMPUTED_VALUE"""),107602.0)</f>
        <v>107602</v>
      </c>
      <c r="J29" s="11">
        <f>IFERROR(__xludf.DUMMYFUNCTION("""COMPUTED_VALUE"""),22119.0)</f>
        <v>22119</v>
      </c>
      <c r="K29" s="2" t="str">
        <f>IFERROR(__xludf.DUMMYFUNCTION("""COMPUTED_VALUE"""),"[1]")</f>
        <v>[1]</v>
      </c>
      <c r="L29" s="2" t="str">
        <f>IFERROR(__xludf.DUMMYFUNCTION("""COMPUTED_VALUE"""),"[projections]")</f>
        <v>[projections]</v>
      </c>
    </row>
    <row r="30">
      <c r="A30" s="2" t="str">
        <f>IFERROR(__xludf.DUMMYFUNCTION("""COMPUTED_VALUE"""),"Mississippi")</f>
        <v>Mississippi</v>
      </c>
      <c r="B30" s="11">
        <f>IFERROR(__xludf.DUMMYFUNCTION("""COMPUTED_VALUE"""),8207.0)</f>
        <v>8207</v>
      </c>
      <c r="C30" s="2" t="str">
        <f>IFERROR(__xludf.DUMMYFUNCTION("""COMPUTED_VALUE"""),"")</f>
        <v/>
      </c>
      <c r="D30" s="2">
        <f>IFERROR(__xludf.DUMMYFUNCTION("""COMPUTED_VALUE"""),342.0)</f>
        <v>342</v>
      </c>
      <c r="E30" s="2" t="str">
        <f>IFERROR(__xludf.DUMMYFUNCTION("""COMPUTED_VALUE"""),"")</f>
        <v/>
      </c>
      <c r="F30" s="11">
        <f>IFERROR(__xludf.DUMMYFUNCTION("""COMPUTED_VALUE"""),4452.0)</f>
        <v>4452</v>
      </c>
      <c r="G30" s="11">
        <f>IFERROR(__xludf.DUMMYFUNCTION("""COMPUTED_VALUE"""),2746.0)</f>
        <v>2746</v>
      </c>
      <c r="H30" s="2">
        <f>IFERROR(__xludf.DUMMYFUNCTION("""COMPUTED_VALUE"""),114.0)</f>
        <v>114</v>
      </c>
      <c r="I30" s="11">
        <f>IFERROR(__xludf.DUMMYFUNCTION("""COMPUTED_VALUE"""),80308.0)</f>
        <v>80308</v>
      </c>
      <c r="J30" s="11">
        <f>IFERROR(__xludf.DUMMYFUNCTION("""COMPUTED_VALUE"""),26870.0)</f>
        <v>26870</v>
      </c>
      <c r="K30" s="2" t="str">
        <f>IFERROR(__xludf.DUMMYFUNCTION("""COMPUTED_VALUE"""),"[1] [2]")</f>
        <v>[1] [2]</v>
      </c>
      <c r="L30" s="2" t="str">
        <f>IFERROR(__xludf.DUMMYFUNCTION("""COMPUTED_VALUE"""),"[projections]")</f>
        <v>[projections]</v>
      </c>
    </row>
    <row r="31">
      <c r="A31" s="2" t="str">
        <f>IFERROR(__xludf.DUMMYFUNCTION("""COMPUTED_VALUE"""),"Minnesota")</f>
        <v>Minnesota</v>
      </c>
      <c r="B31" s="11">
        <f>IFERROR(__xludf.DUMMYFUNCTION("""COMPUTED_VALUE"""),7851.0)</f>
        <v>7851</v>
      </c>
      <c r="C31" s="2" t="str">
        <f>IFERROR(__xludf.DUMMYFUNCTION("""COMPUTED_VALUE"""),"")</f>
        <v/>
      </c>
      <c r="D31" s="2">
        <f>IFERROR(__xludf.DUMMYFUNCTION("""COMPUTED_VALUE"""),455.0)</f>
        <v>455</v>
      </c>
      <c r="E31" s="2" t="str">
        <f>IFERROR(__xludf.DUMMYFUNCTION("""COMPUTED_VALUE"""),"")</f>
        <v/>
      </c>
      <c r="F31" s="11">
        <f>IFERROR(__xludf.DUMMYFUNCTION("""COMPUTED_VALUE"""),2782.0)</f>
        <v>2782</v>
      </c>
      <c r="G31" s="11">
        <f>IFERROR(__xludf.DUMMYFUNCTION("""COMPUTED_VALUE"""),1420.0)</f>
        <v>1420</v>
      </c>
      <c r="H31" s="2">
        <f>IFERROR(__xludf.DUMMYFUNCTION("""COMPUTED_VALUE"""),82.0)</f>
        <v>82</v>
      </c>
      <c r="I31" s="11">
        <f>IFERROR(__xludf.DUMMYFUNCTION("""COMPUTED_VALUE"""),88009.0)</f>
        <v>88009</v>
      </c>
      <c r="J31" s="11">
        <f>IFERROR(__xludf.DUMMYFUNCTION("""COMPUTED_VALUE"""),15922.0)</f>
        <v>15922</v>
      </c>
      <c r="K31" s="2" t="str">
        <f>IFERROR(__xludf.DUMMYFUNCTION("""COMPUTED_VALUE"""),"[1] [2]")</f>
        <v>[1] [2]</v>
      </c>
      <c r="L31" s="2" t="str">
        <f>IFERROR(__xludf.DUMMYFUNCTION("""COMPUTED_VALUE"""),"[projections]")</f>
        <v>[projections]</v>
      </c>
    </row>
    <row r="32">
      <c r="A32" s="2" t="str">
        <f>IFERROR(__xludf.DUMMYFUNCTION("""COMPUTED_VALUE"""),"South Carolina")</f>
        <v>South Carolina</v>
      </c>
      <c r="B32" s="11">
        <f>IFERROR(__xludf.DUMMYFUNCTION("""COMPUTED_VALUE"""),6841.0)</f>
        <v>6841</v>
      </c>
      <c r="C32" s="2" t="str">
        <f>IFERROR(__xludf.DUMMYFUNCTION("""COMPUTED_VALUE"""),"")</f>
        <v/>
      </c>
      <c r="D32" s="2">
        <f>IFERROR(__xludf.DUMMYFUNCTION("""COMPUTED_VALUE"""),296.0)</f>
        <v>296</v>
      </c>
      <c r="E32" s="2" t="str">
        <f>IFERROR(__xludf.DUMMYFUNCTION("""COMPUTED_VALUE"""),"")</f>
        <v/>
      </c>
      <c r="F32" s="11">
        <f>IFERROR(__xludf.DUMMYFUNCTION("""COMPUTED_VALUE"""),1664.0)</f>
        <v>1664</v>
      </c>
      <c r="G32" s="11">
        <f>IFERROR(__xludf.DUMMYFUNCTION("""COMPUTED_VALUE"""),1380.0)</f>
        <v>1380</v>
      </c>
      <c r="H32" s="2">
        <f>IFERROR(__xludf.DUMMYFUNCTION("""COMPUTED_VALUE"""),60.0)</f>
        <v>60</v>
      </c>
      <c r="I32" s="11">
        <f>IFERROR(__xludf.DUMMYFUNCTION("""COMPUTED_VALUE"""),68766.0)</f>
        <v>68766</v>
      </c>
      <c r="J32" s="11">
        <f>IFERROR(__xludf.DUMMYFUNCTION("""COMPUTED_VALUE"""),13876.0)</f>
        <v>13876</v>
      </c>
      <c r="K32" s="2" t="str">
        <f>IFERROR(__xludf.DUMMYFUNCTION("""COMPUTED_VALUE"""),"[1] [2]")</f>
        <v>[1] [2]</v>
      </c>
      <c r="L32" s="2" t="str">
        <f>IFERROR(__xludf.DUMMYFUNCTION("""COMPUTED_VALUE"""),"[projections]")</f>
        <v>[projections]</v>
      </c>
    </row>
    <row r="33">
      <c r="A33" s="2" t="str">
        <f>IFERROR(__xludf.DUMMYFUNCTION("""COMPUTED_VALUE"""),"Nebraska")</f>
        <v>Nebraska</v>
      </c>
      <c r="B33" s="11">
        <f>IFERROR(__xludf.DUMMYFUNCTION("""COMPUTED_VALUE"""),6438.0)</f>
        <v>6438</v>
      </c>
      <c r="C33" s="2" t="str">
        <f>IFERROR(__xludf.DUMMYFUNCTION("""COMPUTED_VALUE"""),"")</f>
        <v/>
      </c>
      <c r="D33" s="2">
        <f>IFERROR(__xludf.DUMMYFUNCTION("""COMPUTED_VALUE"""),82.0)</f>
        <v>82</v>
      </c>
      <c r="E33" s="2" t="str">
        <f>IFERROR(__xludf.DUMMYFUNCTION("""COMPUTED_VALUE"""),"")</f>
        <v/>
      </c>
      <c r="F33" s="11">
        <f>IFERROR(__xludf.DUMMYFUNCTION("""COMPUTED_VALUE"""),6334.0)</f>
        <v>6334</v>
      </c>
      <c r="G33" s="11">
        <f>IFERROR(__xludf.DUMMYFUNCTION("""COMPUTED_VALUE"""),3380.0)</f>
        <v>3380</v>
      </c>
      <c r="H33" s="2">
        <f>IFERROR(__xludf.DUMMYFUNCTION("""COMPUTED_VALUE"""),43.0)</f>
        <v>43</v>
      </c>
      <c r="I33" s="11">
        <f>IFERROR(__xludf.DUMMYFUNCTION("""COMPUTED_VALUE"""),36194.0)</f>
        <v>36194</v>
      </c>
      <c r="J33" s="11">
        <f>IFERROR(__xludf.DUMMYFUNCTION("""COMPUTED_VALUE"""),19002.0)</f>
        <v>19002</v>
      </c>
      <c r="K33" s="2" t="str">
        <f>IFERROR(__xludf.DUMMYFUNCTION("""COMPUTED_VALUE"""),"[1] [2]")</f>
        <v>[1] [2]</v>
      </c>
      <c r="L33" s="2" t="str">
        <f>IFERROR(__xludf.DUMMYFUNCTION("""COMPUTED_VALUE"""),"[projections]")</f>
        <v>[projections]</v>
      </c>
    </row>
    <row r="34">
      <c r="A34" s="2" t="str">
        <f>IFERROR(__xludf.DUMMYFUNCTION("""COMPUTED_VALUE"""),"Kentucky")</f>
        <v>Kentucky</v>
      </c>
      <c r="B34" s="11">
        <f>IFERROR(__xludf.DUMMYFUNCTION("""COMPUTED_VALUE"""),5822.0)</f>
        <v>5822</v>
      </c>
      <c r="C34" s="2" t="str">
        <f>IFERROR(__xludf.DUMMYFUNCTION("""COMPUTED_VALUE"""),"")</f>
        <v/>
      </c>
      <c r="D34" s="2">
        <f>IFERROR(__xludf.DUMMYFUNCTION("""COMPUTED_VALUE"""),275.0)</f>
        <v>275</v>
      </c>
      <c r="E34" s="2" t="str">
        <f>IFERROR(__xludf.DUMMYFUNCTION("""COMPUTED_VALUE"""),"")</f>
        <v/>
      </c>
      <c r="F34" s="11">
        <f>IFERROR(__xludf.DUMMYFUNCTION("""COMPUTED_VALUE"""),3872.0)</f>
        <v>3872</v>
      </c>
      <c r="G34" s="11">
        <f>IFERROR(__xludf.DUMMYFUNCTION("""COMPUTED_VALUE"""),1311.0)</f>
        <v>1311</v>
      </c>
      <c r="H34" s="2">
        <f>IFERROR(__xludf.DUMMYFUNCTION("""COMPUTED_VALUE"""),62.0)</f>
        <v>62</v>
      </c>
      <c r="I34" s="11">
        <f>IFERROR(__xludf.DUMMYFUNCTION("""COMPUTED_VALUE"""),61013.0)</f>
        <v>61013</v>
      </c>
      <c r="J34" s="11">
        <f>IFERROR(__xludf.DUMMYFUNCTION("""COMPUTED_VALUE"""),13741.0)</f>
        <v>13741</v>
      </c>
      <c r="K34" s="2" t="str">
        <f>IFERROR(__xludf.DUMMYFUNCTION("""COMPUTED_VALUE"""),"[1]")</f>
        <v>[1]</v>
      </c>
      <c r="L34" s="2" t="str">
        <f>IFERROR(__xludf.DUMMYFUNCTION("""COMPUTED_VALUE"""),"[projections]")</f>
        <v>[projections]</v>
      </c>
    </row>
    <row r="35">
      <c r="A35" s="2" t="str">
        <f>IFERROR(__xludf.DUMMYFUNCTION("""COMPUTED_VALUE"""),"Kansas")</f>
        <v>Kansas</v>
      </c>
      <c r="B35" s="11">
        <f>IFERROR(__xludf.DUMMYFUNCTION("""COMPUTED_VALUE"""),5648.0)</f>
        <v>5648</v>
      </c>
      <c r="C35" s="2" t="str">
        <f>IFERROR(__xludf.DUMMYFUNCTION("""COMPUTED_VALUE"""),"+16")</f>
        <v>+16</v>
      </c>
      <c r="D35" s="2">
        <f>IFERROR(__xludf.DUMMYFUNCTION("""COMPUTED_VALUE"""),161.0)</f>
        <v>161</v>
      </c>
      <c r="E35" s="2" t="str">
        <f>IFERROR(__xludf.DUMMYFUNCTION("""COMPUTED_VALUE"""),"")</f>
        <v/>
      </c>
      <c r="F35" s="11">
        <f>IFERROR(__xludf.DUMMYFUNCTION("""COMPUTED_VALUE"""),4506.0)</f>
        <v>4506</v>
      </c>
      <c r="G35" s="11">
        <f>IFERROR(__xludf.DUMMYFUNCTION("""COMPUTED_VALUE"""),1942.0)</f>
        <v>1942</v>
      </c>
      <c r="H35" s="2">
        <f>IFERROR(__xludf.DUMMYFUNCTION("""COMPUTED_VALUE"""),55.0)</f>
        <v>55</v>
      </c>
      <c r="I35" s="11">
        <f>IFERROR(__xludf.DUMMYFUNCTION("""COMPUTED_VALUE"""),40092.0)</f>
        <v>40092</v>
      </c>
      <c r="J35" s="11">
        <f>IFERROR(__xludf.DUMMYFUNCTION("""COMPUTED_VALUE"""),13783.0)</f>
        <v>13783</v>
      </c>
      <c r="K35" s="2" t="str">
        <f>IFERROR(__xludf.DUMMYFUNCTION("""COMPUTED_VALUE"""),"[1] [2] [3] [4] [5] [6] [7]")</f>
        <v>[1] [2] [3] [4] [5] [6] [7]</v>
      </c>
      <c r="L35" s="2" t="str">
        <f>IFERROR(__xludf.DUMMYFUNCTION("""COMPUTED_VALUE"""),"[projections]")</f>
        <v>[projections]</v>
      </c>
    </row>
    <row r="36">
      <c r="A36" s="2" t="str">
        <f>IFERROR(__xludf.DUMMYFUNCTION("""COMPUTED_VALUE"""),"Nevada")</f>
        <v>Nevada</v>
      </c>
      <c r="B36" s="11">
        <f>IFERROR(__xludf.DUMMYFUNCTION("""COMPUTED_VALUE"""),5594.0)</f>
        <v>5594</v>
      </c>
      <c r="C36" s="2" t="str">
        <f>IFERROR(__xludf.DUMMYFUNCTION("""COMPUTED_VALUE"""),"")</f>
        <v/>
      </c>
      <c r="D36" s="2">
        <f>IFERROR(__xludf.DUMMYFUNCTION("""COMPUTED_VALUE"""),276.0)</f>
        <v>276</v>
      </c>
      <c r="E36" s="2" t="str">
        <f>IFERROR(__xludf.DUMMYFUNCTION("""COMPUTED_VALUE"""),"")</f>
        <v/>
      </c>
      <c r="F36" s="11">
        <f>IFERROR(__xludf.DUMMYFUNCTION("""COMPUTED_VALUE"""),2413.0)</f>
        <v>2413</v>
      </c>
      <c r="G36" s="11">
        <f>IFERROR(__xludf.DUMMYFUNCTION("""COMPUTED_VALUE"""),1914.0)</f>
        <v>1914</v>
      </c>
      <c r="H36" s="2">
        <f>IFERROR(__xludf.DUMMYFUNCTION("""COMPUTED_VALUE"""),94.0)</f>
        <v>94</v>
      </c>
      <c r="I36" s="11">
        <f>IFERROR(__xludf.DUMMYFUNCTION("""COMPUTED_VALUE"""),59437.0)</f>
        <v>59437</v>
      </c>
      <c r="J36" s="11">
        <f>IFERROR(__xludf.DUMMYFUNCTION("""COMPUTED_VALUE"""),20335.0)</f>
        <v>20335</v>
      </c>
      <c r="K36" s="2" t="str">
        <f>IFERROR(__xludf.DUMMYFUNCTION("""COMPUTED_VALUE"""),"[1] [2]")</f>
        <v>[1] [2]</v>
      </c>
      <c r="L36" s="2" t="str">
        <f>IFERROR(__xludf.DUMMYFUNCTION("""COMPUTED_VALUE"""),"[projections]")</f>
        <v>[projections]</v>
      </c>
    </row>
    <row r="37">
      <c r="A37" s="2" t="str">
        <f>IFERROR(__xludf.DUMMYFUNCTION("""COMPUTED_VALUE"""),"Utah")</f>
        <v>Utah</v>
      </c>
      <c r="B37" s="11">
        <f>IFERROR(__xludf.DUMMYFUNCTION("""COMPUTED_VALUE"""),5449.0)</f>
        <v>5449</v>
      </c>
      <c r="C37" s="2" t="str">
        <f>IFERROR(__xludf.DUMMYFUNCTION("""COMPUTED_VALUE"""),"")</f>
        <v/>
      </c>
      <c r="D37" s="2">
        <f>IFERROR(__xludf.DUMMYFUNCTION("""COMPUTED_VALUE"""),56.0)</f>
        <v>56</v>
      </c>
      <c r="E37" s="2" t="str">
        <f>IFERROR(__xludf.DUMMYFUNCTION("""COMPUTED_VALUE"""),"")</f>
        <v/>
      </c>
      <c r="F37" s="11">
        <f>IFERROR(__xludf.DUMMYFUNCTION("""COMPUTED_VALUE"""),3208.0)</f>
        <v>3208</v>
      </c>
      <c r="G37" s="11">
        <f>IFERROR(__xludf.DUMMYFUNCTION("""COMPUTED_VALUE"""),1789.0)</f>
        <v>1789</v>
      </c>
      <c r="H37" s="2">
        <f>IFERROR(__xludf.DUMMYFUNCTION("""COMPUTED_VALUE"""),18.0)</f>
        <v>18</v>
      </c>
      <c r="I37" s="11">
        <f>IFERROR(__xludf.DUMMYFUNCTION("""COMPUTED_VALUE"""),126715.0)</f>
        <v>126715</v>
      </c>
      <c r="J37" s="11">
        <f>IFERROR(__xludf.DUMMYFUNCTION("""COMPUTED_VALUE"""),41609.0)</f>
        <v>41609</v>
      </c>
      <c r="K37" s="2" t="str">
        <f>IFERROR(__xludf.DUMMYFUNCTION("""COMPUTED_VALUE"""),"[1]")</f>
        <v>[1]</v>
      </c>
      <c r="L37" s="2" t="str">
        <f>IFERROR(__xludf.DUMMYFUNCTION("""COMPUTED_VALUE"""),"[projections]")</f>
        <v>[projections]</v>
      </c>
    </row>
    <row r="38">
      <c r="A38" s="2" t="str">
        <f>IFERROR(__xludf.DUMMYFUNCTION("""COMPUTED_VALUE"""),"Delaware")</f>
        <v>Delaware</v>
      </c>
      <c r="B38" s="11">
        <f>IFERROR(__xludf.DUMMYFUNCTION("""COMPUTED_VALUE"""),5371.0)</f>
        <v>5371</v>
      </c>
      <c r="C38" s="2" t="str">
        <f>IFERROR(__xludf.DUMMYFUNCTION("""COMPUTED_VALUE"""),"")</f>
        <v/>
      </c>
      <c r="D38" s="2">
        <f>IFERROR(__xludf.DUMMYFUNCTION("""COMPUTED_VALUE"""),187.0)</f>
        <v>187</v>
      </c>
      <c r="E38" s="2" t="str">
        <f>IFERROR(__xludf.DUMMYFUNCTION("""COMPUTED_VALUE"""),"")</f>
        <v/>
      </c>
      <c r="F38" s="11">
        <f>IFERROR(__xludf.DUMMYFUNCTION("""COMPUTED_VALUE"""),3337.0)</f>
        <v>3337</v>
      </c>
      <c r="G38" s="11">
        <f>IFERROR(__xludf.DUMMYFUNCTION("""COMPUTED_VALUE"""),5657.0)</f>
        <v>5657</v>
      </c>
      <c r="H38" s="2">
        <f>IFERROR(__xludf.DUMMYFUNCTION("""COMPUTED_VALUE"""),197.0)</f>
        <v>197</v>
      </c>
      <c r="I38" s="11">
        <f>IFERROR(__xludf.DUMMYFUNCTION("""COMPUTED_VALUE"""),24680.0)</f>
        <v>24680</v>
      </c>
      <c r="J38" s="11">
        <f>IFERROR(__xludf.DUMMYFUNCTION("""COMPUTED_VALUE"""),25993.0)</f>
        <v>25993</v>
      </c>
      <c r="K38" s="2" t="str">
        <f>IFERROR(__xludf.DUMMYFUNCTION("""COMPUTED_VALUE"""),"[1]")</f>
        <v>[1]</v>
      </c>
      <c r="L38" s="2" t="str">
        <f>IFERROR(__xludf.DUMMYFUNCTION("""COMPUTED_VALUE"""),"[projections]")</f>
        <v>[projections]</v>
      </c>
    </row>
    <row r="39">
      <c r="A39" s="2" t="str">
        <f>IFERROR(__xludf.DUMMYFUNCTION("""COMPUTED_VALUE"""),"District Of Columbia")</f>
        <v>District Of Columbia</v>
      </c>
      <c r="B39" s="11">
        <f>IFERROR(__xludf.DUMMYFUNCTION("""COMPUTED_VALUE"""),5322.0)</f>
        <v>5322</v>
      </c>
      <c r="C39" s="2" t="str">
        <f>IFERROR(__xludf.DUMMYFUNCTION("""COMPUTED_VALUE"""),"")</f>
        <v/>
      </c>
      <c r="D39" s="2">
        <f>IFERROR(__xludf.DUMMYFUNCTION("""COMPUTED_VALUE"""),264.0)</f>
        <v>264</v>
      </c>
      <c r="E39" s="2" t="str">
        <f>IFERROR(__xludf.DUMMYFUNCTION("""COMPUTED_VALUE"""),"")</f>
        <v/>
      </c>
      <c r="F39" s="11">
        <f>IFERROR(__xludf.DUMMYFUNCTION("""COMPUTED_VALUE"""),4391.0)</f>
        <v>4391</v>
      </c>
      <c r="G39" s="11">
        <f>IFERROR(__xludf.DUMMYFUNCTION("""COMPUTED_VALUE"""),7775.0)</f>
        <v>7775</v>
      </c>
      <c r="H39" s="2">
        <f>IFERROR(__xludf.DUMMYFUNCTION("""COMPUTED_VALUE"""),386.0)</f>
        <v>386</v>
      </c>
      <c r="I39" s="11">
        <f>IFERROR(__xludf.DUMMYFUNCTION("""COMPUTED_VALUE"""),24329.0)</f>
        <v>24329</v>
      </c>
      <c r="J39" s="11">
        <f>IFERROR(__xludf.DUMMYFUNCTION("""COMPUTED_VALUE"""),35543.0)</f>
        <v>35543</v>
      </c>
      <c r="K39" s="2" t="str">
        <f>IFERROR(__xludf.DUMMYFUNCTION("""COMPUTED_VALUE"""),"[1]")</f>
        <v>[1]</v>
      </c>
      <c r="L39" s="2" t="str">
        <f>IFERROR(__xludf.DUMMYFUNCTION("""COMPUTED_VALUE"""),"[projections]")</f>
        <v>[projections]</v>
      </c>
    </row>
    <row r="40">
      <c r="A40" s="2" t="str">
        <f>IFERROR(__xludf.DUMMYFUNCTION("""COMPUTED_VALUE"""),"New Mexico")</f>
        <v>New Mexico</v>
      </c>
      <c r="B40" s="11">
        <f>IFERROR(__xludf.DUMMYFUNCTION("""COMPUTED_VALUE"""),4138.0)</f>
        <v>4138</v>
      </c>
      <c r="C40" s="2" t="str">
        <f>IFERROR(__xludf.DUMMYFUNCTION("""COMPUTED_VALUE"""),"")</f>
        <v/>
      </c>
      <c r="D40" s="2">
        <f>IFERROR(__xludf.DUMMYFUNCTION("""COMPUTED_VALUE"""),162.0)</f>
        <v>162</v>
      </c>
      <c r="E40" s="2" t="str">
        <f>IFERROR(__xludf.DUMMYFUNCTION("""COMPUTED_VALUE"""),"")</f>
        <v/>
      </c>
      <c r="F40" s="11">
        <f>IFERROR(__xludf.DUMMYFUNCTION("""COMPUTED_VALUE"""),3012.0)</f>
        <v>3012</v>
      </c>
      <c r="G40" s="11">
        <f>IFERROR(__xludf.DUMMYFUNCTION("""COMPUTED_VALUE"""),1978.0)</f>
        <v>1978</v>
      </c>
      <c r="H40" s="2">
        <f>IFERROR(__xludf.DUMMYFUNCTION("""COMPUTED_VALUE"""),77.0)</f>
        <v>77</v>
      </c>
      <c r="I40" s="11">
        <f>IFERROR(__xludf.DUMMYFUNCTION("""COMPUTED_VALUE"""),83251.0)</f>
        <v>83251</v>
      </c>
      <c r="J40" s="11">
        <f>IFERROR(__xludf.DUMMYFUNCTION("""COMPUTED_VALUE"""),39787.0)</f>
        <v>39787</v>
      </c>
      <c r="K40" s="2" t="str">
        <f>IFERROR(__xludf.DUMMYFUNCTION("""COMPUTED_VALUE"""),"[1] [2]")</f>
        <v>[1] [2]</v>
      </c>
      <c r="L40" s="2" t="str">
        <f>IFERROR(__xludf.DUMMYFUNCTION("""COMPUTED_VALUE"""),"[projections]")</f>
        <v>[projections]</v>
      </c>
    </row>
    <row r="41">
      <c r="A41" s="2" t="str">
        <f>IFERROR(__xludf.DUMMYFUNCTION("""COMPUTED_VALUE"""),"Oklahoma")</f>
        <v>Oklahoma</v>
      </c>
      <c r="B41" s="11">
        <f>IFERROR(__xludf.DUMMYFUNCTION("""COMPUTED_VALUE"""),4127.0)</f>
        <v>4127</v>
      </c>
      <c r="C41" s="2" t="str">
        <f>IFERROR(__xludf.DUMMYFUNCTION("""COMPUTED_VALUE"""),"")</f>
        <v/>
      </c>
      <c r="D41" s="2">
        <f>IFERROR(__xludf.DUMMYFUNCTION("""COMPUTED_VALUE"""),247.0)</f>
        <v>247</v>
      </c>
      <c r="E41" s="2" t="str">
        <f>IFERROR(__xludf.DUMMYFUNCTION("""COMPUTED_VALUE"""),"")</f>
        <v/>
      </c>
      <c r="F41" s="11">
        <f>IFERROR(__xludf.DUMMYFUNCTION("""COMPUTED_VALUE"""),1198.0)</f>
        <v>1198</v>
      </c>
      <c r="G41" s="11">
        <f>IFERROR(__xludf.DUMMYFUNCTION("""COMPUTED_VALUE"""),1053.0)</f>
        <v>1053</v>
      </c>
      <c r="H41" s="2">
        <f>IFERROR(__xludf.DUMMYFUNCTION("""COMPUTED_VALUE"""),63.0)</f>
        <v>63</v>
      </c>
      <c r="I41" s="11">
        <f>IFERROR(__xludf.DUMMYFUNCTION("""COMPUTED_VALUE"""),79417.0)</f>
        <v>79417</v>
      </c>
      <c r="J41" s="11">
        <f>IFERROR(__xludf.DUMMYFUNCTION("""COMPUTED_VALUE"""),20269.0)</f>
        <v>20269</v>
      </c>
      <c r="K41" s="2" t="str">
        <f>IFERROR(__xludf.DUMMYFUNCTION("""COMPUTED_VALUE"""),"[1] [2]")</f>
        <v>[1] [2]</v>
      </c>
      <c r="L41" s="2" t="str">
        <f>IFERROR(__xludf.DUMMYFUNCTION("""COMPUTED_VALUE"""),"[projections]")</f>
        <v>[projections]</v>
      </c>
    </row>
    <row r="42">
      <c r="A42" s="2" t="str">
        <f>IFERROR(__xludf.DUMMYFUNCTION("""COMPUTED_VALUE"""),"Arkansas")</f>
        <v>Arkansas</v>
      </c>
      <c r="B42" s="11">
        <f>IFERROR(__xludf.DUMMYFUNCTION("""COMPUTED_VALUE"""),3525.0)</f>
        <v>3525</v>
      </c>
      <c r="C42" s="2" t="str">
        <f>IFERROR(__xludf.DUMMYFUNCTION("""COMPUTED_VALUE"""),"+29")</f>
        <v>+29</v>
      </c>
      <c r="D42" s="2">
        <f>IFERROR(__xludf.DUMMYFUNCTION("""COMPUTED_VALUE"""),83.0)</f>
        <v>83</v>
      </c>
      <c r="E42" s="2" t="str">
        <f>IFERROR(__xludf.DUMMYFUNCTION("""COMPUTED_VALUE"""),"+1")</f>
        <v>+1</v>
      </c>
      <c r="F42" s="11">
        <f>IFERROR(__xludf.DUMMYFUNCTION("""COMPUTED_VALUE"""),1351.0)</f>
        <v>1351</v>
      </c>
      <c r="G42" s="11">
        <f>IFERROR(__xludf.DUMMYFUNCTION("""COMPUTED_VALUE"""),1179.0)</f>
        <v>1179</v>
      </c>
      <c r="H42" s="2">
        <f>IFERROR(__xludf.DUMMYFUNCTION("""COMPUTED_VALUE"""),28.0)</f>
        <v>28</v>
      </c>
      <c r="I42" s="11">
        <f>IFERROR(__xludf.DUMMYFUNCTION("""COMPUTED_VALUE"""),56431.0)</f>
        <v>56431</v>
      </c>
      <c r="J42" s="11">
        <f>IFERROR(__xludf.DUMMYFUNCTION("""COMPUTED_VALUE"""),18869.0)</f>
        <v>18869</v>
      </c>
      <c r="K42" s="2" t="str">
        <f>IFERROR(__xludf.DUMMYFUNCTION("""COMPUTED_VALUE"""),"[1]")</f>
        <v>[1]</v>
      </c>
      <c r="L42" s="2" t="str">
        <f>IFERROR(__xludf.DUMMYFUNCTION("""COMPUTED_VALUE"""),"[projections]")</f>
        <v>[projections]</v>
      </c>
    </row>
    <row r="43">
      <c r="A43" s="2" t="str">
        <f>IFERROR(__xludf.DUMMYFUNCTION("""COMPUTED_VALUE"""),"Oregon")</f>
        <v>Oregon</v>
      </c>
      <c r="B43" s="11">
        <f>IFERROR(__xludf.DUMMYFUNCTION("""COMPUTED_VALUE"""),2839.0)</f>
        <v>2839</v>
      </c>
      <c r="C43" s="2" t="str">
        <f>IFERROR(__xludf.DUMMYFUNCTION("""COMPUTED_VALUE"""),"")</f>
        <v/>
      </c>
      <c r="D43" s="2">
        <f>IFERROR(__xludf.DUMMYFUNCTION("""COMPUTED_VALUE"""),113.0)</f>
        <v>113</v>
      </c>
      <c r="E43" s="2" t="str">
        <f>IFERROR(__xludf.DUMMYFUNCTION("""COMPUTED_VALUE"""),"")</f>
        <v/>
      </c>
      <c r="F43" s="11">
        <f>IFERROR(__xludf.DUMMYFUNCTION("""COMPUTED_VALUE"""),1866.0)</f>
        <v>1866</v>
      </c>
      <c r="G43" s="2">
        <f>IFERROR(__xludf.DUMMYFUNCTION("""COMPUTED_VALUE"""),696.0)</f>
        <v>696</v>
      </c>
      <c r="H43" s="2">
        <f>IFERROR(__xludf.DUMMYFUNCTION("""COMPUTED_VALUE"""),28.0)</f>
        <v>28</v>
      </c>
      <c r="I43" s="11">
        <f>IFERROR(__xludf.DUMMYFUNCTION("""COMPUTED_VALUE"""),65402.0)</f>
        <v>65402</v>
      </c>
      <c r="J43" s="11">
        <f>IFERROR(__xludf.DUMMYFUNCTION("""COMPUTED_VALUE"""),16022.0)</f>
        <v>16022</v>
      </c>
      <c r="K43" s="2" t="str">
        <f>IFERROR(__xludf.DUMMYFUNCTION("""COMPUTED_VALUE"""),"[1] [2]")</f>
        <v>[1] [2]</v>
      </c>
      <c r="L43" s="2" t="str">
        <f>IFERROR(__xludf.DUMMYFUNCTION("""COMPUTED_VALUE"""),"[projections]")</f>
        <v>[projections]</v>
      </c>
    </row>
    <row r="44">
      <c r="A44" s="2" t="str">
        <f>IFERROR(__xludf.DUMMYFUNCTION("""COMPUTED_VALUE"""),"South Dakota")</f>
        <v>South Dakota</v>
      </c>
      <c r="B44" s="11">
        <f>IFERROR(__xludf.DUMMYFUNCTION("""COMPUTED_VALUE"""),2721.0)</f>
        <v>2721</v>
      </c>
      <c r="C44" s="2" t="str">
        <f>IFERROR(__xludf.DUMMYFUNCTION("""COMPUTED_VALUE"""),"")</f>
        <v/>
      </c>
      <c r="D44" s="2">
        <f>IFERROR(__xludf.DUMMYFUNCTION("""COMPUTED_VALUE"""),24.0)</f>
        <v>24</v>
      </c>
      <c r="E44" s="2" t="str">
        <f>IFERROR(__xludf.DUMMYFUNCTION("""COMPUTED_VALUE"""),"")</f>
        <v/>
      </c>
      <c r="F44" s="2">
        <f>IFERROR(__xludf.DUMMYFUNCTION("""COMPUTED_VALUE"""),802.0)</f>
        <v>802</v>
      </c>
      <c r="G44" s="11">
        <f>IFERROR(__xludf.DUMMYFUNCTION("""COMPUTED_VALUE"""),3148.0)</f>
        <v>3148</v>
      </c>
      <c r="H44" s="2">
        <f>IFERROR(__xludf.DUMMYFUNCTION("""COMPUTED_VALUE"""),28.0)</f>
        <v>28</v>
      </c>
      <c r="I44" s="11">
        <f>IFERROR(__xludf.DUMMYFUNCTION("""COMPUTED_VALUE"""),19022.0)</f>
        <v>19022</v>
      </c>
      <c r="J44" s="11">
        <f>IFERROR(__xludf.DUMMYFUNCTION("""COMPUTED_VALUE"""),22009.0)</f>
        <v>22009</v>
      </c>
      <c r="K44" s="2" t="str">
        <f>IFERROR(__xludf.DUMMYFUNCTION("""COMPUTED_VALUE"""),"[1]")</f>
        <v>[1]</v>
      </c>
      <c r="L44" s="2" t="str">
        <f>IFERROR(__xludf.DUMMYFUNCTION("""COMPUTED_VALUE"""),"[projections]")</f>
        <v>[projections]</v>
      </c>
    </row>
    <row r="45">
      <c r="A45" s="2" t="str">
        <f>IFERROR(__xludf.DUMMYFUNCTION("""COMPUTED_VALUE"""),"New Hampshire")</f>
        <v>New Hampshire</v>
      </c>
      <c r="B45" s="11">
        <f>IFERROR(__xludf.DUMMYFUNCTION("""COMPUTED_VALUE"""),2636.0)</f>
        <v>2636</v>
      </c>
      <c r="C45" s="2" t="str">
        <f>IFERROR(__xludf.DUMMYFUNCTION("""COMPUTED_VALUE"""),"")</f>
        <v/>
      </c>
      <c r="D45" s="2">
        <f>IFERROR(__xludf.DUMMYFUNCTION("""COMPUTED_VALUE"""),92.0)</f>
        <v>92</v>
      </c>
      <c r="E45" s="2" t="str">
        <f>IFERROR(__xludf.DUMMYFUNCTION("""COMPUTED_VALUE"""),"")</f>
        <v/>
      </c>
      <c r="F45" s="11">
        <f>IFERROR(__xludf.DUMMYFUNCTION("""COMPUTED_VALUE"""),1439.0)</f>
        <v>1439</v>
      </c>
      <c r="G45" s="11">
        <f>IFERROR(__xludf.DUMMYFUNCTION("""COMPUTED_VALUE"""),1962.0)</f>
        <v>1962</v>
      </c>
      <c r="H45" s="2">
        <f>IFERROR(__xludf.DUMMYFUNCTION("""COMPUTED_VALUE"""),68.0)</f>
        <v>68</v>
      </c>
      <c r="I45" s="11">
        <f>IFERROR(__xludf.DUMMYFUNCTION("""COMPUTED_VALUE"""),30836.0)</f>
        <v>30836</v>
      </c>
      <c r="J45" s="11">
        <f>IFERROR(__xludf.DUMMYFUNCTION("""COMPUTED_VALUE"""),22950.0)</f>
        <v>22950</v>
      </c>
      <c r="K45" s="2" t="str">
        <f>IFERROR(__xludf.DUMMYFUNCTION("""COMPUTED_VALUE"""),"[1]")</f>
        <v>[1]</v>
      </c>
      <c r="L45" s="2" t="str">
        <f>IFERROR(__xludf.DUMMYFUNCTION("""COMPUTED_VALUE"""),"[projections]")</f>
        <v>[projections]</v>
      </c>
    </row>
    <row r="46">
      <c r="A46" s="2" t="str">
        <f>IFERROR(__xludf.DUMMYFUNCTION("""COMPUTED_VALUE"""),"Idaho")</f>
        <v>Idaho</v>
      </c>
      <c r="B46" s="11">
        <f>IFERROR(__xludf.DUMMYFUNCTION("""COMPUTED_VALUE"""),2127.0)</f>
        <v>2127</v>
      </c>
      <c r="C46" s="2" t="str">
        <f>IFERROR(__xludf.DUMMYFUNCTION("""COMPUTED_VALUE"""),"")</f>
        <v/>
      </c>
      <c r="D46" s="2">
        <f>IFERROR(__xludf.DUMMYFUNCTION("""COMPUTED_VALUE"""),65.0)</f>
        <v>65</v>
      </c>
      <c r="E46" s="2" t="str">
        <f>IFERROR(__xludf.DUMMYFUNCTION("""COMPUTED_VALUE"""),"")</f>
        <v/>
      </c>
      <c r="F46" s="2">
        <f>IFERROR(__xludf.DUMMYFUNCTION("""COMPUTED_VALUE"""),683.0)</f>
        <v>683</v>
      </c>
      <c r="G46" s="11">
        <f>IFERROR(__xludf.DUMMYFUNCTION("""COMPUTED_VALUE"""),1260.0)</f>
        <v>1260</v>
      </c>
      <c r="H46" s="2">
        <f>IFERROR(__xludf.DUMMYFUNCTION("""COMPUTED_VALUE"""),39.0)</f>
        <v>39</v>
      </c>
      <c r="I46" s="11">
        <f>IFERROR(__xludf.DUMMYFUNCTION("""COMPUTED_VALUE"""),30375.0)</f>
        <v>30375</v>
      </c>
      <c r="J46" s="11">
        <f>IFERROR(__xludf.DUMMYFUNCTION("""COMPUTED_VALUE"""),17997.0)</f>
        <v>17997</v>
      </c>
      <c r="K46" s="2" t="str">
        <f>IFERROR(__xludf.DUMMYFUNCTION("""COMPUTED_VALUE"""),"[1] [2]")</f>
        <v>[1] [2]</v>
      </c>
      <c r="L46" s="2" t="str">
        <f>IFERROR(__xludf.DUMMYFUNCTION("""COMPUTED_VALUE"""),"[projections]")</f>
        <v>[projections]</v>
      </c>
    </row>
    <row r="47">
      <c r="A47" s="2" t="str">
        <f>IFERROR(__xludf.DUMMYFUNCTION("""COMPUTED_VALUE"""),"North Dakota")</f>
        <v>North Dakota</v>
      </c>
      <c r="B47" s="11">
        <f>IFERROR(__xludf.DUMMYFUNCTION("""COMPUTED_VALUE"""),1266.0)</f>
        <v>1266</v>
      </c>
      <c r="C47" s="2" t="str">
        <f>IFERROR(__xludf.DUMMYFUNCTION("""COMPUTED_VALUE"""),"")</f>
        <v/>
      </c>
      <c r="D47" s="2">
        <f>IFERROR(__xludf.DUMMYFUNCTION("""COMPUTED_VALUE"""),25.0)</f>
        <v>25</v>
      </c>
      <c r="E47" s="2" t="str">
        <f>IFERROR(__xludf.DUMMYFUNCTION("""COMPUTED_VALUE"""),"")</f>
        <v/>
      </c>
      <c r="F47" s="2">
        <f>IFERROR(__xludf.DUMMYFUNCTION("""COMPUTED_VALUE"""),682.0)</f>
        <v>682</v>
      </c>
      <c r="G47" s="11">
        <f>IFERROR(__xludf.DUMMYFUNCTION("""COMPUTED_VALUE"""),1683.0)</f>
        <v>1683</v>
      </c>
      <c r="H47" s="2">
        <f>IFERROR(__xludf.DUMMYFUNCTION("""COMPUTED_VALUE"""),33.0)</f>
        <v>33</v>
      </c>
      <c r="I47" s="11">
        <f>IFERROR(__xludf.DUMMYFUNCTION("""COMPUTED_VALUE"""),36421.0)</f>
        <v>36421</v>
      </c>
      <c r="J47" s="11">
        <f>IFERROR(__xludf.DUMMYFUNCTION("""COMPUTED_VALUE"""),48419.0)</f>
        <v>48419</v>
      </c>
      <c r="K47" s="2" t="str">
        <f>IFERROR(__xludf.DUMMYFUNCTION("""COMPUTED_VALUE"""),"[1]")</f>
        <v>[1]</v>
      </c>
      <c r="L47" s="2" t="str">
        <f>IFERROR(__xludf.DUMMYFUNCTION("""COMPUTED_VALUE"""),"[projections]")</f>
        <v>[projections]</v>
      </c>
    </row>
    <row r="48">
      <c r="A48" s="2" t="str">
        <f>IFERROR(__xludf.DUMMYFUNCTION("""COMPUTED_VALUE"""),"West Virginia")</f>
        <v>West Virginia</v>
      </c>
      <c r="B48" s="11">
        <f>IFERROR(__xludf.DUMMYFUNCTION("""COMPUTED_VALUE"""),1242.0)</f>
        <v>1242</v>
      </c>
      <c r="C48" s="2" t="str">
        <f>IFERROR(__xludf.DUMMYFUNCTION("""COMPUTED_VALUE"""),"")</f>
        <v/>
      </c>
      <c r="D48" s="2">
        <f>IFERROR(__xludf.DUMMYFUNCTION("""COMPUTED_VALUE"""),50.0)</f>
        <v>50</v>
      </c>
      <c r="E48" s="2" t="str">
        <f>IFERROR(__xludf.DUMMYFUNCTION("""COMPUTED_VALUE"""),"")</f>
        <v/>
      </c>
      <c r="F48" s="2">
        <f>IFERROR(__xludf.DUMMYFUNCTION("""COMPUTED_VALUE"""),620.0)</f>
        <v>620</v>
      </c>
      <c r="G48" s="2">
        <f>IFERROR(__xludf.DUMMYFUNCTION("""COMPUTED_VALUE"""),679.0)</f>
        <v>679</v>
      </c>
      <c r="H48" s="2">
        <f>IFERROR(__xludf.DUMMYFUNCTION("""COMPUTED_VALUE"""),27.0)</f>
        <v>27</v>
      </c>
      <c r="I48" s="11">
        <f>IFERROR(__xludf.DUMMYFUNCTION("""COMPUTED_VALUE"""),55157.0)</f>
        <v>55157</v>
      </c>
      <c r="J48" s="11">
        <f>IFERROR(__xludf.DUMMYFUNCTION("""COMPUTED_VALUE"""),30156.0)</f>
        <v>30156</v>
      </c>
      <c r="K48" s="2" t="str">
        <f>IFERROR(__xludf.DUMMYFUNCTION("""COMPUTED_VALUE"""),"[1]")</f>
        <v>[1]</v>
      </c>
      <c r="L48" s="2" t="str">
        <f>IFERROR(__xludf.DUMMYFUNCTION("""COMPUTED_VALUE"""),"[projections]")</f>
        <v>[projections]</v>
      </c>
    </row>
    <row r="49">
      <c r="A49" s="2" t="str">
        <f>IFERROR(__xludf.DUMMYFUNCTION("""COMPUTED_VALUE"""),"Maine")</f>
        <v>Maine</v>
      </c>
      <c r="B49" s="11">
        <f>IFERROR(__xludf.DUMMYFUNCTION("""COMPUTED_VALUE"""),1226.0)</f>
        <v>1226</v>
      </c>
      <c r="C49" s="2" t="str">
        <f>IFERROR(__xludf.DUMMYFUNCTION("""COMPUTED_VALUE"""),"")</f>
        <v/>
      </c>
      <c r="D49" s="2">
        <f>IFERROR(__xludf.DUMMYFUNCTION("""COMPUTED_VALUE"""),61.0)</f>
        <v>61</v>
      </c>
      <c r="E49" s="2" t="str">
        <f>IFERROR(__xludf.DUMMYFUNCTION("""COMPUTED_VALUE"""),"")</f>
        <v/>
      </c>
      <c r="F49" s="2">
        <f>IFERROR(__xludf.DUMMYFUNCTION("""COMPUTED_VALUE"""),424.0)</f>
        <v>424</v>
      </c>
      <c r="G49" s="2">
        <f>IFERROR(__xludf.DUMMYFUNCTION("""COMPUTED_VALUE"""),920.0)</f>
        <v>920</v>
      </c>
      <c r="H49" s="2">
        <f>IFERROR(__xludf.DUMMYFUNCTION("""COMPUTED_VALUE"""),46.0)</f>
        <v>46</v>
      </c>
      <c r="I49" s="11">
        <f>IFERROR(__xludf.DUMMYFUNCTION("""COMPUTED_VALUE"""),20641.0)</f>
        <v>20641</v>
      </c>
      <c r="J49" s="11">
        <f>IFERROR(__xludf.DUMMYFUNCTION("""COMPUTED_VALUE"""),15487.0)</f>
        <v>15487</v>
      </c>
      <c r="K49" s="2" t="str">
        <f>IFERROR(__xludf.DUMMYFUNCTION("""COMPUTED_VALUE"""),"[1] [2]")</f>
        <v>[1] [2]</v>
      </c>
      <c r="L49" s="2" t="str">
        <f>IFERROR(__xludf.DUMMYFUNCTION("""COMPUTED_VALUE"""),"[projections]")</f>
        <v>[projections]</v>
      </c>
    </row>
    <row r="50">
      <c r="A50" s="2" t="str">
        <f>IFERROR(__xludf.DUMMYFUNCTION("""COMPUTED_VALUE"""),"Vermont")</f>
        <v>Vermont</v>
      </c>
      <c r="B50" s="2">
        <f>IFERROR(__xludf.DUMMYFUNCTION("""COMPUTED_VALUE"""),907.0)</f>
        <v>907</v>
      </c>
      <c r="C50" s="2" t="str">
        <f>IFERROR(__xludf.DUMMYFUNCTION("""COMPUTED_VALUE"""),"")</f>
        <v/>
      </c>
      <c r="D50" s="2">
        <f>IFERROR(__xludf.DUMMYFUNCTION("""COMPUTED_VALUE"""),52.0)</f>
        <v>52</v>
      </c>
      <c r="E50" s="2" t="str">
        <f>IFERROR(__xludf.DUMMYFUNCTION("""COMPUTED_VALUE"""),"")</f>
        <v/>
      </c>
      <c r="F50" s="2">
        <f>IFERROR(__xludf.DUMMYFUNCTION("""COMPUTED_VALUE"""),855.0)</f>
        <v>855</v>
      </c>
      <c r="G50" s="11">
        <f>IFERROR(__xludf.DUMMYFUNCTION("""COMPUTED_VALUE"""),1451.0)</f>
        <v>1451</v>
      </c>
      <c r="H50" s="2">
        <f>IFERROR(__xludf.DUMMYFUNCTION("""COMPUTED_VALUE"""),83.0)</f>
        <v>83</v>
      </c>
      <c r="I50" s="11">
        <f>IFERROR(__xludf.DUMMYFUNCTION("""COMPUTED_VALUE"""),17518.0)</f>
        <v>17518</v>
      </c>
      <c r="J50" s="11">
        <f>IFERROR(__xludf.DUMMYFUNCTION("""COMPUTED_VALUE"""),28030.0)</f>
        <v>28030</v>
      </c>
      <c r="K50" s="2" t="str">
        <f>IFERROR(__xludf.DUMMYFUNCTION("""COMPUTED_VALUE"""),"[1]")</f>
        <v>[1]</v>
      </c>
      <c r="L50" s="2" t="str">
        <f>IFERROR(__xludf.DUMMYFUNCTION("""COMPUTED_VALUE"""),"[projections]")</f>
        <v>[projections]</v>
      </c>
    </row>
    <row r="51">
      <c r="A51" s="2" t="str">
        <f>IFERROR(__xludf.DUMMYFUNCTION("""COMPUTED_VALUE"""),"Hawaii")</f>
        <v>Hawaii</v>
      </c>
      <c r="B51" s="2">
        <f>IFERROR(__xludf.DUMMYFUNCTION("""COMPUTED_VALUE"""),625.0)</f>
        <v>625</v>
      </c>
      <c r="C51" s="2" t="str">
        <f>IFERROR(__xludf.DUMMYFUNCTION("""COMPUTED_VALUE"""),"")</f>
        <v/>
      </c>
      <c r="D51" s="2">
        <f>IFERROR(__xludf.DUMMYFUNCTION("""COMPUTED_VALUE"""),17.0)</f>
        <v>17</v>
      </c>
      <c r="E51" s="2" t="str">
        <f>IFERROR(__xludf.DUMMYFUNCTION("""COMPUTED_VALUE"""),"")</f>
        <v/>
      </c>
      <c r="F51" s="2">
        <f>IFERROR(__xludf.DUMMYFUNCTION("""COMPUTED_VALUE"""),57.0)</f>
        <v>57</v>
      </c>
      <c r="G51" s="2">
        <f>IFERROR(__xludf.DUMMYFUNCTION("""COMPUTED_VALUE"""),440.0)</f>
        <v>440</v>
      </c>
      <c r="H51" s="2">
        <f>IFERROR(__xludf.DUMMYFUNCTION("""COMPUTED_VALUE"""),12.0)</f>
        <v>12</v>
      </c>
      <c r="I51" s="11">
        <f>IFERROR(__xludf.DUMMYFUNCTION("""COMPUTED_VALUE"""),35918.0)</f>
        <v>35918</v>
      </c>
      <c r="J51" s="11">
        <f>IFERROR(__xludf.DUMMYFUNCTION("""COMPUTED_VALUE"""),25258.0)</f>
        <v>25258</v>
      </c>
      <c r="K51" s="2" t="str">
        <f>IFERROR(__xludf.DUMMYFUNCTION("""COMPUTED_VALUE"""),"[1] [2]")</f>
        <v>[1] [2]</v>
      </c>
      <c r="L51" s="2" t="str">
        <f>IFERROR(__xludf.DUMMYFUNCTION("""COMPUTED_VALUE"""),"[projections]")</f>
        <v>[projections]</v>
      </c>
    </row>
    <row r="52">
      <c r="A52" s="2" t="str">
        <f>IFERROR(__xludf.DUMMYFUNCTION("""COMPUTED_VALUE"""),"Wyoming")</f>
        <v>Wyoming</v>
      </c>
      <c r="B52" s="2">
        <f>IFERROR(__xludf.DUMMYFUNCTION("""COMPUTED_VALUE"""),604.0)</f>
        <v>604</v>
      </c>
      <c r="C52" s="2" t="str">
        <f>IFERROR(__xludf.DUMMYFUNCTION("""COMPUTED_VALUE"""),"")</f>
        <v/>
      </c>
      <c r="D52" s="2">
        <f>IFERROR(__xludf.DUMMYFUNCTION("""COMPUTED_VALUE"""),7.0)</f>
        <v>7</v>
      </c>
      <c r="E52" s="2" t="str">
        <f>IFERROR(__xludf.DUMMYFUNCTION("""COMPUTED_VALUE"""),"")</f>
        <v/>
      </c>
      <c r="F52" s="2">
        <f>IFERROR(__xludf.DUMMYFUNCTION("""COMPUTED_VALUE"""),192.0)</f>
        <v>192</v>
      </c>
      <c r="G52" s="11">
        <f>IFERROR(__xludf.DUMMYFUNCTION("""COMPUTED_VALUE"""),1038.0)</f>
        <v>1038</v>
      </c>
      <c r="H52" s="2">
        <f>IFERROR(__xludf.DUMMYFUNCTION("""COMPUTED_VALUE"""),12.0)</f>
        <v>12</v>
      </c>
      <c r="I52" s="11">
        <f>IFERROR(__xludf.DUMMYFUNCTION("""COMPUTED_VALUE"""),10915.0)</f>
        <v>10915</v>
      </c>
      <c r="J52" s="11">
        <f>IFERROR(__xludf.DUMMYFUNCTION("""COMPUTED_VALUE"""),18760.0)</f>
        <v>18760</v>
      </c>
      <c r="K52" s="2" t="str">
        <f>IFERROR(__xludf.DUMMYFUNCTION("""COMPUTED_VALUE"""),"[1] [2]")</f>
        <v>[1] [2]</v>
      </c>
      <c r="L52" s="2" t="str">
        <f>IFERROR(__xludf.DUMMYFUNCTION("""COMPUTED_VALUE"""),"[projections]")</f>
        <v>[projections]</v>
      </c>
    </row>
    <row r="53">
      <c r="A53" s="2" t="str">
        <f>IFERROR(__xludf.DUMMYFUNCTION("""COMPUTED_VALUE"""),"Montana")</f>
        <v>Montana</v>
      </c>
      <c r="B53" s="2">
        <f>IFERROR(__xludf.DUMMYFUNCTION("""COMPUTED_VALUE"""),457.0)</f>
        <v>457</v>
      </c>
      <c r="C53" s="2" t="str">
        <f>IFERROR(__xludf.DUMMYFUNCTION("""COMPUTED_VALUE"""),"")</f>
        <v/>
      </c>
      <c r="D53" s="2">
        <f>IFERROR(__xludf.DUMMYFUNCTION("""COMPUTED_VALUE"""),16.0)</f>
        <v>16</v>
      </c>
      <c r="E53" s="2" t="str">
        <f>IFERROR(__xludf.DUMMYFUNCTION("""COMPUTED_VALUE"""),"")</f>
        <v/>
      </c>
      <c r="F53" s="2">
        <f>IFERROR(__xludf.DUMMYFUNCTION("""COMPUTED_VALUE"""),31.0)</f>
        <v>31</v>
      </c>
      <c r="G53" s="2">
        <f>IFERROR(__xludf.DUMMYFUNCTION("""COMPUTED_VALUE"""),439.0)</f>
        <v>439</v>
      </c>
      <c r="H53" s="2">
        <f>IFERROR(__xludf.DUMMYFUNCTION("""COMPUTED_VALUE"""),15.0)</f>
        <v>15</v>
      </c>
      <c r="I53" s="11">
        <f>IFERROR(__xludf.DUMMYFUNCTION("""COMPUTED_VALUE"""),15272.0)</f>
        <v>15272</v>
      </c>
      <c r="J53" s="11">
        <f>IFERROR(__xludf.DUMMYFUNCTION("""COMPUTED_VALUE"""),14660.0)</f>
        <v>14660</v>
      </c>
      <c r="K53" s="2" t="str">
        <f>IFERROR(__xludf.DUMMYFUNCTION("""COMPUTED_VALUE"""),"[1] [2] [3]")</f>
        <v>[1] [2] [3]</v>
      </c>
      <c r="L53" s="2" t="str">
        <f>IFERROR(__xludf.DUMMYFUNCTION("""COMPUTED_VALUE"""),"[projections]")</f>
        <v>[projections]</v>
      </c>
    </row>
    <row r="54">
      <c r="A54" s="2" t="str">
        <f>IFERROR(__xludf.DUMMYFUNCTION("""COMPUTED_VALUE"""),"Alaska")</f>
        <v>Alaska</v>
      </c>
      <c r="B54" s="2">
        <f>IFERROR(__xludf.DUMMYFUNCTION("""COMPUTED_VALUE"""),371.0)</f>
        <v>371</v>
      </c>
      <c r="C54" s="2" t="str">
        <f>IFERROR(__xludf.DUMMYFUNCTION("""COMPUTED_VALUE"""),"")</f>
        <v/>
      </c>
      <c r="D54" s="2">
        <f>IFERROR(__xludf.DUMMYFUNCTION("""COMPUTED_VALUE"""),9.0)</f>
        <v>9</v>
      </c>
      <c r="E54" s="2" t="str">
        <f>IFERROR(__xludf.DUMMYFUNCTION("""COMPUTED_VALUE"""),"")</f>
        <v/>
      </c>
      <c r="F54" s="2">
        <f>IFERROR(__xludf.DUMMYFUNCTION("""COMPUTED_VALUE"""),85.0)</f>
        <v>85</v>
      </c>
      <c r="G54" s="2">
        <f>IFERROR(__xludf.DUMMYFUNCTION("""COMPUTED_VALUE"""),502.0)</f>
        <v>502</v>
      </c>
      <c r="H54" s="2">
        <f>IFERROR(__xludf.DUMMYFUNCTION("""COMPUTED_VALUE"""),12.0)</f>
        <v>12</v>
      </c>
      <c r="I54" s="11">
        <f>IFERROR(__xludf.DUMMYFUNCTION("""COMPUTED_VALUE"""),22692.0)</f>
        <v>22692</v>
      </c>
      <c r="J54" s="11">
        <f>IFERROR(__xludf.DUMMYFUNCTION("""COMPUTED_VALUE"""),30726.0)</f>
        <v>30726</v>
      </c>
      <c r="K54" s="2" t="str">
        <f>IFERROR(__xludf.DUMMYFUNCTION("""COMPUTED_VALUE"""),"[1]")</f>
        <v>[1]</v>
      </c>
      <c r="L54" s="2" t="str">
        <f>IFERROR(__xludf.DUMMYFUNCTION("""COMPUTED_VALUE"""),"[projections]")</f>
        <v>[projections]</v>
      </c>
    </row>
    <row r="55">
      <c r="A55" s="2" t="str">
        <f>IFERROR(__xludf.DUMMYFUNCTION("""COMPUTED_VALUE"""),"Guam")</f>
        <v>Guam</v>
      </c>
      <c r="B55" s="2">
        <f>IFERROR(__xludf.DUMMYFUNCTION("""COMPUTED_VALUE"""),149.0)</f>
        <v>149</v>
      </c>
      <c r="C55" s="2" t="str">
        <f>IFERROR(__xludf.DUMMYFUNCTION("""COMPUTED_VALUE"""),"")</f>
        <v/>
      </c>
      <c r="D55" s="2">
        <f>IFERROR(__xludf.DUMMYFUNCTION("""COMPUTED_VALUE"""),5.0)</f>
        <v>5</v>
      </c>
      <c r="E55" s="2" t="str">
        <f>IFERROR(__xludf.DUMMYFUNCTION("""COMPUTED_VALUE"""),"")</f>
        <v/>
      </c>
      <c r="F55" s="2">
        <f>IFERROR(__xludf.DUMMYFUNCTION("""COMPUTED_VALUE"""),13.0)</f>
        <v>13</v>
      </c>
      <c r="G55" s="2" t="str">
        <f>IFERROR(__xludf.DUMMYFUNCTION("""COMPUTED_VALUE"""),"")</f>
        <v/>
      </c>
      <c r="H55" s="2" t="str">
        <f>IFERROR(__xludf.DUMMYFUNCTION("""COMPUTED_VALUE"""),"")</f>
        <v/>
      </c>
      <c r="I55" s="2">
        <f>IFERROR(__xludf.DUMMYFUNCTION("""COMPUTED_VALUE"""),605.0)</f>
        <v>605</v>
      </c>
      <c r="J55" s="2" t="str">
        <f>IFERROR(__xludf.DUMMYFUNCTION("""COMPUTED_VALUE"""),"")</f>
        <v/>
      </c>
      <c r="K55" s="2" t="str">
        <f>IFERROR(__xludf.DUMMYFUNCTION("""COMPUTED_VALUE"""),"[1]")</f>
        <v>[1]</v>
      </c>
      <c r="L55" s="2" t="str">
        <f>IFERROR(__xludf.DUMMYFUNCTION("""COMPUTED_VALUE"""),"")</f>
        <v/>
      </c>
    </row>
    <row r="56">
      <c r="A56" s="2" t="str">
        <f>IFERROR(__xludf.DUMMYFUNCTION("""COMPUTED_VALUE"""),"Northern Mariana Islands")</f>
        <v>Northern Mariana Islands</v>
      </c>
      <c r="B56" s="2">
        <f>IFERROR(__xludf.DUMMYFUNCTION("""COMPUTED_VALUE"""),14.0)</f>
        <v>14</v>
      </c>
      <c r="C56" s="2" t="str">
        <f>IFERROR(__xludf.DUMMYFUNCTION("""COMPUTED_VALUE"""),"")</f>
        <v/>
      </c>
      <c r="D56" s="2">
        <f>IFERROR(__xludf.DUMMYFUNCTION("""COMPUTED_VALUE"""),2.0)</f>
        <v>2</v>
      </c>
      <c r="E56" s="2" t="str">
        <f>IFERROR(__xludf.DUMMYFUNCTION("""COMPUTED_VALUE"""),"")</f>
        <v/>
      </c>
      <c r="F56" s="2">
        <f>IFERROR(__xludf.DUMMYFUNCTION("""COMPUTED_VALUE"""),0.0)</f>
        <v>0</v>
      </c>
      <c r="G56" s="2" t="str">
        <f>IFERROR(__xludf.DUMMYFUNCTION("""COMPUTED_VALUE"""),"")</f>
        <v/>
      </c>
      <c r="H56" s="2" t="str">
        <f>IFERROR(__xludf.DUMMYFUNCTION("""COMPUTED_VALUE"""),"")</f>
        <v/>
      </c>
      <c r="I56" s="2">
        <f>IFERROR(__xludf.DUMMYFUNCTION("""COMPUTED_VALUE"""),948.0)</f>
        <v>948</v>
      </c>
      <c r="J56" s="2" t="str">
        <f>IFERROR(__xludf.DUMMYFUNCTION("""COMPUTED_VALUE"""),"")</f>
        <v/>
      </c>
      <c r="K56" s="2" t="str">
        <f>IFERROR(__xludf.DUMMYFUNCTION("""COMPUTED_VALUE"""),"[1] [2]")</f>
        <v>[1] [2]</v>
      </c>
      <c r="L56" s="2" t="str">
        <f>IFERROR(__xludf.DUMMYFUNCTION("""COMPUTED_VALUE"""),"")</f>
        <v/>
      </c>
    </row>
    <row r="57">
      <c r="A57" s="2" t="str">
        <f>IFERROR(__xludf.DUMMYFUNCTION("""COMPUTED_VALUE"""),"Puerto Rico")</f>
        <v>Puerto Rico</v>
      </c>
      <c r="B57" s="11">
        <f>IFERROR(__xludf.DUMMYFUNCTION("""COMPUTED_VALUE"""),1924.0)</f>
        <v>1924</v>
      </c>
      <c r="C57" s="2" t="str">
        <f>IFERROR(__xludf.DUMMYFUNCTION("""COMPUTED_VALUE"""),"")</f>
        <v/>
      </c>
      <c r="D57" s="2">
        <f>IFERROR(__xludf.DUMMYFUNCTION("""COMPUTED_VALUE"""),99.0)</f>
        <v>99</v>
      </c>
      <c r="E57" s="2" t="str">
        <f>IFERROR(__xludf.DUMMYFUNCTION("""COMPUTED_VALUE"""),"")</f>
        <v/>
      </c>
      <c r="F57" s="11">
        <f>IFERROR(__xludf.DUMMYFUNCTION("""COMPUTED_VALUE"""),1079.0)</f>
        <v>1079</v>
      </c>
      <c r="G57" s="2">
        <f>IFERROR(__xludf.DUMMYFUNCTION("""COMPUTED_VALUE"""),568.0)</f>
        <v>568</v>
      </c>
      <c r="H57" s="2">
        <f>IFERROR(__xludf.DUMMYFUNCTION("""COMPUTED_VALUE"""),29.0)</f>
        <v>29</v>
      </c>
      <c r="I57" s="11">
        <f>IFERROR(__xludf.DUMMYFUNCTION("""COMPUTED_VALUE"""),13022.0)</f>
        <v>13022</v>
      </c>
      <c r="J57" s="11">
        <f>IFERROR(__xludf.DUMMYFUNCTION("""COMPUTED_VALUE"""),3845.0)</f>
        <v>3845</v>
      </c>
      <c r="K57" s="2" t="str">
        <f>IFERROR(__xludf.DUMMYFUNCTION("""COMPUTED_VALUE"""),"[1] [2] [3]")</f>
        <v>[1] [2] [3]</v>
      </c>
      <c r="L57" s="2" t="str">
        <f>IFERROR(__xludf.DUMMYFUNCTION("""COMPUTED_VALUE"""),"")</f>
        <v/>
      </c>
    </row>
    <row r="58">
      <c r="A58" s="2" t="str">
        <f>IFERROR(__xludf.DUMMYFUNCTION("""COMPUTED_VALUE"""),"United States Virgin Islands")</f>
        <v>United States Virgin Islands</v>
      </c>
      <c r="B58" s="2">
        <f>IFERROR(__xludf.DUMMYFUNCTION("""COMPUTED_VALUE"""),66.0)</f>
        <v>66</v>
      </c>
      <c r="C58" s="2" t="str">
        <f>IFERROR(__xludf.DUMMYFUNCTION("""COMPUTED_VALUE"""),"")</f>
        <v/>
      </c>
      <c r="D58" s="2">
        <f>IFERROR(__xludf.DUMMYFUNCTION("""COMPUTED_VALUE"""),4.0)</f>
        <v>4</v>
      </c>
      <c r="E58" s="2" t="str">
        <f>IFERROR(__xludf.DUMMYFUNCTION("""COMPUTED_VALUE"""),"")</f>
        <v/>
      </c>
      <c r="F58" s="2">
        <f>IFERROR(__xludf.DUMMYFUNCTION("""COMPUTED_VALUE"""),11.0)</f>
        <v>11</v>
      </c>
      <c r="G58" s="2" t="str">
        <f>IFERROR(__xludf.DUMMYFUNCTION("""COMPUTED_VALUE"""),"")</f>
        <v/>
      </c>
      <c r="H58" s="2" t="str">
        <f>IFERROR(__xludf.DUMMYFUNCTION("""COMPUTED_VALUE"""),"")</f>
        <v/>
      </c>
      <c r="I58" s="11">
        <f>IFERROR(__xludf.DUMMYFUNCTION("""COMPUTED_VALUE"""),1046.0)</f>
        <v>1046</v>
      </c>
      <c r="J58" s="2" t="str">
        <f>IFERROR(__xludf.DUMMYFUNCTION("""COMPUTED_VALUE"""),"")</f>
        <v/>
      </c>
      <c r="K58" s="2" t="str">
        <f>IFERROR(__xludf.DUMMYFUNCTION("""COMPUTED_VALUE"""),"[1] [2]")</f>
        <v>[1] [2]</v>
      </c>
      <c r="L58" s="2" t="str">
        <f>IFERROR(__xludf.DUMMYFUNCTION("""COMPUTED_VALUE"""),"")</f>
        <v/>
      </c>
    </row>
    <row r="59">
      <c r="A59" s="2" t="str">
        <f>IFERROR(__xludf.DUMMYFUNCTION("""COMPUTED_VALUE"""),"Veteran Affairs")</f>
        <v>Veteran Affairs</v>
      </c>
      <c r="B59" s="11">
        <f>IFERROR(__xludf.DUMMYFUNCTION("""COMPUTED_VALUE"""),9771.0)</f>
        <v>9771</v>
      </c>
      <c r="C59" s="2" t="str">
        <f>IFERROR(__xludf.DUMMYFUNCTION("""COMPUTED_VALUE"""),"")</f>
        <v/>
      </c>
      <c r="D59" s="2">
        <f>IFERROR(__xludf.DUMMYFUNCTION("""COMPUTED_VALUE"""),771.0)</f>
        <v>771</v>
      </c>
      <c r="E59" s="2" t="str">
        <f>IFERROR(__xludf.DUMMYFUNCTION("""COMPUTED_VALUE"""),"")</f>
        <v/>
      </c>
      <c r="F59" s="11">
        <f>IFERROR(__xludf.DUMMYFUNCTION("""COMPUTED_VALUE"""),3036.0)</f>
        <v>3036</v>
      </c>
      <c r="G59" s="2" t="str">
        <f>IFERROR(__xludf.DUMMYFUNCTION("""COMPUTED_VALUE"""),"")</f>
        <v/>
      </c>
      <c r="H59" s="2" t="str">
        <f>IFERROR(__xludf.DUMMYFUNCTION("""COMPUTED_VALUE"""),"")</f>
        <v/>
      </c>
      <c r="I59" s="11">
        <f>IFERROR(__xludf.DUMMYFUNCTION("""COMPUTED_VALUE"""),107178.0)</f>
        <v>107178</v>
      </c>
      <c r="J59" s="2" t="str">
        <f>IFERROR(__xludf.DUMMYFUNCTION("""COMPUTED_VALUE"""),"")</f>
        <v/>
      </c>
      <c r="K59" s="2" t="str">
        <f>IFERROR(__xludf.DUMMYFUNCTION("""COMPUTED_VALUE"""),"[1] [2]")</f>
        <v>[1] [2]</v>
      </c>
      <c r="L59" s="2" t="str">
        <f>IFERROR(__xludf.DUMMYFUNCTION("""COMPUTED_VALUE"""),"")</f>
        <v/>
      </c>
    </row>
    <row r="60">
      <c r="A60" s="2" t="str">
        <f>IFERROR(__xludf.DUMMYFUNCTION("""COMPUTED_VALUE"""),"US Military")</f>
        <v>US Military</v>
      </c>
      <c r="B60" s="11">
        <f>IFERROR(__xludf.DUMMYFUNCTION("""COMPUTED_VALUE"""),7526.0)</f>
        <v>7526</v>
      </c>
      <c r="C60" s="2" t="str">
        <f>IFERROR(__xludf.DUMMYFUNCTION("""COMPUTED_VALUE"""),"")</f>
        <v/>
      </c>
      <c r="D60" s="2">
        <f>IFERROR(__xludf.DUMMYFUNCTION("""COMPUTED_VALUE"""),27.0)</f>
        <v>27</v>
      </c>
      <c r="E60" s="2" t="str">
        <f>IFERROR(__xludf.DUMMYFUNCTION("""COMPUTED_VALUE"""),"")</f>
        <v/>
      </c>
      <c r="F60" s="11">
        <f>IFERROR(__xludf.DUMMYFUNCTION("""COMPUTED_VALUE"""),4562.0)</f>
        <v>4562</v>
      </c>
      <c r="G60" s="2" t="str">
        <f>IFERROR(__xludf.DUMMYFUNCTION("""COMPUTED_VALUE"""),"")</f>
        <v/>
      </c>
      <c r="H60" s="2" t="str">
        <f>IFERROR(__xludf.DUMMYFUNCTION("""COMPUTED_VALUE"""),"")</f>
        <v/>
      </c>
      <c r="I60" s="2" t="str">
        <f>IFERROR(__xludf.DUMMYFUNCTION("""COMPUTED_VALUE"""),"")</f>
        <v/>
      </c>
      <c r="J60" s="2" t="str">
        <f>IFERROR(__xludf.DUMMYFUNCTION("""COMPUTED_VALUE"""),"")</f>
        <v/>
      </c>
      <c r="K60" s="2" t="str">
        <f>IFERROR(__xludf.DUMMYFUNCTION("""COMPUTED_VALUE"""),"[1] [2]")</f>
        <v>[1] [2]</v>
      </c>
      <c r="L60" s="2" t="str">
        <f>IFERROR(__xludf.DUMMYFUNCTION("""COMPUTED_VALUE"""),"")</f>
        <v/>
      </c>
    </row>
    <row r="61">
      <c r="A61" s="2" t="str">
        <f>IFERROR(__xludf.DUMMYFUNCTION("""COMPUTED_VALUE"""),"Navajo Nation")</f>
        <v>Navajo Nation</v>
      </c>
      <c r="B61" s="11">
        <f>IFERROR(__xludf.DUMMYFUNCTION("""COMPUTED_VALUE"""),2474.0)</f>
        <v>2474</v>
      </c>
      <c r="C61" s="2" t="str">
        <f>IFERROR(__xludf.DUMMYFUNCTION("""COMPUTED_VALUE"""),"")</f>
        <v/>
      </c>
      <c r="D61" s="2">
        <f>IFERROR(__xludf.DUMMYFUNCTION("""COMPUTED_VALUE"""),73.0)</f>
        <v>73</v>
      </c>
      <c r="E61" s="2" t="str">
        <f>IFERROR(__xludf.DUMMYFUNCTION("""COMPUTED_VALUE"""),"")</f>
        <v/>
      </c>
      <c r="F61" s="11">
        <f>IFERROR(__xludf.DUMMYFUNCTION("""COMPUTED_VALUE"""),2401.0)</f>
        <v>2401</v>
      </c>
      <c r="G61" s="2" t="str">
        <f>IFERROR(__xludf.DUMMYFUNCTION("""COMPUTED_VALUE"""),"")</f>
        <v/>
      </c>
      <c r="H61" s="2" t="str">
        <f>IFERROR(__xludf.DUMMYFUNCTION("""COMPUTED_VALUE"""),"")</f>
        <v/>
      </c>
      <c r="I61" s="11">
        <f>IFERROR(__xludf.DUMMYFUNCTION("""COMPUTED_VALUE"""),11627.0)</f>
        <v>11627</v>
      </c>
      <c r="J61" s="2" t="str">
        <f>IFERROR(__xludf.DUMMYFUNCTION("""COMPUTED_VALUE"""),"")</f>
        <v/>
      </c>
      <c r="K61" s="2" t="str">
        <f>IFERROR(__xludf.DUMMYFUNCTION("""COMPUTED_VALUE"""),"[1]")</f>
        <v>[1]</v>
      </c>
      <c r="L61" s="2" t="str">
        <f>IFERROR(__xludf.DUMMYFUNCTION("""COMPUTED_VALUE"""),"")</f>
        <v/>
      </c>
    </row>
    <row r="62">
      <c r="A62" s="2" t="str">
        <f>IFERROR(__xludf.DUMMYFUNCTION("""COMPUTED_VALUE"""),"Federal Prisons")</f>
        <v>Federal Prisons</v>
      </c>
      <c r="B62" s="11">
        <f>IFERROR(__xludf.DUMMYFUNCTION("""COMPUTED_VALUE"""),2425.0)</f>
        <v>2425</v>
      </c>
      <c r="C62" s="2" t="str">
        <f>IFERROR(__xludf.DUMMYFUNCTION("""COMPUTED_VALUE"""),"")</f>
        <v/>
      </c>
      <c r="D62" s="2">
        <f>IFERROR(__xludf.DUMMYFUNCTION("""COMPUTED_VALUE"""),41.0)</f>
        <v>41</v>
      </c>
      <c r="E62" s="2" t="str">
        <f>IFERROR(__xludf.DUMMYFUNCTION("""COMPUTED_VALUE"""),"")</f>
        <v/>
      </c>
      <c r="F62" s="11">
        <f>IFERROR(__xludf.DUMMYFUNCTION("""COMPUTED_VALUE"""),1692.0)</f>
        <v>1692</v>
      </c>
      <c r="G62" s="2" t="str">
        <f>IFERROR(__xludf.DUMMYFUNCTION("""COMPUTED_VALUE"""),"")</f>
        <v/>
      </c>
      <c r="H62" s="2" t="str">
        <f>IFERROR(__xludf.DUMMYFUNCTION("""COMPUTED_VALUE"""),"")</f>
        <v/>
      </c>
      <c r="I62" s="2" t="str">
        <f>IFERROR(__xludf.DUMMYFUNCTION("""COMPUTED_VALUE"""),"")</f>
        <v/>
      </c>
      <c r="J62" s="2" t="str">
        <f>IFERROR(__xludf.DUMMYFUNCTION("""COMPUTED_VALUE"""),"")</f>
        <v/>
      </c>
      <c r="K62" s="2" t="str">
        <f>IFERROR(__xludf.DUMMYFUNCTION("""COMPUTED_VALUE"""),"[1]")</f>
        <v>[1]</v>
      </c>
      <c r="L62" s="2" t="str">
        <f>IFERROR(__xludf.DUMMYFUNCTION("""COMPUTED_VALUE"""),"")</f>
        <v/>
      </c>
    </row>
    <row r="63">
      <c r="A63" s="2" t="str">
        <f>IFERROR(__xludf.DUMMYFUNCTION("""COMPUTED_VALUE"""),"Grand Princess Ship")</f>
        <v>Grand Princess Ship</v>
      </c>
      <c r="B63" s="2">
        <f>IFERROR(__xludf.DUMMYFUNCTION("""COMPUTED_VALUE"""),103.0)</f>
        <v>103</v>
      </c>
      <c r="C63" s="2" t="str">
        <f>IFERROR(__xludf.DUMMYFUNCTION("""COMPUTED_VALUE"""),"")</f>
        <v/>
      </c>
      <c r="D63" s="2">
        <f>IFERROR(__xludf.DUMMYFUNCTION("""COMPUTED_VALUE"""),3.0)</f>
        <v>3</v>
      </c>
      <c r="E63" s="2" t="str">
        <f>IFERROR(__xludf.DUMMYFUNCTION("""COMPUTED_VALUE"""),"")</f>
        <v/>
      </c>
      <c r="F63" s="2">
        <f>IFERROR(__xludf.DUMMYFUNCTION("""COMPUTED_VALUE"""),100.0)</f>
        <v>100</v>
      </c>
      <c r="G63" s="2" t="str">
        <f>IFERROR(__xludf.DUMMYFUNCTION("""COMPUTED_VALUE"""),"")</f>
        <v/>
      </c>
      <c r="H63" s="2" t="str">
        <f>IFERROR(__xludf.DUMMYFUNCTION("""COMPUTED_VALUE"""),"")</f>
        <v/>
      </c>
      <c r="I63" s="2" t="str">
        <f>IFERROR(__xludf.DUMMYFUNCTION("""COMPUTED_VALUE"""),"")</f>
        <v/>
      </c>
      <c r="J63" s="2" t="str">
        <f>IFERROR(__xludf.DUMMYFUNCTION("""COMPUTED_VALUE"""),"")</f>
        <v/>
      </c>
      <c r="K63" s="2" t="str">
        <f>IFERROR(__xludf.DUMMYFUNCTION("""COMPUTED_VALUE"""),"[1]")</f>
        <v>[1]</v>
      </c>
      <c r="L63" s="2" t="str">
        <f>IFERROR(__xludf.DUMMYFUNCTION("""COMPUTED_VALUE"""),"")</f>
        <v/>
      </c>
    </row>
    <row r="64">
      <c r="A64" s="2" t="str">
        <f>IFERROR(__xludf.DUMMYFUNCTION("""COMPUTED_VALUE"""),"Wuhan Repatriated")</f>
        <v>Wuhan Repatriated</v>
      </c>
      <c r="B64" s="2">
        <f>IFERROR(__xludf.DUMMYFUNCTION("""COMPUTED_VALUE"""),3.0)</f>
        <v>3</v>
      </c>
      <c r="C64" s="2" t="str">
        <f>IFERROR(__xludf.DUMMYFUNCTION("""COMPUTED_VALUE"""),"")</f>
        <v/>
      </c>
      <c r="D64" s="2" t="str">
        <f>IFERROR(__xludf.DUMMYFUNCTION("""COMPUTED_VALUE"""),"")</f>
        <v/>
      </c>
      <c r="E64" s="2" t="str">
        <f>IFERROR(__xludf.DUMMYFUNCTION("""COMPUTED_VALUE"""),"")</f>
        <v/>
      </c>
      <c r="F64" s="2">
        <f>IFERROR(__xludf.DUMMYFUNCTION("""COMPUTED_VALUE"""),3.0)</f>
        <v>3</v>
      </c>
      <c r="G64" s="2" t="str">
        <f>IFERROR(__xludf.DUMMYFUNCTION("""COMPUTED_VALUE"""),"")</f>
        <v/>
      </c>
      <c r="H64" s="2" t="str">
        <f>IFERROR(__xludf.DUMMYFUNCTION("""COMPUTED_VALUE"""),"")</f>
        <v/>
      </c>
      <c r="I64" s="2">
        <f>IFERROR(__xludf.DUMMYFUNCTION("""COMPUTED_VALUE"""),3.0)</f>
        <v>3</v>
      </c>
      <c r="J64" s="2" t="str">
        <f>IFERROR(__xludf.DUMMYFUNCTION("""COMPUTED_VALUE"""),"")</f>
        <v/>
      </c>
      <c r="K64" s="2" t="str">
        <f>IFERROR(__xludf.DUMMYFUNCTION("""COMPUTED_VALUE"""),"")</f>
        <v/>
      </c>
      <c r="L64" s="2" t="str">
        <f>IFERROR(__xludf.DUMMYFUNCTION("""COMPUTED_VALUE"""),"")</f>
        <v/>
      </c>
    </row>
    <row r="65">
      <c r="A65" s="2" t="str">
        <f>IFERROR(__xludf.DUMMYFUNCTION("""COMPUTED_VALUE"""),"Diamond Princess Ship")</f>
        <v>Diamond Princess Ship</v>
      </c>
      <c r="B65" s="2">
        <f>IFERROR(__xludf.DUMMYFUNCTION("""COMPUTED_VALUE"""),46.0)</f>
        <v>46</v>
      </c>
      <c r="C65" s="2" t="str">
        <f>IFERROR(__xludf.DUMMYFUNCTION("""COMPUTED_VALUE"""),"")</f>
        <v/>
      </c>
      <c r="D65" s="2" t="str">
        <f>IFERROR(__xludf.DUMMYFUNCTION("""COMPUTED_VALUE"""),"")</f>
        <v/>
      </c>
      <c r="E65" s="2" t="str">
        <f>IFERROR(__xludf.DUMMYFUNCTION("""COMPUTED_VALUE"""),"")</f>
        <v/>
      </c>
      <c r="F65" s="2">
        <f>IFERROR(__xludf.DUMMYFUNCTION("""COMPUTED_VALUE"""),46.0)</f>
        <v>46</v>
      </c>
      <c r="G65" s="2" t="str">
        <f>IFERROR(__xludf.DUMMYFUNCTION("""COMPUTED_VALUE"""),"")</f>
        <v/>
      </c>
      <c r="H65" s="2" t="str">
        <f>IFERROR(__xludf.DUMMYFUNCTION("""COMPUTED_VALUE"""),"")</f>
        <v/>
      </c>
      <c r="I65" s="2">
        <f>IFERROR(__xludf.DUMMYFUNCTION("""COMPUTED_VALUE"""),46.0)</f>
        <v>46</v>
      </c>
      <c r="J65" s="2" t="str">
        <f>IFERROR(__xludf.DUMMYFUNCTION("""COMPUTED_VALUE"""),"")</f>
        <v/>
      </c>
      <c r="K65" s="2" t="str">
        <f>IFERROR(__xludf.DUMMYFUNCTION("""COMPUTED_VALUE"""),"")</f>
        <v/>
      </c>
      <c r="L65" s="2" t="str">
        <f>IFERROR(__xludf.DUMMYFUNCTION("""COMPUTED_VALUE"""),"")</f>
        <v/>
      </c>
    </row>
    <row r="66">
      <c r="A66" s="2" t="str">
        <f>IFERROR(__xludf.DUMMYFUNCTION("""COMPUTED_VALUE"""),"*Total:*")</f>
        <v>*Total:*</v>
      </c>
      <c r="B66" s="11">
        <f>IFERROR(__xludf.DUMMYFUNCTION("""COMPUTED_VALUE"""),1238459.0)</f>
        <v>1238459</v>
      </c>
      <c r="C66" s="2" t="str">
        <f>IFERROR(__xludf.DUMMYFUNCTION("""COMPUTED_VALUE"""),"+826")</f>
        <v>+826</v>
      </c>
      <c r="D66" s="11">
        <f>IFERROR(__xludf.DUMMYFUNCTION("""COMPUTED_VALUE"""),72285.0)</f>
        <v>72285</v>
      </c>
      <c r="E66" s="2" t="str">
        <f>IFERROR(__xludf.DUMMYFUNCTION("""COMPUTED_VALUE"""),"+14")</f>
        <v>+14</v>
      </c>
      <c r="F66" s="11">
        <f>IFERROR(__xludf.DUMMYFUNCTION("""COMPUTED_VALUE"""),965163.0)</f>
        <v>965163</v>
      </c>
      <c r="G66" s="11">
        <f>IFERROR(__xludf.DUMMYFUNCTION("""COMPUTED_VALUE"""),3742.0)</f>
        <v>3742</v>
      </c>
      <c r="H66" s="2">
        <f>IFERROR(__xludf.DUMMYFUNCTION("""COMPUTED_VALUE"""),218.0)</f>
        <v>218</v>
      </c>
      <c r="I66" s="11">
        <f>IFERROR(__xludf.DUMMYFUNCTION("""COMPUTED_VALUE"""),7727938.0)</f>
        <v>7727938</v>
      </c>
      <c r="J66" s="11">
        <f>IFERROR(__xludf.DUMMYFUNCTION("""COMPUTED_VALUE"""),23347.0)</f>
        <v>23347</v>
      </c>
      <c r="K66" s="2" t="str">
        <f>IFERROR(__xludf.DUMMYFUNCTION("""COMPUTED_VALUE"""),"")</f>
        <v/>
      </c>
      <c r="L66" s="2" t="str">
        <f>IFERROR(__xludf.DUMMYFUNCTION("""COMPUTED_VALUE"""),"")</f>
        <v/>
      </c>
    </row>
  </sheetData>
  <drawing r:id="rId1"/>
</worksheet>
</file>