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\Desktop\OptimizationMethods\"/>
    </mc:Choice>
  </mc:AlternateContent>
  <xr:revisionPtr revIDLastSave="0" documentId="8_{1008D3DF-946A-47E7-A277-4016DE2B8FA7}" xr6:coauthVersionLast="47" xr6:coauthVersionMax="47" xr10:uidLastSave="{00000000-0000-0000-0000-000000000000}"/>
  <bookViews>
    <workbookView xWindow="-110" yWindow="-110" windowWidth="19420" windowHeight="10300" xr2:uid="{D2DBD92A-A889-4135-A905-847EFDE5913A}"/>
  </bookViews>
  <sheets>
    <sheet name="LP Model Formulation" sheetId="1" r:id="rId1"/>
    <sheet name="Case1" sheetId="2" r:id="rId2"/>
    <sheet name="Case2" sheetId="22" r:id="rId3"/>
    <sheet name="LPModel_New_Constraints_STS" sheetId="5" state="veryHidden" r:id="rId4"/>
    <sheet name="Case2_Sensitivity_Qty_lmt" sheetId="15" r:id="rId5"/>
    <sheet name="Case3" sheetId="16" r:id="rId6"/>
    <sheet name="Case4" sheetId="27" r:id="rId7"/>
    <sheet name="Case4_STS" sheetId="28" state="veryHidden" r:id="rId8"/>
    <sheet name="Case2_STS" sheetId="12" state="veryHidden" r:id="rId9"/>
    <sheet name="Case2_new_STS" sheetId="23" state="veryHidden" r:id="rId10"/>
    <sheet name="STS_2" sheetId="30" r:id="rId11"/>
    <sheet name="STS_1" sheetId="32" r:id="rId12"/>
    <sheet name="Sheet22" sheetId="33" r:id="rId13"/>
  </sheets>
  <definedNames>
    <definedName name="ChartData" localSheetId="4">Case2_Sensitivity_Qty_lmt!$K$6:$K$66</definedName>
    <definedName name="ChartData" localSheetId="11">STS_1!$K$5:$K$37</definedName>
    <definedName name="ChartData" localSheetId="10">STS_2!$K$5:$K$25</definedName>
    <definedName name="InputValues" localSheetId="4">Case2_Sensitivity_Qty_lmt!$A$6:$A$66</definedName>
    <definedName name="InputValues" localSheetId="11">STS_1!$A$5:$A$37</definedName>
    <definedName name="InputValues" localSheetId="10">STS_2!$A$5:$A$25</definedName>
    <definedName name="OutputAddresses" localSheetId="4">Case2_Sensitivity_Qty_lmt!$B$5:$C$5</definedName>
    <definedName name="OutputAddresses" localSheetId="11">STS_1!$B$4:$G$4</definedName>
    <definedName name="OutputAddresses" localSheetId="10">STS_2!$B$4:$C$4</definedName>
    <definedName name="OutputValues" localSheetId="4">Case2_Sensitivity_Qty_lmt!$B$6:$C$66</definedName>
    <definedName name="OutputValues" localSheetId="11">STS_1!$B$5:$G$37</definedName>
    <definedName name="OutputValues" localSheetId="10">STS_2!$B$5:$C$25</definedName>
    <definedName name="solver_adj" localSheetId="1" hidden="1">Case1!$C$5:$C$8</definedName>
    <definedName name="solver_adj" localSheetId="2" hidden="1">Case2!$C$5:$C$8</definedName>
    <definedName name="solver_adj" localSheetId="5" hidden="1">Case3!$C$5:$C$8</definedName>
    <definedName name="solver_adj" localSheetId="6" hidden="1">Case4!$C$5:$C$9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2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2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itr" localSheetId="6" hidden="1">2147483647</definedName>
    <definedName name="solver_lhs0" localSheetId="5" hidden="1">Case3!$D$23</definedName>
    <definedName name="solver_lhs0" localSheetId="6" hidden="1">Case4!$D$22</definedName>
    <definedName name="solver_lhs1" localSheetId="1" hidden="1">Case1!$C$5:$C$8</definedName>
    <definedName name="solver_lhs1" localSheetId="2" hidden="1">Case2!$C$5:$C$8</definedName>
    <definedName name="solver_lhs1" localSheetId="5" hidden="1">Case3!$C$5:$C$8</definedName>
    <definedName name="solver_lhs1" localSheetId="6" hidden="1">Case4!$C$5:$C$8</definedName>
    <definedName name="solver_lhs2" localSheetId="1" hidden="1">Case1!$E$20:$E$22</definedName>
    <definedName name="solver_lhs2" localSheetId="2" hidden="1">Case2!$D$20:$D$22</definedName>
    <definedName name="solver_lhs2" localSheetId="5" hidden="1">Case3!$D$20:$D$23</definedName>
    <definedName name="solver_lhs2" localSheetId="6" hidden="1">Case4!$D$19:$D$22</definedName>
    <definedName name="solver_lhs3" localSheetId="1" hidden="1">Case1!$E$24:$E$27</definedName>
    <definedName name="solver_lhs3" localSheetId="2" hidden="1">Case2!$D$24:$D$27</definedName>
    <definedName name="solver_lhs3" localSheetId="5" hidden="1">Case3!$D$24:$D$28</definedName>
    <definedName name="solver_lhs3" localSheetId="6" hidden="1">Case4!$D$23:$D$28</definedName>
    <definedName name="solver_lhs4" localSheetId="1" hidden="1">Case1!$E$23:$E$27</definedName>
    <definedName name="solver_lhs4" localSheetId="2" hidden="1">Case2!$D$29</definedName>
    <definedName name="solver_lhs4" localSheetId="5" hidden="1">Case3!$D$25:$D$28</definedName>
    <definedName name="solver_lhs4" localSheetId="6" hidden="1">Case4!$D$23:$D$28</definedName>
    <definedName name="solver_lhs5" localSheetId="1" hidden="1">Case1!$E$22</definedName>
    <definedName name="solver_lhs5" localSheetId="2" hidden="1">Case2!$D$22</definedName>
    <definedName name="solver_lhs5" localSheetId="5" hidden="1">Case3!$D$25:$D$28</definedName>
    <definedName name="solver_lhs5" localSheetId="6" hidden="1">Case4!$D$24:$D$27</definedName>
    <definedName name="solver_lhs6" localSheetId="1" hidden="1">Case1!$E$23:$E$27</definedName>
    <definedName name="solver_lhs6" localSheetId="2" hidden="1">Case2!$D$23:$D$27</definedName>
    <definedName name="solver_lhs6" localSheetId="5" hidden="1">Case3!$D$24:$D$28</definedName>
    <definedName name="solver_lhs6" localSheetId="6" hidden="1">Case4!$D$23:$D$27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2" hidden="1">1</definedName>
    <definedName name="solver_msl" localSheetId="5" hidden="1">1</definedName>
    <definedName name="solver_msl" localSheetId="6" hidden="1">1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od" localSheetId="6" hidden="1">2147483647</definedName>
    <definedName name="solver_num" localSheetId="1" hidden="1">3</definedName>
    <definedName name="solver_num" localSheetId="2" hidden="1">4</definedName>
    <definedName name="solver_num" localSheetId="5" hidden="1">3</definedName>
    <definedName name="solver_num" localSheetId="6" hidden="1">3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opt" localSheetId="1" hidden="1">Case1!$C$13</definedName>
    <definedName name="solver_opt" localSheetId="2" hidden="1">Case2!$C$13</definedName>
    <definedName name="solver_opt" localSheetId="5" hidden="1">Case3!$C$13</definedName>
    <definedName name="solver_opt" localSheetId="6" hidden="1">Case4!$C$13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2" hidden="1">2</definedName>
    <definedName name="solver_rbv" localSheetId="5" hidden="1">2</definedName>
    <definedName name="solver_rbv" localSheetId="6" hidden="1">2</definedName>
    <definedName name="solver_rel0" localSheetId="5" hidden="1">1</definedName>
    <definedName name="solver_rel0" localSheetId="6" hidden="1">1</definedName>
    <definedName name="solver_rel1" localSheetId="1" hidden="1">4</definedName>
    <definedName name="solver_rel1" localSheetId="2" hidden="1">4</definedName>
    <definedName name="solver_rel1" localSheetId="5" hidden="1">4</definedName>
    <definedName name="solver_rel1" localSheetId="6" hidden="1">4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2" localSheetId="6" hidden="1">3</definedName>
    <definedName name="solver_rel3" localSheetId="1" hidden="1">1</definedName>
    <definedName name="solver_rel3" localSheetId="2" hidden="1">1</definedName>
    <definedName name="solver_rel3" localSheetId="5" hidden="1">1</definedName>
    <definedName name="solver_rel3" localSheetId="6" hidden="1">1</definedName>
    <definedName name="solver_rel4" localSheetId="1" hidden="1">1</definedName>
    <definedName name="solver_rel4" localSheetId="2" hidden="1">3</definedName>
    <definedName name="solver_rel4" localSheetId="5" hidden="1">1</definedName>
    <definedName name="solver_rel4" localSheetId="6" hidden="1">1</definedName>
    <definedName name="solver_rel5" localSheetId="1" hidden="1">3</definedName>
    <definedName name="solver_rel5" localSheetId="2" hidden="1">3</definedName>
    <definedName name="solver_rel5" localSheetId="5" hidden="1">1</definedName>
    <definedName name="solver_rel5" localSheetId="6" hidden="1">1</definedName>
    <definedName name="solver_rel6" localSheetId="1" hidden="1">1</definedName>
    <definedName name="solver_rel6" localSheetId="2" hidden="1">1</definedName>
    <definedName name="solver_rel6" localSheetId="5" hidden="1">1</definedName>
    <definedName name="solver_rel6" localSheetId="6" hidden="1">1</definedName>
    <definedName name="solver_rhs0" localSheetId="5" hidden="1">Case3!$F$23</definedName>
    <definedName name="solver_rhs0" localSheetId="6" hidden="1">Case4!$F$22</definedName>
    <definedName name="solver_rhs1" localSheetId="1" hidden="1">"integer"</definedName>
    <definedName name="solver_rhs1" localSheetId="2" hidden="1">"integer"</definedName>
    <definedName name="solver_rhs1" localSheetId="5" hidden="1">"integer"</definedName>
    <definedName name="solver_rhs1" localSheetId="6" hidden="1">"integer"</definedName>
    <definedName name="solver_rhs2" localSheetId="1" hidden="1">Case1!$G$20:$G$22</definedName>
    <definedName name="solver_rhs2" localSheetId="2" hidden="1">Case2!$F$20:$F$22</definedName>
    <definedName name="solver_rhs2" localSheetId="5" hidden="1">Case3!$F$20:$F$23</definedName>
    <definedName name="solver_rhs2" localSheetId="6" hidden="1">Case4!$F$19:$F$22</definedName>
    <definedName name="solver_rhs3" localSheetId="1" hidden="1">Case1!$G$24:$G$27</definedName>
    <definedName name="solver_rhs3" localSheetId="2" hidden="1">Case2!$F$24:$F$27</definedName>
    <definedName name="solver_rhs3" localSheetId="5" hidden="1">Case3!$F$24:$F$28</definedName>
    <definedName name="solver_rhs3" localSheetId="6" hidden="1">Case4!$F$23:$F$28</definedName>
    <definedName name="solver_rhs4" localSheetId="1" hidden="1">Case1!$G$23:$G$27</definedName>
    <definedName name="solver_rhs4" localSheetId="2" hidden="1">Case2!$F$29</definedName>
    <definedName name="solver_rhs4" localSheetId="5" hidden="1">Case3!$F$25:$F$28</definedName>
    <definedName name="solver_rhs4" localSheetId="6" hidden="1">Case4!$F$23:$F$28</definedName>
    <definedName name="solver_rhs5" localSheetId="1" hidden="1">Case1!$G$22</definedName>
    <definedName name="solver_rhs5" localSheetId="2" hidden="1">Case2!$F$22</definedName>
    <definedName name="solver_rhs5" localSheetId="5" hidden="1">Case3!$F$25:$F$28</definedName>
    <definedName name="solver_rhs5" localSheetId="6" hidden="1">Case4!$F$24:$F$27</definedName>
    <definedName name="solver_rhs6" localSheetId="1" hidden="1">Case1!$G$23:$G$27</definedName>
    <definedName name="solver_rhs6" localSheetId="2" hidden="1">Case2!$F$23:$F$27</definedName>
    <definedName name="solver_rhs6" localSheetId="5" hidden="1">Case3!$F$24:$F$28</definedName>
    <definedName name="solver_rhs6" localSheetId="6" hidden="1">Case4!$F$23:$F$27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2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ol" localSheetId="6" hidden="1">0.01</definedName>
    <definedName name="solver_typ" localSheetId="1" hidden="1">2</definedName>
    <definedName name="solver_typ" localSheetId="2" hidden="1">2</definedName>
    <definedName name="solver_typ" localSheetId="5" hidden="1">2</definedName>
    <definedName name="solver_typ" localSheetId="6" hidden="1">2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2" hidden="1">3</definedName>
    <definedName name="solver_ver" localSheetId="5" hidden="1">3</definedName>
    <definedName name="solver_ver" localSheetId="6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2" l="1"/>
  <c r="K1" i="32"/>
  <c r="J4" i="32"/>
  <c r="K37" i="32"/>
  <c r="K36" i="32"/>
  <c r="K35" i="32"/>
  <c r="K34" i="32"/>
  <c r="K33" i="32"/>
  <c r="K32" i="32"/>
  <c r="K31" i="32"/>
  <c r="K30" i="32"/>
  <c r="K29" i="32"/>
  <c r="K28" i="32"/>
  <c r="K27" i="32"/>
  <c r="K26" i="32"/>
  <c r="K25" i="32"/>
  <c r="K24" i="32"/>
  <c r="K23" i="32"/>
  <c r="K22" i="32"/>
  <c r="K21" i="32"/>
  <c r="K20" i="32"/>
  <c r="K19" i="32"/>
  <c r="K18" i="32"/>
  <c r="K17" i="32"/>
  <c r="K16" i="32"/>
  <c r="K15" i="32"/>
  <c r="K14" i="32"/>
  <c r="K13" i="32"/>
  <c r="K12" i="32"/>
  <c r="K11" i="32"/>
  <c r="K10" i="32"/>
  <c r="K9" i="32"/>
  <c r="K8" i="32"/>
  <c r="K7" i="32"/>
  <c r="K6" i="32"/>
  <c r="K5" i="32"/>
  <c r="C13" i="27"/>
  <c r="D21" i="27"/>
  <c r="F21" i="27"/>
  <c r="F20" i="27"/>
  <c r="K1" i="30"/>
  <c r="J4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F22" i="27"/>
  <c r="D28" i="27"/>
  <c r="F28" i="27"/>
  <c r="F27" i="27"/>
  <c r="F26" i="27"/>
  <c r="F25" i="27"/>
  <c r="F24" i="27"/>
  <c r="D24" i="27"/>
  <c r="F23" i="27"/>
  <c r="D23" i="27"/>
  <c r="D20" i="27"/>
  <c r="D19" i="27"/>
  <c r="D22" i="27"/>
  <c r="D27" i="27"/>
  <c r="D26" i="27"/>
  <c r="D25" i="27"/>
  <c r="F23" i="16"/>
  <c r="F24" i="16"/>
  <c r="D29" i="22"/>
  <c r="F27" i="22"/>
  <c r="D27" i="22"/>
  <c r="F26" i="22"/>
  <c r="D26" i="22"/>
  <c r="F25" i="22"/>
  <c r="D25" i="22"/>
  <c r="F24" i="22"/>
  <c r="D24" i="22"/>
  <c r="F23" i="22"/>
  <c r="D23" i="22"/>
  <c r="F22" i="22"/>
  <c r="D22" i="22"/>
  <c r="F21" i="22"/>
  <c r="D21" i="22"/>
  <c r="D20" i="22"/>
  <c r="C13" i="22"/>
  <c r="F28" i="16"/>
  <c r="D28" i="16"/>
  <c r="F27" i="16"/>
  <c r="D27" i="16"/>
  <c r="F26" i="16"/>
  <c r="D26" i="16"/>
  <c r="F25" i="16"/>
  <c r="D25" i="16"/>
  <c r="D24" i="16"/>
  <c r="D23" i="16"/>
  <c r="F22" i="16"/>
  <c r="D22" i="16"/>
  <c r="F21" i="16"/>
  <c r="D21" i="16"/>
  <c r="D20" i="16"/>
  <c r="C13" i="16"/>
  <c r="K1" i="15"/>
  <c r="J5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E22" i="2"/>
  <c r="G22" i="2"/>
  <c r="G21" i="2"/>
  <c r="G23" i="2"/>
  <c r="E23" i="2"/>
  <c r="E26" i="2"/>
  <c r="G26" i="2"/>
  <c r="E21" i="2"/>
  <c r="E24" i="2"/>
  <c r="G24" i="2"/>
  <c r="E25" i="2"/>
  <c r="G27" i="2"/>
  <c r="E20" i="2"/>
  <c r="G25" i="2"/>
  <c r="E27" i="2"/>
  <c r="C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6" authorId="0" shapeId="0" xr:uid="{9BBAF343-F821-4607-A268-32F912921C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9147B0D6-D523-4FEF-95E5-5C4B1809A6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3F1CD496-D347-4782-985F-2C997127E6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A8C2C0E6-D79E-406B-99C2-728F13BC57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379F2AD7-309A-4A53-98D1-62E1A7CF83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37466814-ED46-4EE8-B1C6-3AAF7606D2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CE515ED6-1DC4-4B81-8074-30B84D6F8C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C6744E0B-A55F-412A-AA19-C537D34608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C53C327D-5D87-4F75-BC7E-098C9EB78F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6190C1FF-8D3A-4C1E-B0AA-173A179D7E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E1F6A94C-EDF8-4C5E-B1B9-BF0F020998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0FD0A126-2E87-4592-B613-FAAF656F56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8" authorId="0" shapeId="0" xr:uid="{8456D536-891D-4284-B82C-ABDFB4960F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CF16BC1E-A9E4-476F-808B-715BBEF9AD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9A15A3E5-2BDA-4CF0-B15D-BFA06806F0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46CD880F-B7B9-4542-BDE9-37751611D256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2" authorId="0" shapeId="0" xr:uid="{BE03FD52-11F7-44EF-B776-5AF187C234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C004C599-8165-4993-B5D2-2A6D3AEFE4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F01A18D9-484E-4029-AD18-34EFCDDF00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56D64C48-1066-4E88-93FB-70E2D9BDCD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6" authorId="0" shapeId="0" xr:uid="{62F23A57-B2FB-4D99-8924-5B09ACC236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7" authorId="0" shapeId="0" xr:uid="{72DDEED0-150A-4123-82B7-214000506D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8" authorId="0" shapeId="0" xr:uid="{B4507D4C-24D2-4F54-9E4A-8ACA493CA0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9" authorId="0" shapeId="0" xr:uid="{4182ADC3-CEAF-4A17-9B39-821784002F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0" authorId="0" shapeId="0" xr:uid="{F7861E05-F43C-421F-B210-E13A6EE1BE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1" authorId="0" shapeId="0" xr:uid="{B55BD34E-779A-42A3-B61B-351ED7DE0E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2" authorId="0" shapeId="0" xr:uid="{006BE010-3D37-4177-ACCC-2AB49A2017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3" authorId="0" shapeId="0" xr:uid="{CF19D2D5-F025-4B68-A02B-66AEC744F2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4" authorId="0" shapeId="0" xr:uid="{426AC73C-4C4B-4522-AD32-AC1D6A8097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5" authorId="0" shapeId="0" xr:uid="{147DB43F-4372-4415-AE62-5ED8F1B117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6" authorId="0" shapeId="0" xr:uid="{F97558F0-CAE0-49F3-B333-1BEAB87EA0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7" authorId="0" shapeId="0" xr:uid="{54A90207-DB7C-489F-9A26-CEACFD83C9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8" authorId="0" shapeId="0" xr:uid="{8C8C8B1B-BE5C-4879-B599-5C13FD71E0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9" authorId="0" shapeId="0" xr:uid="{943089C6-ACE7-4581-97E8-51EBA1A932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0" authorId="0" shapeId="0" xr:uid="{801016FB-21D7-4D13-B3D2-FCBB94DB7C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1" authorId="0" shapeId="0" xr:uid="{DF8FEFF6-51C6-4FD1-8766-F2BA7E144C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2" authorId="0" shapeId="0" xr:uid="{9FB49309-0576-4F5A-A051-6ABF3D3166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3" authorId="0" shapeId="0" xr:uid="{28F4A60D-605C-43D5-AE03-6F12C0BF73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4" authorId="0" shapeId="0" xr:uid="{CCBDBB0B-325F-4286-A207-772A9FE050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5" authorId="0" shapeId="0" xr:uid="{8736E032-3D0D-452D-87C5-1314C0A72A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6" authorId="0" shapeId="0" xr:uid="{D380944B-8F34-4260-BC06-94DE4FE7AF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7" authorId="0" shapeId="0" xr:uid="{EA68644D-05E5-4B56-A18A-145BA5518B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8" authorId="0" shapeId="0" xr:uid="{D0326674-00D7-4C69-A470-FD17FE33FE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9" authorId="0" shapeId="0" xr:uid="{787DD6AD-F550-4897-8FBE-98D96AF014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0" authorId="0" shapeId="0" xr:uid="{D7828ADC-1B71-47EF-992A-170EF18599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1" authorId="0" shapeId="0" xr:uid="{7681AB1A-B276-4F07-91A0-30DA0C8EC5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2" authorId="0" shapeId="0" xr:uid="{5AD14BAA-FB37-48A1-BB65-56E6F7CE32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3" authorId="0" shapeId="0" xr:uid="{66164E87-AF60-4657-BF87-41D072F4FE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4" authorId="0" shapeId="0" xr:uid="{8C193DDE-3B2E-494A-9DD7-CE28918DD8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5" authorId="0" shapeId="0" xr:uid="{987B17A7-19E5-433A-AFA8-9656B9905A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6" authorId="0" shapeId="0" xr:uid="{7FC27B2A-A85D-4C9A-96D9-63CC421937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7" authorId="0" shapeId="0" xr:uid="{23D25B40-5D6C-478D-83E7-99C57B4D81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8" authorId="0" shapeId="0" xr:uid="{06F89CE5-D648-41F5-B2E6-2D6F6B1C0C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9" authorId="0" shapeId="0" xr:uid="{F62EAB7A-3567-419A-A457-751DE1D8E9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0" authorId="0" shapeId="0" xr:uid="{41DF6F3C-F231-485E-808F-3D4ECD0A0E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1" authorId="0" shapeId="0" xr:uid="{E80C4F53-1EAA-48EB-9245-EF7C9A60EF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2" authorId="0" shapeId="0" xr:uid="{95A324D5-C158-4C8F-9AFF-3BA0A7F3A9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3" authorId="0" shapeId="0" xr:uid="{6CE6D009-CAE3-49D5-B50D-363F3F5914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4" authorId="0" shapeId="0" xr:uid="{0064AB3E-FA72-4832-9508-085CE62DCB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5" authorId="0" shapeId="0" xr:uid="{5BAD19A6-550B-46AD-88F1-1422DA61DA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6" authorId="0" shapeId="0" xr:uid="{DBA7EF9A-155E-4A98-8A5C-DDE8864454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tc={591B4D2E-693A-43D8-861F-4461F5462F91}</author>
  </authors>
  <commentList>
    <comment ref="E6" authorId="0" shapeId="0" xr:uid="{591B4D2E-693A-43D8-861F-4461F5462F9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Supplier 2 on time delivery rate has been reduced from 85% to 80%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E176962C-4540-46AE-80BB-B7F41A58A3C4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6" authorId="0" shapeId="0" xr:uid="{83599991-EF17-4DE3-8899-C4CBC027DB65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7" authorId="0" shapeId="0" xr:uid="{410F456E-FCA0-429B-AE00-6D7CC257A0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6D06EE04-8E2F-40DC-AFDF-854AEF65F4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B8C31FD2-DD48-4343-8C4E-99B3A4243EAE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0" authorId="0" shapeId="0" xr:uid="{BEB51B2C-FA6F-493D-8761-B37E451D77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B1621120-09AF-4C4F-9C98-ED30AD6E227E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2" authorId="0" shapeId="0" xr:uid="{C16D8E8E-964F-4243-9246-9115783ED1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DB07F783-D79A-4725-9359-F57764BC8E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6F19D572-8664-40C5-8C6C-6B01D4061D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066466A7-8196-48A1-8D1D-4AEA1AA068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281B503A-293D-4525-85A8-F443AF0BBD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912B93C6-65C7-4E26-AD90-AFE2631CAF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 shapeId="0" xr:uid="{FEE3FEAD-D47D-4DD3-A9ED-A23645BBD4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356EA523-CC67-44A5-B293-0E2DAD57A3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9B4D9AB1-6D13-4A30-B338-6678CA0434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C86C11FE-AFB6-4F29-A6FD-0C81B30265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2" authorId="0" shapeId="0" xr:uid="{67CA2FD9-AEC0-4592-9412-32C1B04AC2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3" authorId="0" shapeId="0" xr:uid="{4FD1AEE2-B790-40DD-A6DC-DBE6790378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40EDB77D-BFE4-4147-B67B-8AE1116F98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FD46AE65-DD1E-42AB-81BA-49C8861175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5FE615D7-9EA1-494C-8F4D-55906AABEB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D9E27BD3-1EA3-40BA-A074-1DA04562DC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7349AB91-DDAA-495E-B60A-BA0BFF600F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F4FED5D4-C508-4A6A-BD9B-60EB7E0238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4BEDEA6-826F-4A5C-862C-89A88F8EF4A5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0" authorId="0" shapeId="0" xr:uid="{3FD03EB1-AD5C-49B1-BA58-88D69E0728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730A5C74-E2DE-46A5-9E58-5707CC7569A4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2" authorId="0" shapeId="0" xr:uid="{BE9EFC1B-6701-43AF-98D9-A59CF4FBDD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B3B89C07-39BD-49FC-AF46-44240F408E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33377FDF-C0A1-45CB-80E5-AD7DD89500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C43D3766-BCB1-4978-BFE4-479ED19B8E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4D7D76A6-5D2C-4983-ABB0-74D6D66E6AFD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7" authorId="0" shapeId="0" xr:uid="{71E3B736-6427-4EB3-A60D-812AD3502F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5FC35D76-C577-47CB-8962-FBCE0C38CD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92B14871-3C7C-47E0-B974-8AF1F62B9B5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0" authorId="0" shapeId="0" xr:uid="{B778E3B6-AA80-4557-823F-983F9CA7A9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6E0140F2-A5C6-433D-9FCE-9165AEB9A6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AE4D07AF-6788-49C4-AEE5-D3EC5F480178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3" authorId="0" shapeId="0" xr:uid="{3CA12C76-A4CA-4219-BF9D-61257101E8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9C4E336E-A0D0-40A9-8510-569554C71C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8B8E0878-8AC5-4679-A2D9-AFBD011D52DE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6" authorId="0" shapeId="0" xr:uid="{2A86C742-ECB4-4ECF-A792-903211BE3D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A82D2B07-3536-472B-BE79-BA8750EC0B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C076A980-8081-4BC0-8857-CACF06284C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9" authorId="0" shapeId="0" xr:uid="{797F8FA6-532A-4E5D-A301-E140D76D7FA6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30" authorId="0" shapeId="0" xr:uid="{9D8EC5EE-1366-481B-82D4-69D4FAEFB6FD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31" authorId="0" shapeId="0" xr:uid="{ECBDAD33-ECD0-40CE-B1F2-F74CE5F0750E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32" authorId="0" shapeId="0" xr:uid="{466F15D2-95D8-4479-A861-AD059D062B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3" authorId="0" shapeId="0" xr:uid="{9834E613-7495-4210-ADE3-FA08C03175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8EB75906-FBB3-4E4F-A8C0-418245D013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A0E8E9B9-1490-4149-8554-27197D6DCD23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36" authorId="0" shapeId="0" xr:uid="{0C20D99D-9F12-423D-A340-79FA5C7F36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40DD5B1F-8897-47DE-87C2-D12D430141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<sst xmlns="http://schemas.openxmlformats.org/spreadsheetml/2006/main" count="330" uniqueCount="124">
  <si>
    <t>MicroSystems Inc</t>
  </si>
  <si>
    <t>Decision Variables</t>
  </si>
  <si>
    <t>Suppliar 1 Qty</t>
  </si>
  <si>
    <t>S1</t>
  </si>
  <si>
    <t>Quality Accept Rate</t>
  </si>
  <si>
    <t>On-Time Delivery Rate</t>
  </si>
  <si>
    <t>Cost Per Unit ( $)</t>
  </si>
  <si>
    <t>S2</t>
  </si>
  <si>
    <t>S3</t>
  </si>
  <si>
    <t>S4</t>
  </si>
  <si>
    <t>Suppliar 2 Qty</t>
  </si>
  <si>
    <t>Suppliar 3 Qty</t>
  </si>
  <si>
    <t>Suppliar 4 Qty</t>
  </si>
  <si>
    <t>Objective Function</t>
  </si>
  <si>
    <t>Minized cost of purchage from suppliers</t>
  </si>
  <si>
    <t>CONSTRAINTS</t>
  </si>
  <si>
    <t>Maximum Qty purchaged per month</t>
  </si>
  <si>
    <t>&lt;=</t>
  </si>
  <si>
    <t>S1+S2+S3+S4</t>
  </si>
  <si>
    <t>Average Quality Acceptance Rate</t>
  </si>
  <si>
    <t>&gt;=</t>
  </si>
  <si>
    <t>Variables</t>
  </si>
  <si>
    <t>Supplier Quantities</t>
  </si>
  <si>
    <t>Quality of Acceptance Rate of each Suppliers</t>
  </si>
  <si>
    <t>OnTime Delivery Rate for each Supplier</t>
  </si>
  <si>
    <t>Cost Per Unit for each Supplier</t>
  </si>
  <si>
    <t>i=1,2,3,4</t>
  </si>
  <si>
    <t>Average On Delivery Rate</t>
  </si>
  <si>
    <t>Q̅</t>
  </si>
  <si>
    <t>D̅</t>
  </si>
  <si>
    <t>C̅</t>
  </si>
  <si>
    <t>Average Cost of the units</t>
  </si>
  <si>
    <t>No supplier has more than 50%</t>
  </si>
  <si>
    <t>Quality Accept Rate (Q)</t>
  </si>
  <si>
    <t>On-Time Delivery Rate (D)</t>
  </si>
  <si>
    <t>Cost Per Unit (C) ( $)</t>
  </si>
  <si>
    <t>Minimized cost of purchase from suppliers</t>
  </si>
  <si>
    <t>Constraints</t>
  </si>
  <si>
    <t>Supplier 1 Qty Percentage</t>
  </si>
  <si>
    <t>S1/ (S1+S2+S3+S4)</t>
  </si>
  <si>
    <t>Supplier 2 Qty Percentage</t>
  </si>
  <si>
    <t>Supplier 3 Qty Percentage</t>
  </si>
  <si>
    <t>Supplier 4 Qty Percentage</t>
  </si>
  <si>
    <t>S2/ (S1+S2+S3+S4)</t>
  </si>
  <si>
    <t>S3/ (S1+S2+S3+S4)</t>
  </si>
  <si>
    <t>S4/ (S1+S2+S3+S4)</t>
  </si>
  <si>
    <t>LHS</t>
  </si>
  <si>
    <t>RHS</t>
  </si>
  <si>
    <t>Non Negative Constraint</t>
  </si>
  <si>
    <t>S1,S2,S3,S4 &gt; 0</t>
  </si>
  <si>
    <t>AVG(S1*D1+S2*D2+S3*D3+S4*D4)</t>
  </si>
  <si>
    <t>AVG(S1*Q1+S2*Q2+S3*Q3+S4*Q4)</t>
  </si>
  <si>
    <t xml:space="preserve">AVG(S1*C1+S2*C2+S3*C3+S4*C4) </t>
  </si>
  <si>
    <t>Supplier 1 &amp; Supplier 3 Limit</t>
  </si>
  <si>
    <t>S5</t>
  </si>
  <si>
    <t>Supplier 5 Qty Percentage</t>
  </si>
  <si>
    <t>Overall Avg Quality Requirement</t>
  </si>
  <si>
    <t>$C$12</t>
  </si>
  <si>
    <t>$C$18</t>
  </si>
  <si>
    <t>Data for chart</t>
  </si>
  <si>
    <t>$C$18,$G$28</t>
  </si>
  <si>
    <t>Not feasible</t>
  </si>
  <si>
    <t>Suplier 1 &amp; Supplier 3 Qty Limit</t>
  </si>
  <si>
    <t>$C$18,$G$33</t>
  </si>
  <si>
    <t>Supplier 1 &amp; Supplier 3 Qty Limit</t>
  </si>
  <si>
    <t>Oneway analysis for Solver model in Case2 worksheet</t>
  </si>
  <si>
    <t>Supplier 1 &amp; Supplier 3 Qty Limit (cell $C$12) values along side, output cell(s) along top</t>
  </si>
  <si>
    <t>$G$33</t>
  </si>
  <si>
    <t>$C$6</t>
  </si>
  <si>
    <t>$C$7</t>
  </si>
  <si>
    <t>$C$8</t>
  </si>
  <si>
    <t>$C$9</t>
  </si>
  <si>
    <t>S1 and S3 supplier limit</t>
  </si>
  <si>
    <t>S1 &amp; S3 Qty Limit</t>
  </si>
  <si>
    <t>$J$34</t>
  </si>
  <si>
    <t>$C$16,$G$34</t>
  </si>
  <si>
    <t xml:space="preserve">The Supplier 2 on time delivery rate has been reduced from 85% to 80% </t>
  </si>
  <si>
    <t>Supplier 5 Qty</t>
  </si>
  <si>
    <t>$C$10</t>
  </si>
  <si>
    <t>Oneway analysis for Solver model in Case4 worksheet</t>
  </si>
  <si>
    <t>Input (cell $J$31) values along side, output cell(s) along top</t>
  </si>
  <si>
    <t>$C$17</t>
  </si>
  <si>
    <t>$G$30</t>
  </si>
  <si>
    <t>$G$29</t>
  </si>
  <si>
    <t>$C$17,$C$6,$C$7,$C$8,$C$9,$C$10</t>
  </si>
  <si>
    <t>Maximum Qty Sensitivity</t>
  </si>
  <si>
    <t>Maximum Qty Sensitivity (cell $G$29) values along side, output cell(s) along top</t>
  </si>
  <si>
    <t>Qty</t>
  </si>
  <si>
    <t>Optimal Price</t>
  </si>
  <si>
    <t>Supplier 1 Qty</t>
  </si>
  <si>
    <t>Supplier 2 Qty</t>
  </si>
  <si>
    <t>Supplier 3 Qty</t>
  </si>
  <si>
    <t>Supplier 4 Qty</t>
  </si>
  <si>
    <t>AVG(S1*Q1+S2*Q2+S3*Q3+S4*Q4) &gt;= 94%</t>
  </si>
  <si>
    <t>S1+S2+S3+S4 &gt;=5200</t>
  </si>
  <si>
    <t>AVG(S1*D1+S2*D2+S3*D3+S4*D4) &gt;=90%</t>
  </si>
  <si>
    <t>AVG(S1*C1+S2*C2+S3*C3+S4*C4)  &lt;= 14</t>
  </si>
  <si>
    <t>S1/ (S1+S2+S3+S4) &lt;= 50%</t>
  </si>
  <si>
    <t>S2/ (S1+S2+S3+S4)&lt;= 50%</t>
  </si>
  <si>
    <t>S3/ (S1+S2+S3+S4)&lt;= 50%</t>
  </si>
  <si>
    <t>S4/ (S1+S2+S3+S4)&lt;= 50%</t>
  </si>
  <si>
    <t>Methamatical notation of constraints</t>
  </si>
  <si>
    <t>Min [S1*C1+S2*C2+S3*C3+S4*C4]</t>
  </si>
  <si>
    <t>Optimal Cost</t>
  </si>
  <si>
    <t>Total Qty from all suppliers</t>
  </si>
  <si>
    <t>S1+S3 Qty %</t>
  </si>
  <si>
    <t>A new supplier introduced as Supplier 5 with Quality Accept Rate 0.85, On time delivery rate 0.90 and cost per unit as $11.</t>
  </si>
  <si>
    <t>Overall Quality %</t>
  </si>
  <si>
    <t>Problem Defination</t>
  </si>
  <si>
    <t>Optimal Value</t>
  </si>
  <si>
    <t>Case 1 - S1-S4, Delivery &gt;90%, Quality &gt;94%, Avg Price &gt;$14</t>
  </si>
  <si>
    <t>Case 2 - S1-S4, Delivery &gt;90%, Quality &gt;94%, S1 + S3 &gt;70%, Avg Price &gt;$15</t>
  </si>
  <si>
    <t>Case 3 - S1-S4, Delivery &gt;90%, Quality &gt;94%, S1 + S3 &gt;70%, Avg Price &gt;$16, S2 &gt;80%(Delivery)</t>
  </si>
  <si>
    <t>Case 4 - S1-S5, Delivery &gt;90%, Quality &gt;94%, S1 + S3 &gt;70%, Avg Price &gt;$16, S2 &gt;80%(Delivery)</t>
  </si>
  <si>
    <t>(Si / Ʃsi)  , i=1,2,3,4</t>
  </si>
  <si>
    <t>MIN  [  Ʃ SiCi],  i=1..4</t>
  </si>
  <si>
    <r>
      <t>S</t>
    </r>
    <r>
      <rPr>
        <vertAlign val="subscript"/>
        <sz val="14"/>
        <color theme="1"/>
        <rFont val="Calibri"/>
        <family val="2"/>
        <scheme val="minor"/>
      </rPr>
      <t>i</t>
    </r>
  </si>
  <si>
    <r>
      <t>Q</t>
    </r>
    <r>
      <rPr>
        <vertAlign val="subscript"/>
        <sz val="14"/>
        <color theme="1"/>
        <rFont val="Calibri"/>
        <family val="2"/>
        <scheme val="minor"/>
      </rPr>
      <t>i</t>
    </r>
  </si>
  <si>
    <r>
      <t>Ʃ S</t>
    </r>
    <r>
      <rPr>
        <vertAlign val="subscript"/>
        <sz val="14"/>
        <color theme="1"/>
        <rFont val="Calibri"/>
        <family val="2"/>
        <scheme val="minor"/>
      </rPr>
      <t>i</t>
    </r>
  </si>
  <si>
    <r>
      <t>D</t>
    </r>
    <r>
      <rPr>
        <vertAlign val="subscript"/>
        <sz val="14"/>
        <color theme="1"/>
        <rFont val="Calibri"/>
        <family val="2"/>
        <scheme val="minor"/>
      </rPr>
      <t>i</t>
    </r>
  </si>
  <si>
    <r>
      <t>C</t>
    </r>
    <r>
      <rPr>
        <vertAlign val="subscript"/>
        <sz val="14"/>
        <color theme="1"/>
        <rFont val="Calibri"/>
        <family val="2"/>
        <scheme val="minor"/>
      </rPr>
      <t>i</t>
    </r>
  </si>
  <si>
    <t>New Added Constraint</t>
  </si>
  <si>
    <t>S1 &amp; S3 Qty Limit: S1+S3&gt;=50%(S1+S2+S3+S4)</t>
  </si>
  <si>
    <t>Newly Added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</si>
</sst>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18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Palatino Linotype"/>
      <family val="1"/>
    </font>
    <font>
      <b/>
      <sz val="12"/>
      <color theme="3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DCC0"/>
        <bgColor indexed="64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7" fillId="0" borderId="0" xfId="0" applyFont="1"/>
    <xf numFmtId="49" fontId="0" fillId="0" borderId="0" xfId="0" applyNumberFormat="1"/>
    <xf numFmtId="0" fontId="8" fillId="0" borderId="0" xfId="0" applyFont="1"/>
    <xf numFmtId="0" fontId="6" fillId="0" borderId="0" xfId="0" applyFont="1"/>
    <xf numFmtId="0" fontId="0" fillId="0" borderId="0" xfId="0" applyAlignment="1">
      <alignment horizontal="right" textRotation="90"/>
    </xf>
    <xf numFmtId="0" fontId="0" fillId="0" borderId="17" xfId="0" applyBorder="1"/>
    <xf numFmtId="0" fontId="0" fillId="0" borderId="19" xfId="0" applyBorder="1"/>
    <xf numFmtId="0" fontId="0" fillId="4" borderId="0" xfId="0" applyFill="1" applyAlignment="1">
      <alignment horizontal="right" textRotation="90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2" fontId="0" fillId="0" borderId="0" xfId="0" applyNumberFormat="1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  <xf numFmtId="0" fontId="0" fillId="0" borderId="8" xfId="0" applyNumberFormat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22" xfId="0" applyFont="1" applyFill="1" applyBorder="1" applyAlignment="1">
      <alignment horizontal="center" vertical="center" wrapText="1"/>
    </xf>
    <xf numFmtId="0" fontId="10" fillId="12" borderId="0" xfId="0" applyFont="1" applyFill="1" applyBorder="1" applyAlignment="1">
      <alignment horizontal="center" vertical="center" wrapText="1"/>
    </xf>
    <xf numFmtId="0" fontId="10" fillId="12" borderId="23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3" fillId="16" borderId="45" xfId="0" applyFont="1" applyFill="1" applyBorder="1" applyAlignment="1">
      <alignment horizontal="center" vertical="center"/>
    </xf>
    <xf numFmtId="0" fontId="3" fillId="16" borderId="46" xfId="0" applyFont="1" applyFill="1" applyBorder="1" applyAlignment="1">
      <alignment horizontal="center" vertical="center"/>
    </xf>
    <xf numFmtId="0" fontId="3" fillId="16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0" fillId="4" borderId="4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 wrapText="1"/>
    </xf>
    <xf numFmtId="0" fontId="5" fillId="8" borderId="39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0" fontId="5" fillId="8" borderId="35" xfId="0" applyFont="1" applyFill="1" applyBorder="1" applyAlignment="1">
      <alignment horizontal="center" vertical="center" wrapText="1"/>
    </xf>
    <xf numFmtId="0" fontId="5" fillId="8" borderId="37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2" borderId="45" xfId="0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16" fillId="0" borderId="0" xfId="0" applyFont="1"/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46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/>
    </xf>
    <xf numFmtId="2" fontId="16" fillId="0" borderId="21" xfId="0" applyNumberFormat="1" applyFont="1" applyBorder="1" applyAlignment="1">
      <alignment horizontal="center" vertical="center"/>
    </xf>
    <xf numFmtId="2" fontId="16" fillId="0" borderId="43" xfId="0" applyNumberFormat="1" applyFont="1" applyBorder="1" applyAlignment="1">
      <alignment horizontal="center" vertical="center"/>
    </xf>
    <xf numFmtId="2" fontId="16" fillId="0" borderId="38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2" fontId="16" fillId="0" borderId="41" xfId="0" applyNumberFormat="1" applyFont="1" applyBorder="1" applyAlignment="1">
      <alignment horizontal="center" vertical="center"/>
    </xf>
    <xf numFmtId="2" fontId="16" fillId="0" borderId="32" xfId="0" applyNumberFormat="1" applyFont="1" applyBorder="1" applyAlignment="1">
      <alignment horizontal="center" vertical="center"/>
    </xf>
    <xf numFmtId="0" fontId="16" fillId="7" borderId="49" xfId="0" applyFont="1" applyFill="1" applyBorder="1" applyAlignment="1">
      <alignment horizontal="center" vertical="center"/>
    </xf>
    <xf numFmtId="2" fontId="16" fillId="0" borderId="49" xfId="0" applyNumberFormat="1" applyFont="1" applyBorder="1" applyAlignment="1">
      <alignment horizontal="center" vertical="center"/>
    </xf>
    <xf numFmtId="2" fontId="16" fillId="0" borderId="42" xfId="0" applyNumberFormat="1" applyFont="1" applyBorder="1" applyAlignment="1">
      <alignment horizontal="center" vertical="center"/>
    </xf>
    <xf numFmtId="2" fontId="16" fillId="0" borderId="33" xfId="0" applyNumberFormat="1" applyFont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33" xfId="0" applyFont="1" applyBorder="1"/>
    <xf numFmtId="0" fontId="5" fillId="0" borderId="0" xfId="0" applyFont="1"/>
    <xf numFmtId="0" fontId="19" fillId="3" borderId="45" xfId="0" applyFont="1" applyFill="1" applyBorder="1" applyAlignment="1">
      <alignment horizontal="center" vertical="center"/>
    </xf>
    <xf numFmtId="0" fontId="19" fillId="3" borderId="46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4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0" fillId="14" borderId="45" xfId="0" applyFont="1" applyFill="1" applyBorder="1" applyAlignment="1">
      <alignment horizontal="center" vertical="center"/>
    </xf>
    <xf numFmtId="0" fontId="20" fillId="14" borderId="46" xfId="0" applyFont="1" applyFill="1" applyBorder="1" applyAlignment="1">
      <alignment horizontal="center" vertical="center"/>
    </xf>
    <xf numFmtId="0" fontId="20" fillId="14" borderId="44" xfId="0" applyFont="1" applyFill="1" applyBorder="1" applyAlignment="1">
      <alignment horizontal="center" vertical="center"/>
    </xf>
    <xf numFmtId="0" fontId="5" fillId="16" borderId="47" xfId="0" applyFont="1" applyFill="1" applyBorder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1" fillId="15" borderId="3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1" fillId="15" borderId="5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43" xfId="0" applyNumberFormat="1" applyFont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41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2" xfId="0" applyFont="1" applyBorder="1" applyAlignment="1">
      <alignment wrapText="1"/>
    </xf>
    <xf numFmtId="0" fontId="5" fillId="0" borderId="32" xfId="0" applyFont="1" applyBorder="1"/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3" xfId="0" applyFont="1" applyBorder="1"/>
    <xf numFmtId="0" fontId="3" fillId="3" borderId="45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0" fillId="5" borderId="43" xfId="0" applyNumberFormat="1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51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/>
    <xf numFmtId="0" fontId="0" fillId="4" borderId="9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49" xfId="0" applyBorder="1"/>
    <xf numFmtId="0" fontId="0" fillId="0" borderId="8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40" xfId="0" applyBorder="1"/>
    <xf numFmtId="0" fontId="0" fillId="0" borderId="41" xfId="0" applyBorder="1" applyAlignment="1">
      <alignment wrapText="1"/>
    </xf>
    <xf numFmtId="0" fontId="0" fillId="0" borderId="41" xfId="0" applyBorder="1"/>
    <xf numFmtId="0" fontId="0" fillId="0" borderId="12" xfId="0" applyBorder="1" applyAlignment="1">
      <alignment horizontal="center"/>
    </xf>
    <xf numFmtId="0" fontId="17" fillId="3" borderId="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quotePrefix="1" applyFont="1" applyBorder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2" fontId="16" fillId="0" borderId="41" xfId="0" applyNumberFormat="1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16" fillId="0" borderId="42" xfId="0" applyFont="1" applyBorder="1"/>
    <xf numFmtId="0" fontId="16" fillId="0" borderId="49" xfId="0" applyFont="1" applyBorder="1"/>
    <xf numFmtId="0" fontId="13" fillId="2" borderId="45" xfId="0" applyFont="1" applyFill="1" applyBorder="1" applyAlignment="1">
      <alignment horizontal="center"/>
    </xf>
    <xf numFmtId="0" fontId="13" fillId="2" borderId="46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6" fillId="4" borderId="45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 wrapText="1"/>
    </xf>
    <xf numFmtId="0" fontId="16" fillId="4" borderId="46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/>
    </xf>
    <xf numFmtId="2" fontId="16" fillId="5" borderId="21" xfId="0" applyNumberFormat="1" applyFont="1" applyFill="1" applyBorder="1" applyAlignment="1">
      <alignment horizontal="center" vertical="center"/>
    </xf>
    <xf numFmtId="0" fontId="16" fillId="7" borderId="41" xfId="0" applyFont="1" applyFill="1" applyBorder="1" applyAlignment="1">
      <alignment horizontal="center" vertical="center"/>
    </xf>
    <xf numFmtId="2" fontId="16" fillId="5" borderId="9" xfId="0" applyNumberFormat="1" applyFont="1" applyFill="1" applyBorder="1" applyAlignment="1">
      <alignment horizontal="center" vertical="center"/>
    </xf>
    <xf numFmtId="2" fontId="16" fillId="13" borderId="9" xfId="0" applyNumberFormat="1" applyFont="1" applyFill="1" applyBorder="1" applyAlignment="1">
      <alignment horizontal="center" vertical="center"/>
    </xf>
    <xf numFmtId="0" fontId="16" fillId="7" borderId="42" xfId="0" applyFont="1" applyFill="1" applyBorder="1" applyAlignment="1">
      <alignment horizontal="center" vertical="center"/>
    </xf>
    <xf numFmtId="2" fontId="16" fillId="5" borderId="4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2" fontId="16" fillId="6" borderId="0" xfId="0" applyNumberFormat="1" applyFont="1" applyFill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6" fillId="4" borderId="45" xfId="0" applyFont="1" applyFill="1" applyBorder="1" applyAlignment="1">
      <alignment horizontal="center"/>
    </xf>
    <xf numFmtId="0" fontId="16" fillId="4" borderId="46" xfId="0" applyFont="1" applyFill="1" applyBorder="1" applyAlignment="1">
      <alignment horizontal="center"/>
    </xf>
    <xf numFmtId="0" fontId="16" fillId="0" borderId="41" xfId="0" applyFont="1" applyBorder="1"/>
    <xf numFmtId="0" fontId="16" fillId="0" borderId="9" xfId="0" applyFont="1" applyBorder="1"/>
    <xf numFmtId="0" fontId="16" fillId="4" borderId="59" xfId="0" applyFont="1" applyFill="1" applyBorder="1" applyAlignment="1">
      <alignment horizontal="center"/>
    </xf>
    <xf numFmtId="0" fontId="16" fillId="4" borderId="56" xfId="0" applyFont="1" applyFill="1" applyBorder="1" applyAlignment="1">
      <alignment horizontal="center"/>
    </xf>
    <xf numFmtId="0" fontId="16" fillId="4" borderId="60" xfId="0" applyFont="1" applyFill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16" fillId="0" borderId="21" xfId="0" quotePrefix="1" applyFont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 wrapText="1"/>
    </xf>
    <xf numFmtId="0" fontId="24" fillId="12" borderId="12" xfId="0" applyFont="1" applyFill="1" applyBorder="1" applyAlignment="1">
      <alignment horizontal="center" vertical="center" wrapText="1"/>
    </xf>
    <xf numFmtId="0" fontId="24" fillId="12" borderId="3" xfId="0" applyFont="1" applyFill="1" applyBorder="1" applyAlignment="1">
      <alignment horizontal="center" vertical="center" wrapText="1"/>
    </xf>
    <xf numFmtId="0" fontId="24" fillId="12" borderId="22" xfId="0" applyFont="1" applyFill="1" applyBorder="1" applyAlignment="1">
      <alignment horizontal="center" vertical="center" wrapText="1"/>
    </xf>
    <xf numFmtId="0" fontId="24" fillId="12" borderId="0" xfId="0" applyFont="1" applyFill="1" applyBorder="1" applyAlignment="1">
      <alignment horizontal="center" vertical="center" wrapText="1"/>
    </xf>
    <xf numFmtId="0" fontId="24" fillId="12" borderId="23" xfId="0" applyFont="1" applyFill="1" applyBorder="1" applyAlignment="1">
      <alignment horizontal="center" vertical="center" wrapText="1"/>
    </xf>
    <xf numFmtId="0" fontId="24" fillId="12" borderId="4" xfId="0" applyFont="1" applyFill="1" applyBorder="1" applyAlignment="1">
      <alignment horizontal="center" vertical="center" wrapText="1"/>
    </xf>
    <xf numFmtId="0" fontId="24" fillId="12" borderId="13" xfId="0" applyFont="1" applyFill="1" applyBorder="1" applyAlignment="1">
      <alignment horizontal="center" vertical="center" wrapText="1"/>
    </xf>
    <xf numFmtId="0" fontId="24" fillId="12" borderId="5" xfId="0" applyFont="1" applyFill="1" applyBorder="1" applyAlignment="1">
      <alignment horizontal="center" vertical="center" wrapText="1"/>
    </xf>
    <xf numFmtId="2" fontId="16" fillId="0" borderId="55" xfId="0" applyNumberFormat="1" applyFont="1" applyBorder="1" applyAlignment="1">
      <alignment horizontal="center" vertical="center"/>
    </xf>
    <xf numFmtId="2" fontId="16" fillId="12" borderId="42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/>
    </xf>
    <xf numFmtId="2" fontId="16" fillId="5" borderId="20" xfId="0" applyNumberFormat="1" applyFont="1" applyFill="1" applyBorder="1" applyAlignment="1">
      <alignment horizontal="center" vertical="center"/>
    </xf>
    <xf numFmtId="0" fontId="16" fillId="10" borderId="49" xfId="0" applyFont="1" applyFill="1" applyBorder="1" applyAlignment="1">
      <alignment horizontal="center"/>
    </xf>
    <xf numFmtId="0" fontId="16" fillId="7" borderId="55" xfId="0" applyFont="1" applyFill="1" applyBorder="1" applyAlignment="1">
      <alignment horizontal="center" vertical="center"/>
    </xf>
    <xf numFmtId="0" fontId="16" fillId="7" borderId="42" xfId="0" applyFont="1" applyFill="1" applyBorder="1" applyAlignment="1">
      <alignment horizontal="center"/>
    </xf>
    <xf numFmtId="2" fontId="16" fillId="0" borderId="34" xfId="0" applyNumberFormat="1" applyFont="1" applyBorder="1" applyAlignment="1">
      <alignment horizontal="center" vertical="center"/>
    </xf>
    <xf numFmtId="2" fontId="16" fillId="12" borderId="33" xfId="0" applyNumberFormat="1" applyFont="1" applyFill="1" applyBorder="1" applyAlignment="1">
      <alignment horizontal="center"/>
    </xf>
    <xf numFmtId="2" fontId="16" fillId="6" borderId="41" xfId="0" applyNumberFormat="1" applyFont="1" applyFill="1" applyBorder="1" applyAlignment="1">
      <alignment horizontal="center" vertic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6" fillId="0" borderId="43" xfId="0" quotePrefix="1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4" borderId="44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 vertical="center"/>
    </xf>
    <xf numFmtId="0" fontId="12" fillId="4" borderId="44" xfId="0" applyFont="1" applyFill="1" applyBorder="1" applyAlignment="1">
      <alignment horizontal="center" vertical="center"/>
    </xf>
    <xf numFmtId="0" fontId="12" fillId="17" borderId="41" xfId="0" applyFont="1" applyFill="1" applyBorder="1" applyAlignment="1">
      <alignment horizontal="left" vertical="center"/>
    </xf>
    <xf numFmtId="42" fontId="12" fillId="17" borderId="32" xfId="0" applyNumberFormat="1" applyFont="1" applyFill="1" applyBorder="1" applyAlignment="1">
      <alignment vertical="center"/>
    </xf>
    <xf numFmtId="0" fontId="12" fillId="17" borderId="41" xfId="0" applyFont="1" applyFill="1" applyBorder="1" applyAlignment="1">
      <alignment horizontal="left" vertical="center" wrapText="1"/>
    </xf>
    <xf numFmtId="0" fontId="12" fillId="17" borderId="42" xfId="0" applyFont="1" applyFill="1" applyBorder="1" applyAlignment="1">
      <alignment horizontal="left" vertical="center" wrapText="1"/>
    </xf>
    <xf numFmtId="42" fontId="12" fillId="17" borderId="33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7" borderId="11" xfId="0" applyFill="1" applyBorder="1"/>
    <xf numFmtId="0" fontId="0" fillId="7" borderId="3" xfId="0" applyFill="1" applyBorder="1"/>
    <xf numFmtId="0" fontId="0" fillId="7" borderId="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57" xfId="0" applyFill="1" applyBorder="1" applyAlignment="1">
      <alignment horizontal="center"/>
    </xf>
    <xf numFmtId="0" fontId="16" fillId="7" borderId="39" xfId="0" applyFont="1" applyFill="1" applyBorder="1" applyAlignment="1">
      <alignment horizontal="center"/>
    </xf>
    <xf numFmtId="0" fontId="16" fillId="7" borderId="48" xfId="0" applyFont="1" applyFill="1" applyBorder="1" applyAlignment="1">
      <alignment horizontal="center"/>
    </xf>
    <xf numFmtId="0" fontId="16" fillId="7" borderId="58" xfId="0" applyFont="1" applyFill="1" applyBorder="1" applyAlignment="1">
      <alignment horizontal="center"/>
    </xf>
    <xf numFmtId="2" fontId="16" fillId="7" borderId="42" xfId="0" applyNumberFormat="1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28" xfId="0" applyFont="1" applyFill="1" applyBorder="1" applyAlignment="1">
      <alignment horizontal="center"/>
    </xf>
    <xf numFmtId="2" fontId="16" fillId="7" borderId="9" xfId="0" applyNumberFormat="1" applyFont="1" applyFill="1" applyBorder="1" applyAlignment="1">
      <alignment horizontal="center" vertical="center"/>
    </xf>
    <xf numFmtId="2" fontId="16" fillId="7" borderId="32" xfId="0" applyNumberFormat="1" applyFont="1" applyFill="1" applyBorder="1" applyAlignment="1">
      <alignment horizontal="center" vertical="center"/>
    </xf>
    <xf numFmtId="2" fontId="16" fillId="7" borderId="9" xfId="0" applyNumberFormat="1" applyFont="1" applyFill="1" applyBorder="1" applyAlignment="1">
      <alignment horizontal="center"/>
    </xf>
    <xf numFmtId="0" fontId="16" fillId="7" borderId="32" xfId="0" applyFont="1" applyFill="1" applyBorder="1" applyAlignment="1">
      <alignment horizontal="center"/>
    </xf>
    <xf numFmtId="0" fontId="11" fillId="7" borderId="50" xfId="0" applyFont="1" applyFill="1" applyBorder="1" applyAlignment="1">
      <alignment horizontal="center" vertical="center"/>
    </xf>
    <xf numFmtId="0" fontId="11" fillId="7" borderId="54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7" fillId="7" borderId="45" xfId="0" applyFont="1" applyFill="1" applyBorder="1" applyAlignment="1">
      <alignment horizontal="center"/>
    </xf>
    <xf numFmtId="0" fontId="7" fillId="7" borderId="46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2" fontId="11" fillId="7" borderId="31" xfId="0" applyNumberFormat="1" applyFont="1" applyFill="1" applyBorder="1" applyAlignment="1">
      <alignment horizontal="center" vertical="center"/>
    </xf>
    <xf numFmtId="2" fontId="11" fillId="7" borderId="33" xfId="0" applyNumberFormat="1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/>
    </xf>
    <xf numFmtId="0" fontId="16" fillId="0" borderId="30" xfId="0" applyFont="1" applyBorder="1" applyAlignment="1">
      <alignment horizontal="center"/>
    </xf>
    <xf numFmtId="0" fontId="0" fillId="0" borderId="32" xfId="0" applyBorder="1" applyAlignment="1">
      <alignment horizontal="center" vertical="center" textRotation="90"/>
    </xf>
    <xf numFmtId="0" fontId="0" fillId="0" borderId="9" xfId="0" applyNumberFormat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/>
    <xf numFmtId="0" fontId="6" fillId="0" borderId="11" xfId="0" applyFont="1" applyBorder="1" applyAlignment="1">
      <alignment horizontal="center"/>
    </xf>
    <xf numFmtId="0" fontId="0" fillId="0" borderId="32" xfId="0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0" xfId="0" applyNumberFormat="1" applyBorder="1"/>
    <xf numFmtId="0" fontId="0" fillId="0" borderId="46" xfId="0" applyBorder="1" applyAlignment="1">
      <alignment horizontal="right" textRotation="90"/>
    </xf>
    <xf numFmtId="0" fontId="0" fillId="0" borderId="44" xfId="0" applyBorder="1" applyAlignment="1">
      <alignment horizontal="right" textRotation="90"/>
    </xf>
    <xf numFmtId="0" fontId="0" fillId="14" borderId="45" xfId="0" applyFill="1" applyBorder="1" applyAlignment="1">
      <alignment horizontal="center" vertical="center" wrapText="1"/>
    </xf>
    <xf numFmtId="0" fontId="0" fillId="14" borderId="46" xfId="0" applyFill="1" applyBorder="1" applyAlignment="1">
      <alignment horizontal="center" vertical="center" wrapText="1"/>
    </xf>
    <xf numFmtId="0" fontId="0" fillId="14" borderId="44" xfId="0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indexed="4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indexed="4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AD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Case2_Sensitivity_Qty_lmt!$K$1</c:f>
          <c:strCache>
            <c:ptCount val="1"/>
            <c:pt idx="0">
              <c:v>Sensitivity of $C$18 to Supplier 1 &amp; Supplier 3 Qty Limit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6499835760185"/>
          <c:y val="0.19276495475700284"/>
          <c:w val="0.86585264780722115"/>
          <c:h val="0.60980715232371174"/>
        </c:manualLayout>
      </c:layout>
      <c:lineChart>
        <c:grouping val="standard"/>
        <c:varyColors val="0"/>
        <c:ser>
          <c:idx val="0"/>
          <c:order val="0"/>
          <c:cat>
            <c:numRef>
              <c:f>Case2_Sensitivity_Qty_lmt!$A$6:$A$66</c:f>
              <c:numCache>
                <c:formatCode>0.00</c:formatCode>
                <c:ptCount val="61"/>
                <c:pt idx="0">
                  <c:v>0.40000000596046448</c:v>
                </c:pt>
                <c:pt idx="1">
                  <c:v>0.40999999642372131</c:v>
                </c:pt>
                <c:pt idx="2">
                  <c:v>0.42000001668930054</c:v>
                </c:pt>
                <c:pt idx="3">
                  <c:v>0.43000000715255737</c:v>
                </c:pt>
                <c:pt idx="4">
                  <c:v>0.43999999761581421</c:v>
                </c:pt>
                <c:pt idx="5">
                  <c:v>0.45000001788139343</c:v>
                </c:pt>
                <c:pt idx="6">
                  <c:v>0.46000000834465027</c:v>
                </c:pt>
                <c:pt idx="7">
                  <c:v>0.4699999988079071</c:v>
                </c:pt>
                <c:pt idx="8">
                  <c:v>0.48000001907348633</c:v>
                </c:pt>
                <c:pt idx="9">
                  <c:v>0.49000000953674316</c:v>
                </c:pt>
                <c:pt idx="10">
                  <c:v>0.5</c:v>
                </c:pt>
                <c:pt idx="11">
                  <c:v>0.50999999046325684</c:v>
                </c:pt>
                <c:pt idx="12">
                  <c:v>0.51999998092651367</c:v>
                </c:pt>
                <c:pt idx="13">
                  <c:v>0.53000003099441528</c:v>
                </c:pt>
                <c:pt idx="14">
                  <c:v>0.54000002145767212</c:v>
                </c:pt>
                <c:pt idx="15">
                  <c:v>0.55000001192092896</c:v>
                </c:pt>
                <c:pt idx="16">
                  <c:v>0.56000000238418579</c:v>
                </c:pt>
                <c:pt idx="17">
                  <c:v>0.56999999284744263</c:v>
                </c:pt>
                <c:pt idx="18">
                  <c:v>0.57999998331069946</c:v>
                </c:pt>
                <c:pt idx="19">
                  <c:v>0.5899999737739563</c:v>
                </c:pt>
                <c:pt idx="20">
                  <c:v>0.60000002384185791</c:v>
                </c:pt>
                <c:pt idx="21">
                  <c:v>0.61000001430511475</c:v>
                </c:pt>
                <c:pt idx="22">
                  <c:v>0.62000000476837158</c:v>
                </c:pt>
                <c:pt idx="23">
                  <c:v>0.62999999523162842</c:v>
                </c:pt>
                <c:pt idx="24">
                  <c:v>0.63999998569488525</c:v>
                </c:pt>
                <c:pt idx="25">
                  <c:v>0.64999997615814209</c:v>
                </c:pt>
                <c:pt idx="26">
                  <c:v>0.6600000262260437</c:v>
                </c:pt>
                <c:pt idx="27">
                  <c:v>0.67000001668930054</c:v>
                </c:pt>
                <c:pt idx="28">
                  <c:v>0.68000000715255737</c:v>
                </c:pt>
                <c:pt idx="29">
                  <c:v>0.68999999761581421</c:v>
                </c:pt>
                <c:pt idx="30">
                  <c:v>0.69999998807907104</c:v>
                </c:pt>
                <c:pt idx="31">
                  <c:v>0.70999997854232788</c:v>
                </c:pt>
                <c:pt idx="32">
                  <c:v>0.72000002861022949</c:v>
                </c:pt>
                <c:pt idx="33">
                  <c:v>0.73000001907348633</c:v>
                </c:pt>
                <c:pt idx="34">
                  <c:v>0.74000000953674316</c:v>
                </c:pt>
                <c:pt idx="35">
                  <c:v>0.75</c:v>
                </c:pt>
                <c:pt idx="36">
                  <c:v>0.75999999046325684</c:v>
                </c:pt>
                <c:pt idx="37">
                  <c:v>0.76999998092651367</c:v>
                </c:pt>
                <c:pt idx="38">
                  <c:v>0.77999997138977051</c:v>
                </c:pt>
                <c:pt idx="39">
                  <c:v>0.79000002145767212</c:v>
                </c:pt>
                <c:pt idx="40">
                  <c:v>0.80000001192092896</c:v>
                </c:pt>
                <c:pt idx="41">
                  <c:v>0.81000000238418579</c:v>
                </c:pt>
                <c:pt idx="42">
                  <c:v>0.81999999284744263</c:v>
                </c:pt>
                <c:pt idx="43">
                  <c:v>0.82999998331069946</c:v>
                </c:pt>
                <c:pt idx="44">
                  <c:v>0.8399999737739563</c:v>
                </c:pt>
                <c:pt idx="45">
                  <c:v>0.85000002384185791</c:v>
                </c:pt>
                <c:pt idx="46">
                  <c:v>0.86000001430511475</c:v>
                </c:pt>
                <c:pt idx="47">
                  <c:v>0.87000000476837158</c:v>
                </c:pt>
                <c:pt idx="48">
                  <c:v>0.87999999523162842</c:v>
                </c:pt>
                <c:pt idx="49">
                  <c:v>0.88999998569488525</c:v>
                </c:pt>
                <c:pt idx="50">
                  <c:v>0.89999997615814209</c:v>
                </c:pt>
                <c:pt idx="51">
                  <c:v>0.90999996662139893</c:v>
                </c:pt>
                <c:pt idx="52">
                  <c:v>0.92000001668930054</c:v>
                </c:pt>
                <c:pt idx="53">
                  <c:v>0.93000000715255737</c:v>
                </c:pt>
                <c:pt idx="54">
                  <c:v>0.93999999761581421</c:v>
                </c:pt>
                <c:pt idx="55">
                  <c:v>0.94999998807907104</c:v>
                </c:pt>
                <c:pt idx="56">
                  <c:v>0.95999997854232788</c:v>
                </c:pt>
                <c:pt idx="57">
                  <c:v>0.96999996900558472</c:v>
                </c:pt>
                <c:pt idx="58">
                  <c:v>0.98000001907348633</c:v>
                </c:pt>
                <c:pt idx="59">
                  <c:v>0.99000000953674316</c:v>
                </c:pt>
                <c:pt idx="60">
                  <c:v>1</c:v>
                </c:pt>
              </c:numCache>
            </c:numRef>
          </c:cat>
          <c:val>
            <c:numRef>
              <c:f>Case2_Sensitivity_Qty_lmt!$K$6:$K$66</c:f>
              <c:numCache>
                <c:formatCode>General</c:formatCode>
                <c:ptCount val="61"/>
                <c:pt idx="0">
                  <c:v>72186.2</c:v>
                </c:pt>
                <c:pt idx="1">
                  <c:v>72186.2</c:v>
                </c:pt>
                <c:pt idx="2">
                  <c:v>72186.2</c:v>
                </c:pt>
                <c:pt idx="3">
                  <c:v>72186.2</c:v>
                </c:pt>
                <c:pt idx="4">
                  <c:v>72186.2</c:v>
                </c:pt>
                <c:pt idx="5">
                  <c:v>72212.600000000006</c:v>
                </c:pt>
                <c:pt idx="6">
                  <c:v>72262.8</c:v>
                </c:pt>
                <c:pt idx="7">
                  <c:v>72321.8</c:v>
                </c:pt>
                <c:pt idx="8">
                  <c:v>72377.7</c:v>
                </c:pt>
                <c:pt idx="9">
                  <c:v>72414.600000000006</c:v>
                </c:pt>
                <c:pt idx="10">
                  <c:v>72465.900000000009</c:v>
                </c:pt>
                <c:pt idx="11">
                  <c:v>52165.7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72740.800000000003</c:v>
                </c:pt>
                <c:pt idx="16">
                  <c:v>72796.600000000006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623-9802-EF545BD9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6895"/>
        <c:axId val="2125186591"/>
      </c:lineChart>
      <c:catAx>
        <c:axId val="11939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Supplier 1 &amp; Supplier 3 Qty Limit ($C$12)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5186591"/>
        <c:crosses val="autoZero"/>
        <c:auto val="1"/>
        <c:lblAlgn val="ctr"/>
        <c:lblOffset val="100"/>
        <c:noMultiLvlLbl val="0"/>
      </c:catAx>
      <c:valAx>
        <c:axId val="21251865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9689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$C$17 to Input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5.7879627954168643E-2"/>
                  <c:y val="9.8071838850488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45-44E7-97F6-72B7FF6ADECC}"/>
                </c:ext>
              </c:extLst>
            </c:dLbl>
            <c:dLbl>
              <c:idx val="2"/>
              <c:layout>
                <c:manualLayout>
                  <c:x val="-5.9396869446158858E-2"/>
                  <c:y val="-0.11144527142100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45-44E7-97F6-72B7FF6ADECC}"/>
                </c:ext>
              </c:extLst>
            </c:dLbl>
            <c:dLbl>
              <c:idx val="3"/>
              <c:layout>
                <c:manualLayout>
                  <c:x val="-5.1615620173736325E-2"/>
                  <c:y val="-5.795154113892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45-44E7-97F6-72B7FF6ADECC}"/>
                </c:ext>
              </c:extLst>
            </c:dLbl>
            <c:dLbl>
              <c:idx val="4"/>
              <c:layout>
                <c:manualLayout>
                  <c:x val="-5.0098378681746089E-2"/>
                  <c:y val="-0.11144527142100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45-44E7-97F6-72B7FF6ADECC}"/>
                </c:ext>
              </c:extLst>
            </c:dLbl>
            <c:dLbl>
              <c:idx val="5"/>
              <c:layout>
                <c:manualLayout>
                  <c:x val="-4.7673482301195461E-2"/>
                  <c:y val="-8.3718977413494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45-44E7-97F6-72B7FF6ADECC}"/>
                </c:ext>
              </c:extLst>
            </c:dLbl>
            <c:dLbl>
              <c:idx val="6"/>
              <c:layout>
                <c:manualLayout>
                  <c:x val="-4.1260260025714736E-2"/>
                  <c:y val="-6.6086938421927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45-44E7-97F6-72B7FF6ADECC}"/>
                </c:ext>
              </c:extLst>
            </c:dLbl>
            <c:dLbl>
              <c:idx val="7"/>
              <c:layout>
                <c:manualLayout>
                  <c:x val="-5.503631820144321E-2"/>
                  <c:y val="7.3043458255814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45-44E7-97F6-72B7FF6ADECC}"/>
                </c:ext>
              </c:extLst>
            </c:dLbl>
            <c:dLbl>
              <c:idx val="8"/>
              <c:layout>
                <c:manualLayout>
                  <c:x val="-3.0867795086130155E-2"/>
                  <c:y val="0.111304317342193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45-44E7-97F6-72B7FF6ADECC}"/>
                </c:ext>
              </c:extLst>
            </c:dLbl>
            <c:dLbl>
              <c:idx val="9"/>
              <c:layout>
                <c:manualLayout>
                  <c:x val="-7.7694308622049263E-2"/>
                  <c:y val="-5.2173898754153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45-44E7-97F6-72B7FF6ADECC}"/>
                </c:ext>
              </c:extLst>
            </c:dLbl>
            <c:dLbl>
              <c:idx val="10"/>
              <c:layout>
                <c:manualLayout>
                  <c:x val="-3.3888860475544291E-2"/>
                  <c:y val="-7.3043458255814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45-44E7-97F6-72B7FF6ADE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STS_2!$A$5:$A$25</c:f>
              <c:numCache>
                <c:formatCode>0.000</c:formatCode>
                <c:ptCount val="21"/>
                <c:pt idx="0">
                  <c:v>0.89999997615814209</c:v>
                </c:pt>
                <c:pt idx="1">
                  <c:v>0.90499997138977051</c:v>
                </c:pt>
                <c:pt idx="2">
                  <c:v>0.90999996662139893</c:v>
                </c:pt>
                <c:pt idx="3">
                  <c:v>0.91499996185302734</c:v>
                </c:pt>
                <c:pt idx="4">
                  <c:v>0.91999995708465576</c:v>
                </c:pt>
                <c:pt idx="5">
                  <c:v>0.92499995231628418</c:v>
                </c:pt>
                <c:pt idx="6">
                  <c:v>0.9299999475479126</c:v>
                </c:pt>
                <c:pt idx="7">
                  <c:v>0.93500000238418579</c:v>
                </c:pt>
                <c:pt idx="8">
                  <c:v>0.93999999761581421</c:v>
                </c:pt>
                <c:pt idx="9">
                  <c:v>0.94499999284744263</c:v>
                </c:pt>
                <c:pt idx="10">
                  <c:v>0.94999998807907104</c:v>
                </c:pt>
                <c:pt idx="11">
                  <c:v>0.95499998331069946</c:v>
                </c:pt>
                <c:pt idx="12">
                  <c:v>0.95999997854232788</c:v>
                </c:pt>
                <c:pt idx="13">
                  <c:v>0.9649999737739563</c:v>
                </c:pt>
                <c:pt idx="14">
                  <c:v>0.96999996900558472</c:v>
                </c:pt>
                <c:pt idx="15">
                  <c:v>0.97499996423721313</c:v>
                </c:pt>
                <c:pt idx="16">
                  <c:v>0.97999995946884155</c:v>
                </c:pt>
                <c:pt idx="17">
                  <c:v>0.98499995470046997</c:v>
                </c:pt>
                <c:pt idx="18">
                  <c:v>0.98999994993209839</c:v>
                </c:pt>
                <c:pt idx="19">
                  <c:v>0.99499994516372681</c:v>
                </c:pt>
                <c:pt idx="20">
                  <c:v>1</c:v>
                </c:pt>
              </c:numCache>
            </c:numRef>
          </c:cat>
          <c:val>
            <c:numRef>
              <c:f>STS_2!$K$5:$K$25</c:f>
              <c:numCache>
                <c:formatCode>General</c:formatCode>
                <c:ptCount val="21"/>
                <c:pt idx="0">
                  <c:v>66300.000000000582</c:v>
                </c:pt>
                <c:pt idx="1">
                  <c:v>38039.5</c:v>
                </c:pt>
                <c:pt idx="2">
                  <c:v>67220</c:v>
                </c:pt>
                <c:pt idx="3">
                  <c:v>67680</c:v>
                </c:pt>
                <c:pt idx="4">
                  <c:v>67600.79999999977</c:v>
                </c:pt>
                <c:pt idx="5">
                  <c:v>68276.79999999977</c:v>
                </c:pt>
                <c:pt idx="6">
                  <c:v>68952.79999999977</c:v>
                </c:pt>
                <c:pt idx="7">
                  <c:v>69744.998636245815</c:v>
                </c:pt>
                <c:pt idx="8">
                  <c:v>70655.001363754345</c:v>
                </c:pt>
                <c:pt idx="9">
                  <c:v>71565.004091262861</c:v>
                </c:pt>
                <c:pt idx="10">
                  <c:v>72475.006818771348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5-44E7-97F6-72B7FF6ADE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3249071"/>
        <c:axId val="2094314559"/>
      </c:lineChart>
      <c:catAx>
        <c:axId val="160324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($J$31)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14559"/>
        <c:crosses val="autoZero"/>
        <c:auto val="1"/>
        <c:lblAlgn val="ctr"/>
        <c:lblOffset val="100"/>
        <c:noMultiLvlLbl val="0"/>
      </c:catAx>
      <c:valAx>
        <c:axId val="2094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4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$C$17 to Maximum Qty Sensitivity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STS_1!$A$5:$A$37</c:f>
              <c:numCache>
                <c:formatCode>0.00</c:formatCode>
                <c:ptCount val="33"/>
                <c:pt idx="0">
                  <c:v>4400</c:v>
                </c:pt>
                <c:pt idx="1">
                  <c:v>4450</c:v>
                </c:pt>
                <c:pt idx="2">
                  <c:v>4500</c:v>
                </c:pt>
                <c:pt idx="3">
                  <c:v>4550</c:v>
                </c:pt>
                <c:pt idx="4">
                  <c:v>4600</c:v>
                </c:pt>
                <c:pt idx="5">
                  <c:v>4650</c:v>
                </c:pt>
                <c:pt idx="6">
                  <c:v>4700</c:v>
                </c:pt>
                <c:pt idx="7">
                  <c:v>4750</c:v>
                </c:pt>
                <c:pt idx="8">
                  <c:v>4800</c:v>
                </c:pt>
                <c:pt idx="9">
                  <c:v>4850</c:v>
                </c:pt>
                <c:pt idx="10">
                  <c:v>4900</c:v>
                </c:pt>
                <c:pt idx="11">
                  <c:v>4950</c:v>
                </c:pt>
                <c:pt idx="12">
                  <c:v>5000</c:v>
                </c:pt>
                <c:pt idx="13">
                  <c:v>5050</c:v>
                </c:pt>
                <c:pt idx="14">
                  <c:v>5100</c:v>
                </c:pt>
                <c:pt idx="15">
                  <c:v>5150</c:v>
                </c:pt>
                <c:pt idx="16">
                  <c:v>5200</c:v>
                </c:pt>
                <c:pt idx="17">
                  <c:v>5250</c:v>
                </c:pt>
                <c:pt idx="18">
                  <c:v>5300</c:v>
                </c:pt>
                <c:pt idx="19">
                  <c:v>5350</c:v>
                </c:pt>
                <c:pt idx="20">
                  <c:v>5400</c:v>
                </c:pt>
                <c:pt idx="21">
                  <c:v>5450</c:v>
                </c:pt>
                <c:pt idx="22">
                  <c:v>5500</c:v>
                </c:pt>
                <c:pt idx="23">
                  <c:v>5550</c:v>
                </c:pt>
                <c:pt idx="24">
                  <c:v>5600</c:v>
                </c:pt>
                <c:pt idx="25">
                  <c:v>5650</c:v>
                </c:pt>
                <c:pt idx="26">
                  <c:v>5700</c:v>
                </c:pt>
                <c:pt idx="27">
                  <c:v>5750</c:v>
                </c:pt>
                <c:pt idx="28">
                  <c:v>5800</c:v>
                </c:pt>
                <c:pt idx="29">
                  <c:v>5850</c:v>
                </c:pt>
                <c:pt idx="30">
                  <c:v>5900</c:v>
                </c:pt>
                <c:pt idx="31">
                  <c:v>5950</c:v>
                </c:pt>
                <c:pt idx="32">
                  <c:v>6000</c:v>
                </c:pt>
              </c:numCache>
            </c:numRef>
          </c:cat>
          <c:val>
            <c:numRef>
              <c:f>STS_1!$K$5:$K$37</c:f>
              <c:numCache>
                <c:formatCode>General</c:formatCode>
                <c:ptCount val="33"/>
                <c:pt idx="0">
                  <c:v>59785.000000000116</c:v>
                </c:pt>
                <c:pt idx="1">
                  <c:v>60464.600000000115</c:v>
                </c:pt>
                <c:pt idx="2">
                  <c:v>61144.200000000172</c:v>
                </c:pt>
                <c:pt idx="3">
                  <c:v>61823.800000000185</c:v>
                </c:pt>
                <c:pt idx="4">
                  <c:v>5002.5</c:v>
                </c:pt>
                <c:pt idx="5">
                  <c:v>63182.100000000122</c:v>
                </c:pt>
                <c:pt idx="6">
                  <c:v>63861.699999942932</c:v>
                </c:pt>
                <c:pt idx="7">
                  <c:v>64541.300000000178</c:v>
                </c:pt>
                <c:pt idx="8">
                  <c:v>65220.000000000131</c:v>
                </c:pt>
                <c:pt idx="9">
                  <c:v>65899.600000000122</c:v>
                </c:pt>
                <c:pt idx="10">
                  <c:v>66579.200000000186</c:v>
                </c:pt>
                <c:pt idx="11">
                  <c:v>67258.800000067524</c:v>
                </c:pt>
                <c:pt idx="12">
                  <c:v>67937.500000000131</c:v>
                </c:pt>
                <c:pt idx="13">
                  <c:v>68617.100000000137</c:v>
                </c:pt>
                <c:pt idx="14">
                  <c:v>69296.699999963501</c:v>
                </c:pt>
                <c:pt idx="15">
                  <c:v>69976.300000000221</c:v>
                </c:pt>
                <c:pt idx="16">
                  <c:v>70655.000000000146</c:v>
                </c:pt>
                <c:pt idx="17">
                  <c:v>71334.600001893326</c:v>
                </c:pt>
                <c:pt idx="18">
                  <c:v>72014.200000000215</c:v>
                </c:pt>
                <c:pt idx="19">
                  <c:v>72693.800000000221</c:v>
                </c:pt>
                <c:pt idx="20">
                  <c:v>73372.4999960641</c:v>
                </c:pt>
                <c:pt idx="21">
                  <c:v>74052.100000000151</c:v>
                </c:pt>
                <c:pt idx="22">
                  <c:v>74731.700000000215</c:v>
                </c:pt>
                <c:pt idx="23">
                  <c:v>75412.600000113889</c:v>
                </c:pt>
                <c:pt idx="24">
                  <c:v>76090.000000124521</c:v>
                </c:pt>
                <c:pt idx="25">
                  <c:v>76769.600274999815</c:v>
                </c:pt>
                <c:pt idx="26">
                  <c:v>77449.199999944671</c:v>
                </c:pt>
                <c:pt idx="27">
                  <c:v>78130.100000113933</c:v>
                </c:pt>
                <c:pt idx="28">
                  <c:v>78807.50000000016</c:v>
                </c:pt>
                <c:pt idx="29">
                  <c:v>79487.100000000166</c:v>
                </c:pt>
                <c:pt idx="30">
                  <c:v>6423.5</c:v>
                </c:pt>
                <c:pt idx="31">
                  <c:v>80846.300000000236</c:v>
                </c:pt>
                <c:pt idx="32">
                  <c:v>81525.00000000016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7-426E-86EB-26F47C5A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1423"/>
        <c:axId val="2094315039"/>
      </c:lineChart>
      <c:catAx>
        <c:axId val="21059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Qty Sensitivity ($G$29)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94315039"/>
        <c:crosses val="autoZero"/>
        <c:auto val="1"/>
        <c:lblAlgn val="ctr"/>
        <c:lblOffset val="100"/>
        <c:noMultiLvlLbl val="0"/>
      </c:catAx>
      <c:valAx>
        <c:axId val="20943150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9142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Sheet22!$C$5</c:f>
              <c:strCache>
                <c:ptCount val="1"/>
                <c:pt idx="0">
                  <c:v>Optimal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Sheet22!$B$6:$B$9</c:f>
              <c:strCache>
                <c:ptCount val="4"/>
                <c:pt idx="0">
                  <c:v>Case 1 - S1-S4, Delivery &gt;90%, Quality &gt;94%, Avg Price &gt;$14</c:v>
                </c:pt>
                <c:pt idx="1">
                  <c:v>Case 2 - S1-S4, Delivery &gt;90%, Quality &gt;94%, S1 + S3 &gt;70%, Avg Price &gt;$15</c:v>
                </c:pt>
                <c:pt idx="2">
                  <c:v>Case 3 - S1-S4, Delivery &gt;90%, Quality &gt;94%, S1 + S3 &gt;70%, Avg Price &gt;$16, S2 &gt;80%(Delivery)</c:v>
                </c:pt>
                <c:pt idx="3">
                  <c:v>Case 4 - S1-S5, Delivery &gt;90%, Quality &gt;94%, S1 + S3 &gt;70%, Avg Price &gt;$16, S2 &gt;80%(Delivery)</c:v>
                </c:pt>
              </c:strCache>
            </c:strRef>
          </c:cat>
          <c:val>
            <c:numRef>
              <c:f>Sheet22!$C$6:$C$9</c:f>
              <c:numCache>
                <c:formatCode>_("$"* #,##0_);_("$"* \(#,##0\);_("$"* "-"_);_(@_)</c:formatCode>
                <c:ptCount val="4"/>
                <c:pt idx="0">
                  <c:v>70714.399999999994</c:v>
                </c:pt>
                <c:pt idx="1">
                  <c:v>70980</c:v>
                </c:pt>
                <c:pt idx="2">
                  <c:v>72465</c:v>
                </c:pt>
                <c:pt idx="3">
                  <c:v>70655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0-4350-8B31-080F4EB3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047647"/>
        <c:axId val="332095967"/>
        <c:axId val="0"/>
      </c:bar3DChart>
      <c:catAx>
        <c:axId val="22004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5967"/>
        <c:crosses val="autoZero"/>
        <c:auto val="1"/>
        <c:lblAlgn val="ctr"/>
        <c:lblOffset val="100"/>
        <c:noMultiLvlLbl val="0"/>
      </c:catAx>
      <c:valAx>
        <c:axId val="3320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7054</xdr:colOff>
      <xdr:row>2</xdr:row>
      <xdr:rowOff>175481</xdr:rowOff>
    </xdr:from>
    <xdr:to>
      <xdr:col>20</xdr:col>
      <xdr:colOff>34268</xdr:colOff>
      <xdr:row>17</xdr:row>
      <xdr:rowOff>30843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0389AFF7-736E-0A69-DE03-BE9484A79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63501</xdr:colOff>
      <xdr:row>4</xdr:row>
      <xdr:rowOff>364772</xdr:rowOff>
    </xdr:from>
    <xdr:to>
      <xdr:col>9</xdr:col>
      <xdr:colOff>63501</xdr:colOff>
      <xdr:row>8</xdr:row>
      <xdr:rowOff>150284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57D9A1-6176-9B92-9D89-29D0BB2239E9}"/>
            </a:ext>
          </a:extLst>
        </xdr:cNvPr>
        <xdr:cNvSpPr txBox="1"/>
      </xdr:nvSpPr>
      <xdr:spPr>
        <a:xfrm>
          <a:off x="4014612" y="1098550"/>
          <a:ext cx="2427111" cy="759178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351173</xdr:colOff>
      <xdr:row>5</xdr:row>
      <xdr:rowOff>60067</xdr:rowOff>
    </xdr:from>
    <xdr:to>
      <xdr:col>24</xdr:col>
      <xdr:colOff>446217</xdr:colOff>
      <xdr:row>24</xdr:row>
      <xdr:rowOff>154459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490FFFE0-7176-4123-5FCD-BACA3EEC9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74312</xdr:colOff>
      <xdr:row>8</xdr:row>
      <xdr:rowOff>143305</xdr:rowOff>
    </xdr:from>
    <xdr:to>
      <xdr:col>7</xdr:col>
      <xdr:colOff>74312</xdr:colOff>
      <xdr:row>12</xdr:row>
      <xdr:rowOff>176256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1B299F-0FCA-B671-26B4-DA73BD9653EA}"/>
            </a:ext>
          </a:extLst>
        </xdr:cNvPr>
        <xdr:cNvSpPr txBox="1"/>
      </xdr:nvSpPr>
      <xdr:spPr>
        <a:xfrm>
          <a:off x="4879717" y="1859521"/>
          <a:ext cx="2437027" cy="753762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239486</xdr:colOff>
      <xdr:row>3</xdr:row>
      <xdr:rowOff>123371</xdr:rowOff>
    </xdr:from>
    <xdr:to>
      <xdr:col>20</xdr:col>
      <xdr:colOff>240393</xdr:colOff>
      <xdr:row>17</xdr:row>
      <xdr:rowOff>164193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DBB6DFC4-37A7-6379-128D-EFB55DE7D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311150</xdr:colOff>
      <xdr:row>9</xdr:row>
      <xdr:rowOff>173264</xdr:rowOff>
    </xdr:from>
    <xdr:to>
      <xdr:col>10</xdr:col>
      <xdr:colOff>101600</xdr:colOff>
      <xdr:row>14</xdr:row>
      <xdr:rowOff>17236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1B63EA-5DE2-AEEC-D982-F4A83422F692}"/>
            </a:ext>
          </a:extLst>
        </xdr:cNvPr>
        <xdr:cNvSpPr txBox="1"/>
      </xdr:nvSpPr>
      <xdr:spPr>
        <a:xfrm>
          <a:off x="7213600" y="208915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495084</xdr:colOff>
      <xdr:row>5</xdr:row>
      <xdr:rowOff>162086</xdr:rowOff>
    </xdr:from>
    <xdr:to>
      <xdr:col>16</xdr:col>
      <xdr:colOff>150677</xdr:colOff>
      <xdr:row>24</xdr:row>
      <xdr:rowOff>43050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7C6C65-C495-BA1F-E5AB-AE28F53A3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thikeyan Velusamy" id="{9F38C5DD-8F7D-4E64-B321-1808FE528CF1}" userId="S::kvelusamy@horizon.csueastbay.edu::782f5967-9a45-4d1c-ada3-df279635c9d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F22FE3-F41E-458C-B856-3FD4E7D59403}" name="Table2" displayName="Table2" ref="A4:B67" totalsRowShown="0" headerRowDxfId="21" headerRowBorderDxfId="20" tableBorderDxfId="19" totalsRowBorderDxfId="18">
  <autoFilter ref="A4:B67" xr:uid="{63F22FE3-F41E-458C-B856-3FD4E7D59403}"/>
  <tableColumns count="2">
    <tableColumn id="1" xr3:uid="{81854834-6AC3-4F7A-A7CB-FC35CFA3AC84}" name="S1+S3 Qty %" dataDxfId="17"/>
    <tableColumn id="2" xr3:uid="{E2056564-7DC6-4889-95E6-E961C6B12A62}" name="Optimal Cos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828CBC-B3CB-47EF-8353-5F3BC987B330}" name="Table3" displayName="Table3" ref="A3:B25" totalsRowShown="0" headerRowDxfId="12" headerRowBorderDxfId="10" tableBorderDxfId="15" totalsRowBorderDxfId="14">
  <autoFilter ref="A3:B25" xr:uid="{88828CBC-B3CB-47EF-8353-5F3BC987B330}"/>
  <tableColumns count="2">
    <tableColumn id="1" xr3:uid="{6B4DEE44-4542-41F2-B3D9-04D167230CB8}" name="Overall Quality %" dataDxfId="11"/>
    <tableColumn id="2" xr3:uid="{0FC7D177-49FC-48D2-B153-A25E8E77DA76}" name="Optimal Cost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EAA96-14A5-4A94-99A4-18D732A44A51}" name="Table1" displayName="Table1" ref="A3:G37" totalsRowShown="0" headerRowDxfId="0" headerRowBorderDxfId="1" tableBorderDxfId="9">
  <autoFilter ref="A3:G37" xr:uid="{B73EAA96-14A5-4A94-99A4-18D732A44A51}"/>
  <tableColumns count="7">
    <tableColumn id="1" xr3:uid="{E3D94D0D-F703-4623-B04D-25DE579C878E}" name="Qty" dataDxfId="8"/>
    <tableColumn id="2" xr3:uid="{5FFD542F-F6C9-452A-BCAF-1BD6D74FE236}" name="Optimal Price" dataDxfId="7"/>
    <tableColumn id="3" xr3:uid="{0F018DE5-043D-4EDF-8FF3-9581125C40B3}" name="Supplier 1 Qty" dataDxfId="6"/>
    <tableColumn id="4" xr3:uid="{B6251BB1-6846-429A-A26B-4614825F9C84}" name="Supplier 2 Qty" dataDxfId="5"/>
    <tableColumn id="5" xr3:uid="{F0C943E9-F2D4-4268-BB78-7F6ADDF305AE}" name="Supplier 3 Qty" dataDxfId="4"/>
    <tableColumn id="6" xr3:uid="{061A36DA-2C29-402B-B28E-6B63C15837A9}" name="Supplier 4 Qty" dataDxfId="3"/>
    <tableColumn id="7" xr3:uid="{0F0F7539-0F89-43B4-8DB1-211095AB9583}" name="Supplier 5 Qty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3-03-12T19:56:06.10" personId="{9F38C5DD-8F7D-4E64-B321-1808FE528CF1}" id="{591B4D2E-693A-43D8-861F-4461F5462F91}">
    <text xml:space="preserve">The Supplier 2 on time delivery rate has been reduced from 85% to 80% 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632D-2D46-4E39-B87B-31B574BAFCAE}">
  <dimension ref="A1:K37"/>
  <sheetViews>
    <sheetView tabSelected="1" zoomScale="51" zoomScaleNormal="51" workbookViewId="0">
      <selection activeCell="E8" sqref="E8"/>
    </sheetView>
  </sheetViews>
  <sheetFormatPr defaultRowHeight="14.5" x14ac:dyDescent="0.35"/>
  <cols>
    <col min="1" max="1" width="26.81640625" customWidth="1"/>
    <col min="3" max="3" width="41.08984375" customWidth="1"/>
    <col min="4" max="4" width="46.81640625" bestFit="1" customWidth="1"/>
    <col min="5" max="6" width="25.36328125" customWidth="1"/>
    <col min="9" max="9" width="27.36328125" customWidth="1"/>
    <col min="11" max="11" width="28.81640625" customWidth="1"/>
  </cols>
  <sheetData>
    <row r="1" spans="1:11" ht="39" customHeight="1" thickBot="1" x14ac:dyDescent="0.5">
      <c r="A1" s="69" t="s">
        <v>0</v>
      </c>
      <c r="B1" s="70"/>
      <c r="C1" s="70"/>
      <c r="D1" s="70"/>
      <c r="E1" s="71"/>
      <c r="F1" s="103"/>
      <c r="G1" s="103"/>
      <c r="H1" s="103"/>
      <c r="I1" s="103"/>
      <c r="J1" s="103"/>
      <c r="K1" s="103"/>
    </row>
    <row r="2" spans="1:11" ht="19" thickBot="1" x14ac:dyDescent="0.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1" ht="19" thickBot="1" x14ac:dyDescent="0.4">
      <c r="A3" s="104" t="s">
        <v>21</v>
      </c>
      <c r="B3" s="105"/>
      <c r="C3" s="105"/>
      <c r="D3" s="105"/>
      <c r="E3" s="105"/>
      <c r="F3" s="105"/>
      <c r="G3" s="105"/>
      <c r="H3" s="105"/>
      <c r="I3" s="105"/>
      <c r="J3" s="105"/>
      <c r="K3" s="106"/>
    </row>
    <row r="4" spans="1:11" ht="21" thickBot="1" x14ac:dyDescent="0.5">
      <c r="A4" s="107" t="s">
        <v>22</v>
      </c>
      <c r="B4" s="108" t="s">
        <v>116</v>
      </c>
      <c r="C4" s="109" t="s">
        <v>26</v>
      </c>
      <c r="D4" s="103"/>
      <c r="E4" s="103"/>
      <c r="F4" s="103"/>
      <c r="G4" s="103"/>
      <c r="H4" s="103"/>
      <c r="I4" s="110" t="s">
        <v>101</v>
      </c>
      <c r="J4" s="111"/>
      <c r="K4" s="112"/>
    </row>
    <row r="5" spans="1:11" ht="37.5" thickBot="1" x14ac:dyDescent="0.5">
      <c r="A5" s="113" t="s">
        <v>23</v>
      </c>
      <c r="B5" s="114" t="s">
        <v>117</v>
      </c>
      <c r="C5" s="115"/>
      <c r="D5" s="103"/>
      <c r="E5" s="103"/>
      <c r="F5" s="103"/>
      <c r="G5" s="103"/>
      <c r="H5" s="103"/>
      <c r="I5" s="116" t="s">
        <v>118</v>
      </c>
      <c r="J5" s="117" t="s">
        <v>20</v>
      </c>
      <c r="K5" s="118">
        <v>5200</v>
      </c>
    </row>
    <row r="6" spans="1:11" ht="37.5" thickBot="1" x14ac:dyDescent="0.5">
      <c r="A6" s="119" t="s">
        <v>24</v>
      </c>
      <c r="B6" s="108" t="s">
        <v>119</v>
      </c>
      <c r="C6" s="115"/>
      <c r="D6" s="103"/>
      <c r="E6" s="103"/>
      <c r="F6" s="103"/>
      <c r="G6" s="103"/>
      <c r="H6" s="103"/>
      <c r="I6" s="72" t="s">
        <v>28</v>
      </c>
      <c r="J6" s="120" t="s">
        <v>20</v>
      </c>
      <c r="K6" s="121">
        <v>0.94</v>
      </c>
    </row>
    <row r="7" spans="1:11" ht="37.5" thickBot="1" x14ac:dyDescent="0.5">
      <c r="A7" s="122" t="s">
        <v>25</v>
      </c>
      <c r="B7" s="123" t="s">
        <v>120</v>
      </c>
      <c r="C7" s="124"/>
      <c r="D7" s="103"/>
      <c r="E7" s="103"/>
      <c r="F7" s="103"/>
      <c r="G7" s="103"/>
      <c r="H7" s="103"/>
      <c r="I7" s="72" t="s">
        <v>29</v>
      </c>
      <c r="J7" s="120" t="s">
        <v>20</v>
      </c>
      <c r="K7" s="121">
        <v>0.9</v>
      </c>
    </row>
    <row r="8" spans="1:11" ht="19" thickBot="1" x14ac:dyDescent="0.5">
      <c r="A8" s="103"/>
      <c r="B8" s="103"/>
      <c r="C8" s="103"/>
      <c r="D8" s="103"/>
      <c r="E8" s="103"/>
      <c r="F8" s="103"/>
      <c r="G8" s="103"/>
      <c r="H8" s="103"/>
      <c r="I8" s="72" t="s">
        <v>30</v>
      </c>
      <c r="J8" s="120" t="s">
        <v>17</v>
      </c>
      <c r="K8" s="121">
        <v>14</v>
      </c>
    </row>
    <row r="9" spans="1:11" ht="19" thickBot="1" x14ac:dyDescent="0.5">
      <c r="A9" s="125" t="s">
        <v>13</v>
      </c>
      <c r="B9" s="126" t="s">
        <v>115</v>
      </c>
      <c r="C9" s="127"/>
      <c r="D9" s="103"/>
      <c r="E9" s="103"/>
      <c r="F9" s="103"/>
      <c r="G9" s="103"/>
      <c r="H9" s="103"/>
      <c r="I9" s="128" t="s">
        <v>114</v>
      </c>
      <c r="J9" s="129" t="s">
        <v>17</v>
      </c>
      <c r="K9" s="130">
        <v>0.5</v>
      </c>
    </row>
    <row r="10" spans="1:11" ht="19" thickBot="1" x14ac:dyDescent="0.5">
      <c r="A10" s="131"/>
      <c r="B10" s="132"/>
      <c r="C10" s="133"/>
      <c r="D10" s="103"/>
      <c r="E10" s="103"/>
      <c r="F10" s="103"/>
      <c r="G10" s="103"/>
      <c r="H10" s="103"/>
      <c r="I10" s="103"/>
      <c r="J10" s="103"/>
      <c r="K10" s="103"/>
    </row>
    <row r="11" spans="1:11" ht="19" thickBot="1" x14ac:dyDescent="0.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1:11" ht="33" customHeight="1" thickBot="1" x14ac:dyDescent="0.5">
      <c r="A12" s="37" t="s">
        <v>1</v>
      </c>
      <c r="B12" s="38"/>
      <c r="C12" s="38"/>
      <c r="D12" s="38"/>
      <c r="E12" s="38"/>
      <c r="F12" s="39"/>
      <c r="G12" s="103"/>
      <c r="H12" s="103"/>
      <c r="I12" s="103"/>
      <c r="J12" s="103"/>
      <c r="K12" s="103"/>
    </row>
    <row r="13" spans="1:11" ht="19" thickBot="1" x14ac:dyDescent="0.5">
      <c r="A13" s="134"/>
      <c r="B13" s="135"/>
      <c r="C13" s="134"/>
      <c r="D13" s="135" t="s">
        <v>4</v>
      </c>
      <c r="E13" s="134" t="s">
        <v>5</v>
      </c>
      <c r="F13" s="136" t="s">
        <v>6</v>
      </c>
      <c r="G13" s="103"/>
      <c r="H13" s="103"/>
      <c r="I13" s="103"/>
      <c r="J13" s="103"/>
      <c r="K13" s="103"/>
    </row>
    <row r="14" spans="1:11" ht="18.5" x14ac:dyDescent="0.45">
      <c r="A14" s="137" t="s">
        <v>2</v>
      </c>
      <c r="B14" s="138" t="s">
        <v>3</v>
      </c>
      <c r="C14" s="139"/>
      <c r="D14" s="140">
        <v>0.99</v>
      </c>
      <c r="E14" s="141">
        <v>0.95</v>
      </c>
      <c r="F14" s="142">
        <v>15</v>
      </c>
      <c r="G14" s="103"/>
      <c r="H14" s="103"/>
      <c r="I14" s="103"/>
      <c r="J14" s="103"/>
      <c r="K14" s="103"/>
    </row>
    <row r="15" spans="1:11" ht="18.5" x14ac:dyDescent="0.45">
      <c r="A15" s="120" t="s">
        <v>10</v>
      </c>
      <c r="B15" s="143" t="s">
        <v>7</v>
      </c>
      <c r="C15" s="144"/>
      <c r="D15" s="145">
        <v>0.9</v>
      </c>
      <c r="E15" s="146">
        <v>0.85</v>
      </c>
      <c r="F15" s="147">
        <v>12.3</v>
      </c>
      <c r="G15" s="103"/>
      <c r="H15" s="103"/>
      <c r="I15" s="103"/>
      <c r="J15" s="103"/>
      <c r="K15" s="103"/>
    </row>
    <row r="16" spans="1:11" ht="18.5" x14ac:dyDescent="0.45">
      <c r="A16" s="120" t="s">
        <v>11</v>
      </c>
      <c r="B16" s="143" t="s">
        <v>8</v>
      </c>
      <c r="C16" s="144"/>
      <c r="D16" s="145">
        <v>0.95</v>
      </c>
      <c r="E16" s="146">
        <v>0.9</v>
      </c>
      <c r="F16" s="147">
        <v>14.5</v>
      </c>
      <c r="G16" s="103"/>
      <c r="H16" s="103"/>
      <c r="I16" s="103"/>
      <c r="J16" s="103"/>
      <c r="K16" s="103"/>
    </row>
    <row r="17" spans="1:11" ht="19" thickBot="1" x14ac:dyDescent="0.5">
      <c r="A17" s="129" t="s">
        <v>12</v>
      </c>
      <c r="B17" s="148" t="s">
        <v>9</v>
      </c>
      <c r="C17" s="149"/>
      <c r="D17" s="150">
        <v>0.9</v>
      </c>
      <c r="E17" s="151">
        <v>0.94</v>
      </c>
      <c r="F17" s="152">
        <v>13.9</v>
      </c>
      <c r="G17" s="103"/>
      <c r="H17" s="103"/>
      <c r="I17" s="103"/>
      <c r="J17" s="103"/>
      <c r="K17" s="103"/>
    </row>
    <row r="18" spans="1:11" ht="19" thickBot="1" x14ac:dyDescent="0.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1:11" ht="14.5" customHeight="1" x14ac:dyDescent="0.45">
      <c r="A19" s="153" t="s">
        <v>13</v>
      </c>
      <c r="B19" s="154"/>
      <c r="C19" s="154"/>
      <c r="D19" s="155"/>
      <c r="E19" s="103"/>
      <c r="F19" s="103"/>
      <c r="G19" s="103"/>
      <c r="H19" s="103"/>
      <c r="I19" s="103"/>
      <c r="J19" s="103"/>
      <c r="K19" s="103"/>
    </row>
    <row r="20" spans="1:11" ht="14.5" customHeight="1" thickBot="1" x14ac:dyDescent="0.5">
      <c r="A20" s="156"/>
      <c r="B20" s="157"/>
      <c r="C20" s="157"/>
      <c r="D20" s="158"/>
      <c r="E20" s="103"/>
      <c r="F20" s="103"/>
      <c r="G20" s="103"/>
      <c r="H20" s="103"/>
      <c r="I20" s="103"/>
      <c r="J20" s="103"/>
      <c r="K20" s="103"/>
    </row>
    <row r="21" spans="1:11" ht="14.5" customHeight="1" x14ac:dyDescent="0.45">
      <c r="A21" s="65" t="s">
        <v>14</v>
      </c>
      <c r="B21" s="66"/>
      <c r="C21" s="159" t="s">
        <v>102</v>
      </c>
      <c r="D21" s="160"/>
      <c r="E21" s="103"/>
      <c r="F21" s="103"/>
      <c r="G21" s="103"/>
      <c r="H21" s="103"/>
      <c r="I21" s="103"/>
      <c r="J21" s="103"/>
      <c r="K21" s="103"/>
    </row>
    <row r="22" spans="1:11" ht="14.5" customHeight="1" x14ac:dyDescent="0.45">
      <c r="A22" s="61"/>
      <c r="B22" s="63"/>
      <c r="C22" s="159"/>
      <c r="D22" s="160"/>
      <c r="E22" s="103"/>
      <c r="F22" s="103"/>
      <c r="G22" s="103"/>
      <c r="H22" s="103"/>
      <c r="I22" s="103"/>
      <c r="J22" s="103"/>
      <c r="K22" s="103"/>
    </row>
    <row r="23" spans="1:11" ht="14.5" customHeight="1" x14ac:dyDescent="0.45">
      <c r="A23" s="61"/>
      <c r="B23" s="63"/>
      <c r="C23" s="159"/>
      <c r="D23" s="160"/>
      <c r="E23" s="103"/>
      <c r="F23" s="103"/>
      <c r="G23" s="103"/>
      <c r="H23" s="103"/>
      <c r="I23" s="103"/>
      <c r="J23" s="103"/>
      <c r="K23" s="103"/>
    </row>
    <row r="24" spans="1:11" ht="14.5" customHeight="1" thickBot="1" x14ac:dyDescent="0.5">
      <c r="A24" s="62"/>
      <c r="B24" s="64"/>
      <c r="C24" s="161"/>
      <c r="D24" s="162"/>
      <c r="E24" s="103"/>
      <c r="F24" s="103"/>
      <c r="G24" s="103"/>
      <c r="H24" s="103"/>
      <c r="I24" s="103"/>
      <c r="J24" s="103"/>
      <c r="K24" s="103"/>
    </row>
    <row r="25" spans="1:11" ht="19" thickBot="1" x14ac:dyDescent="0.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14.5" customHeight="1" x14ac:dyDescent="0.45">
      <c r="A26" s="163" t="s">
        <v>15</v>
      </c>
      <c r="B26" s="164"/>
      <c r="C26" s="164"/>
      <c r="D26" s="165"/>
      <c r="E26" s="103"/>
      <c r="F26" s="103"/>
      <c r="G26" s="103"/>
      <c r="H26" s="103"/>
      <c r="I26" s="103"/>
      <c r="J26" s="103"/>
      <c r="K26" s="103"/>
    </row>
    <row r="27" spans="1:11" ht="15" customHeight="1" thickBot="1" x14ac:dyDescent="0.5">
      <c r="A27" s="166"/>
      <c r="B27" s="167"/>
      <c r="C27" s="167"/>
      <c r="D27" s="168"/>
      <c r="E27" s="103"/>
      <c r="F27" s="103"/>
      <c r="G27" s="103"/>
      <c r="H27" s="103"/>
      <c r="I27" s="103"/>
      <c r="J27" s="103"/>
      <c r="K27" s="103"/>
    </row>
    <row r="28" spans="1:11" ht="18.5" x14ac:dyDescent="0.45">
      <c r="A28" s="310" t="s">
        <v>16</v>
      </c>
      <c r="B28" s="311"/>
      <c r="C28" s="312"/>
      <c r="D28" s="169" t="s">
        <v>94</v>
      </c>
      <c r="E28" s="103"/>
      <c r="F28" s="103"/>
      <c r="G28" s="103"/>
      <c r="H28" s="103"/>
      <c r="I28" s="103"/>
      <c r="J28" s="103"/>
      <c r="K28" s="103"/>
    </row>
    <row r="29" spans="1:11" ht="37" x14ac:dyDescent="0.45">
      <c r="A29" s="170" t="s">
        <v>19</v>
      </c>
      <c r="B29" s="171"/>
      <c r="C29" s="172"/>
      <c r="D29" s="173" t="s">
        <v>93</v>
      </c>
      <c r="E29" s="103"/>
      <c r="F29" s="103"/>
      <c r="G29" s="103"/>
      <c r="H29" s="103"/>
      <c r="I29" s="103"/>
      <c r="J29" s="103"/>
      <c r="K29" s="103"/>
    </row>
    <row r="30" spans="1:11" ht="18.5" x14ac:dyDescent="0.45">
      <c r="A30" s="170" t="s">
        <v>27</v>
      </c>
      <c r="B30" s="171"/>
      <c r="C30" s="172"/>
      <c r="D30" s="174" t="s">
        <v>95</v>
      </c>
      <c r="E30" s="103"/>
      <c r="F30" s="103"/>
      <c r="G30" s="103"/>
      <c r="H30" s="103"/>
      <c r="I30" s="103"/>
      <c r="J30" s="103"/>
      <c r="K30" s="103"/>
    </row>
    <row r="31" spans="1:11" ht="18.5" x14ac:dyDescent="0.45">
      <c r="A31" s="170" t="s">
        <v>31</v>
      </c>
      <c r="B31" s="171"/>
      <c r="C31" s="172"/>
      <c r="D31" s="174" t="s">
        <v>96</v>
      </c>
      <c r="E31" s="103"/>
      <c r="F31" s="103"/>
      <c r="G31" s="103"/>
      <c r="H31" s="103"/>
      <c r="I31" s="103"/>
      <c r="J31" s="103"/>
      <c r="K31" s="103"/>
    </row>
    <row r="32" spans="1:11" ht="18.5" x14ac:dyDescent="0.45">
      <c r="A32" s="313" t="s">
        <v>32</v>
      </c>
      <c r="B32" s="309"/>
      <c r="C32" s="314"/>
      <c r="D32" s="174" t="s">
        <v>97</v>
      </c>
      <c r="E32" s="103"/>
      <c r="F32" s="103"/>
      <c r="G32" s="103"/>
      <c r="H32" s="103"/>
      <c r="I32" s="103"/>
      <c r="J32" s="103"/>
      <c r="K32" s="103"/>
    </row>
    <row r="33" spans="1:11" ht="18.5" x14ac:dyDescent="0.45">
      <c r="A33" s="313"/>
      <c r="B33" s="309"/>
      <c r="C33" s="314"/>
      <c r="D33" s="174" t="s">
        <v>98</v>
      </c>
      <c r="E33" s="103"/>
      <c r="F33" s="103"/>
      <c r="G33" s="103"/>
      <c r="H33" s="103"/>
      <c r="I33" s="103"/>
      <c r="J33" s="103"/>
      <c r="K33" s="103"/>
    </row>
    <row r="34" spans="1:11" ht="18.5" x14ac:dyDescent="0.45">
      <c r="A34" s="313"/>
      <c r="B34" s="309"/>
      <c r="C34" s="314"/>
      <c r="D34" s="174" t="s">
        <v>99</v>
      </c>
      <c r="E34" s="103"/>
      <c r="F34" s="103"/>
      <c r="G34" s="103"/>
      <c r="H34" s="103"/>
      <c r="I34" s="103"/>
      <c r="J34" s="103"/>
      <c r="K34" s="103"/>
    </row>
    <row r="35" spans="1:11" ht="18.5" x14ac:dyDescent="0.45">
      <c r="A35" s="313"/>
      <c r="B35" s="309"/>
      <c r="C35" s="314"/>
      <c r="D35" s="174" t="s">
        <v>100</v>
      </c>
      <c r="E35" s="103"/>
      <c r="F35" s="103"/>
      <c r="G35" s="103"/>
      <c r="H35" s="103"/>
      <c r="I35" s="103"/>
      <c r="J35" s="103"/>
      <c r="K35" s="103"/>
    </row>
    <row r="36" spans="1:11" ht="19" thickBot="1" x14ac:dyDescent="0.5">
      <c r="A36" s="175" t="s">
        <v>48</v>
      </c>
      <c r="B36" s="176"/>
      <c r="C36" s="177"/>
      <c r="D36" s="178" t="s">
        <v>49</v>
      </c>
      <c r="E36" s="103"/>
      <c r="F36" s="103"/>
      <c r="G36" s="103"/>
      <c r="H36" s="103"/>
      <c r="I36" s="103"/>
      <c r="J36" s="103"/>
      <c r="K36" s="103"/>
    </row>
    <row r="37" spans="1:11" x14ac:dyDescent="0.35">
      <c r="D37" s="13"/>
    </row>
  </sheetData>
  <mergeCells count="17">
    <mergeCell ref="A1:E1"/>
    <mergeCell ref="A21:B24"/>
    <mergeCell ref="C21:D24"/>
    <mergeCell ref="A12:F12"/>
    <mergeCell ref="A19:D20"/>
    <mergeCell ref="A9:A10"/>
    <mergeCell ref="B9:C10"/>
    <mergeCell ref="A36:C36"/>
    <mergeCell ref="I4:K4"/>
    <mergeCell ref="A3:K3"/>
    <mergeCell ref="C4:C7"/>
    <mergeCell ref="A28:C28"/>
    <mergeCell ref="A29:C29"/>
    <mergeCell ref="A30:C30"/>
    <mergeCell ref="A31:C31"/>
    <mergeCell ref="A32:C35"/>
    <mergeCell ref="A26:D27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023D-7555-4FB9-BA62-B3CFDAB4D27F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74</v>
      </c>
    </row>
    <row r="3" spans="1:2" x14ac:dyDescent="0.35">
      <c r="A3">
        <v>1</v>
      </c>
    </row>
    <row r="4" spans="1:2" x14ac:dyDescent="0.35">
      <c r="A4">
        <v>0.4</v>
      </c>
    </row>
    <row r="5" spans="1:2" x14ac:dyDescent="0.35">
      <c r="A5">
        <v>1</v>
      </c>
    </row>
    <row r="6" spans="1:2" x14ac:dyDescent="0.35">
      <c r="A6">
        <v>0.01</v>
      </c>
    </row>
    <row r="8" spans="1:2" x14ac:dyDescent="0.35">
      <c r="A8" s="2"/>
      <c r="B8" s="2"/>
    </row>
    <row r="9" spans="1:2" x14ac:dyDescent="0.35">
      <c r="A9" t="s">
        <v>75</v>
      </c>
    </row>
    <row r="10" spans="1:2" x14ac:dyDescent="0.35">
      <c r="A10" t="s">
        <v>73</v>
      </c>
    </row>
    <row r="15" spans="1:2" x14ac:dyDescent="0.35">
      <c r="B1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9877-2479-49BA-A395-F3C1D6DBED9F}">
  <dimension ref="A1:K25"/>
  <sheetViews>
    <sheetView topLeftCell="C1" zoomScale="74" workbookViewId="0">
      <selection activeCell="K29" sqref="K29"/>
    </sheetView>
  </sheetViews>
  <sheetFormatPr defaultRowHeight="14.5" x14ac:dyDescent="0.35"/>
  <cols>
    <col min="1" max="1" width="34.54296875" customWidth="1"/>
    <col min="2" max="2" width="26.1796875" customWidth="1"/>
    <col min="3" max="3" width="8.08984375" customWidth="1"/>
    <col min="9" max="9" width="1.08984375" customWidth="1"/>
  </cols>
  <sheetData>
    <row r="1" spans="1:11" ht="15" thickBot="1" x14ac:dyDescent="0.4">
      <c r="A1" s="359" t="s">
        <v>79</v>
      </c>
      <c r="B1" s="360"/>
      <c r="K1" s="3" t="str">
        <f>CONCATENATE("Sensitivity of ",$K$4," to ","Input")</f>
        <v>Sensitivity of $C$17 to Input</v>
      </c>
    </row>
    <row r="2" spans="1:11" ht="15" thickBot="1" x14ac:dyDescent="0.4">
      <c r="A2" s="362" t="s">
        <v>80</v>
      </c>
      <c r="B2" s="363"/>
      <c r="C2" s="361"/>
      <c r="K2" t="s">
        <v>59</v>
      </c>
    </row>
    <row r="3" spans="1:11" ht="15" thickBot="1" x14ac:dyDescent="0.4">
      <c r="A3" s="354" t="s">
        <v>107</v>
      </c>
      <c r="B3" s="355" t="s">
        <v>103</v>
      </c>
      <c r="C3" s="67"/>
    </row>
    <row r="4" spans="1:11" ht="34" thickBot="1" x14ac:dyDescent="0.4">
      <c r="A4" s="352"/>
      <c r="B4" s="353" t="s">
        <v>81</v>
      </c>
      <c r="C4" s="344" t="s">
        <v>82</v>
      </c>
      <c r="J4" s="3">
        <f>MATCH($K$4,OutputAddresses,0)</f>
        <v>1</v>
      </c>
      <c r="K4" s="8" t="s">
        <v>81</v>
      </c>
    </row>
    <row r="5" spans="1:11" x14ac:dyDescent="0.35">
      <c r="A5" s="350">
        <v>0.89999997615814209</v>
      </c>
      <c r="B5" s="351">
        <v>66300.000000000582</v>
      </c>
      <c r="C5" s="50">
        <v>4679.9998760223862</v>
      </c>
      <c r="K5">
        <f>INDEX(OutputValues,1,$J$4)</f>
        <v>66300.000000000582</v>
      </c>
    </row>
    <row r="6" spans="1:11" x14ac:dyDescent="0.35">
      <c r="A6" s="348">
        <v>0.90499997138977051</v>
      </c>
      <c r="B6" s="345">
        <v>38039.5</v>
      </c>
      <c r="C6" s="50">
        <v>2353.9049255847931</v>
      </c>
      <c r="K6">
        <f>INDEX(OutputValues,2,$J$4)</f>
        <v>38039.5</v>
      </c>
    </row>
    <row r="7" spans="1:11" x14ac:dyDescent="0.35">
      <c r="A7" s="348">
        <v>0.90999996662139893</v>
      </c>
      <c r="B7" s="345">
        <v>67220</v>
      </c>
      <c r="C7" s="50">
        <v>4731.9998264312744</v>
      </c>
      <c r="K7">
        <f>INDEX(OutputValues,3,$J$4)</f>
        <v>67220</v>
      </c>
    </row>
    <row r="8" spans="1:11" x14ac:dyDescent="0.35">
      <c r="A8" s="348">
        <v>0.91499996185302734</v>
      </c>
      <c r="B8" s="345">
        <v>67680</v>
      </c>
      <c r="C8" s="50">
        <v>4757.9998016357431</v>
      </c>
      <c r="K8">
        <f>INDEX(OutputValues,4,$J$4)</f>
        <v>67680</v>
      </c>
    </row>
    <row r="9" spans="1:11" x14ac:dyDescent="0.35">
      <c r="A9" s="348">
        <v>0.91999995708465576</v>
      </c>
      <c r="B9" s="345">
        <v>67600.79999999977</v>
      </c>
      <c r="C9" s="50">
        <v>4783.99977684019</v>
      </c>
      <c r="K9">
        <f>INDEX(OutputValues,5,$J$4)</f>
        <v>67600.79999999977</v>
      </c>
    </row>
    <row r="10" spans="1:11" x14ac:dyDescent="0.35">
      <c r="A10" s="348">
        <v>0.92499995231628418</v>
      </c>
      <c r="B10" s="345">
        <v>68276.79999999977</v>
      </c>
      <c r="C10" s="50">
        <v>4809.9997520446577</v>
      </c>
      <c r="K10">
        <f>INDEX(OutputValues,6,$J$4)</f>
        <v>68276.79999999977</v>
      </c>
    </row>
    <row r="11" spans="1:11" x14ac:dyDescent="0.35">
      <c r="A11" s="348">
        <v>0.9299999475479126</v>
      </c>
      <c r="B11" s="345">
        <v>68952.79999999977</v>
      </c>
      <c r="C11" s="50">
        <v>4835.9997272491255</v>
      </c>
      <c r="K11">
        <f>INDEX(OutputValues,7,$J$4)</f>
        <v>68952.79999999977</v>
      </c>
    </row>
    <row r="12" spans="1:11" x14ac:dyDescent="0.35">
      <c r="A12" s="348">
        <v>0.93500000238418579</v>
      </c>
      <c r="B12" s="345">
        <v>69744.998636245815</v>
      </c>
      <c r="C12" s="50">
        <v>4861.9998964786591</v>
      </c>
      <c r="K12">
        <f>INDEX(OutputValues,8,$J$4)</f>
        <v>69744.998636245815</v>
      </c>
    </row>
    <row r="13" spans="1:11" x14ac:dyDescent="0.35">
      <c r="A13" s="348">
        <v>0.93999999761581421</v>
      </c>
      <c r="B13" s="345">
        <v>70655.001363754345</v>
      </c>
      <c r="C13" s="50">
        <v>4888.0001041412415</v>
      </c>
      <c r="K13">
        <f>INDEX(OutputValues,9,$J$4)</f>
        <v>70655.001363754345</v>
      </c>
    </row>
    <row r="14" spans="1:11" x14ac:dyDescent="0.35">
      <c r="A14" s="348">
        <v>0.94499999284744263</v>
      </c>
      <c r="B14" s="345">
        <v>71565.004091262861</v>
      </c>
      <c r="C14" s="50">
        <v>4914.000314283373</v>
      </c>
      <c r="K14">
        <f>INDEX(OutputValues,10,$J$4)</f>
        <v>71565.004091262861</v>
      </c>
    </row>
    <row r="15" spans="1:11" x14ac:dyDescent="0.35">
      <c r="A15" s="348">
        <v>0.94999998807907104</v>
      </c>
      <c r="B15" s="345">
        <v>72475.006818771348</v>
      </c>
      <c r="C15" s="50">
        <v>4940.0005269050516</v>
      </c>
      <c r="K15">
        <f>INDEX(OutputValues,11,$J$4)</f>
        <v>72475.006818771348</v>
      </c>
    </row>
    <row r="16" spans="1:11" x14ac:dyDescent="0.35">
      <c r="A16" s="348">
        <v>0.95499998331069946</v>
      </c>
      <c r="B16" s="346" t="s">
        <v>61</v>
      </c>
      <c r="C16" s="67"/>
      <c r="K16" t="str">
        <f>INDEX(OutputValues,12,$J$4)</f>
        <v>Not feasible</v>
      </c>
    </row>
    <row r="17" spans="1:11" x14ac:dyDescent="0.35">
      <c r="A17" s="348">
        <v>0.95999997854232788</v>
      </c>
      <c r="B17" s="346" t="s">
        <v>61</v>
      </c>
      <c r="C17" s="67"/>
      <c r="K17" t="str">
        <f>INDEX(OutputValues,13,$J$4)</f>
        <v>Not feasible</v>
      </c>
    </row>
    <row r="18" spans="1:11" x14ac:dyDescent="0.35">
      <c r="A18" s="348">
        <v>0.9649999737739563</v>
      </c>
      <c r="B18" s="346" t="s">
        <v>61</v>
      </c>
      <c r="C18" s="67"/>
      <c r="K18" t="str">
        <f>INDEX(OutputValues,14,$J$4)</f>
        <v>Not feasible</v>
      </c>
    </row>
    <row r="19" spans="1:11" x14ac:dyDescent="0.35">
      <c r="A19" s="348">
        <v>0.96999996900558472</v>
      </c>
      <c r="B19" s="346" t="s">
        <v>61</v>
      </c>
      <c r="C19" s="67"/>
      <c r="K19" t="str">
        <f>INDEX(OutputValues,15,$J$4)</f>
        <v>Not feasible</v>
      </c>
    </row>
    <row r="20" spans="1:11" x14ac:dyDescent="0.35">
      <c r="A20" s="348">
        <v>0.97499996423721313</v>
      </c>
      <c r="B20" s="346" t="s">
        <v>61</v>
      </c>
      <c r="C20" s="67"/>
      <c r="K20" t="str">
        <f>INDEX(OutputValues,16,$J$4)</f>
        <v>Not feasible</v>
      </c>
    </row>
    <row r="21" spans="1:11" x14ac:dyDescent="0.35">
      <c r="A21" s="348">
        <v>0.97999995946884155</v>
      </c>
      <c r="B21" s="346" t="s">
        <v>61</v>
      </c>
      <c r="C21" s="67"/>
      <c r="K21" t="str">
        <f>INDEX(OutputValues,17,$J$4)</f>
        <v>Not feasible</v>
      </c>
    </row>
    <row r="22" spans="1:11" x14ac:dyDescent="0.35">
      <c r="A22" s="348">
        <v>0.98499995470046997</v>
      </c>
      <c r="B22" s="346" t="s">
        <v>61</v>
      </c>
      <c r="C22" s="67"/>
      <c r="K22" t="str">
        <f>INDEX(OutputValues,18,$J$4)</f>
        <v>Not feasible</v>
      </c>
    </row>
    <row r="23" spans="1:11" x14ac:dyDescent="0.35">
      <c r="A23" s="348">
        <v>0.98999994993209839</v>
      </c>
      <c r="B23" s="346" t="s">
        <v>61</v>
      </c>
      <c r="C23" s="67"/>
      <c r="K23" t="str">
        <f>INDEX(OutputValues,19,$J$4)</f>
        <v>Not feasible</v>
      </c>
    </row>
    <row r="24" spans="1:11" x14ac:dyDescent="0.35">
      <c r="A24" s="348">
        <v>0.99499994516372681</v>
      </c>
      <c r="B24" s="346" t="s">
        <v>61</v>
      </c>
      <c r="C24" s="67"/>
      <c r="K24" t="str">
        <f>INDEX(OutputValues,20,$J$4)</f>
        <v>Not feasible</v>
      </c>
    </row>
    <row r="25" spans="1:11" ht="15" thickBot="1" x14ac:dyDescent="0.4">
      <c r="A25" s="349">
        <v>1</v>
      </c>
      <c r="B25" s="347" t="s">
        <v>61</v>
      </c>
      <c r="C25" s="68"/>
      <c r="K25" t="str">
        <f>INDEX(OutputValues,21,$J$4)</f>
        <v>Not feasible</v>
      </c>
    </row>
  </sheetData>
  <mergeCells count="1">
    <mergeCell ref="A2:B2"/>
  </mergeCells>
  <dataValidations count="1">
    <dataValidation type="list" allowBlank="1" showInputMessage="1" showErrorMessage="1" sqref="K4" xr:uid="{692F2F25-70F0-4301-8912-8EF8C2854E34}">
      <formula1>OutputAddresses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A610-D46E-49EB-8C96-F933741811B3}">
  <dimension ref="A1:K37"/>
  <sheetViews>
    <sheetView topLeftCell="E4" zoomScale="80" zoomScaleNormal="80" workbookViewId="0">
      <selection activeCell="N29" sqref="N29"/>
    </sheetView>
  </sheetViews>
  <sheetFormatPr defaultRowHeight="14.5" x14ac:dyDescent="0.35"/>
  <cols>
    <col min="1" max="1" width="12.6328125" customWidth="1"/>
    <col min="2" max="2" width="13.90625" customWidth="1"/>
    <col min="3" max="7" width="14.453125" customWidth="1"/>
    <col min="8" max="11" width="12.6328125" customWidth="1"/>
  </cols>
  <sheetData>
    <row r="1" spans="1:11" ht="15" thickBot="1" x14ac:dyDescent="0.4">
      <c r="A1" s="356" t="s">
        <v>79</v>
      </c>
      <c r="B1" s="357"/>
      <c r="C1" s="357"/>
      <c r="D1" s="357"/>
      <c r="E1" s="357"/>
      <c r="F1" s="357"/>
      <c r="G1" s="358"/>
      <c r="K1" s="3" t="str">
        <f>CONCATENATE("Sensitivity of ",$K$4," to ","Maximum Qty Sensitivity")</f>
        <v>Sensitivity of $C$17 to Maximum Qty Sensitivity</v>
      </c>
    </row>
    <row r="2" spans="1:11" ht="15" thickBot="1" x14ac:dyDescent="0.4">
      <c r="A2" s="365" t="s">
        <v>86</v>
      </c>
      <c r="B2" s="366"/>
      <c r="C2" s="366"/>
      <c r="D2" s="366"/>
      <c r="E2" s="366"/>
      <c r="F2" s="366"/>
      <c r="G2" s="367"/>
      <c r="K2" t="s">
        <v>59</v>
      </c>
    </row>
    <row r="3" spans="1:11" ht="15" thickBot="1" x14ac:dyDescent="0.4">
      <c r="A3" s="371" t="s">
        <v>87</v>
      </c>
      <c r="B3" s="372" t="s">
        <v>88</v>
      </c>
      <c r="C3" s="372" t="s">
        <v>89</v>
      </c>
      <c r="D3" s="372" t="s">
        <v>90</v>
      </c>
      <c r="E3" s="372" t="s">
        <v>91</v>
      </c>
      <c r="F3" s="372" t="s">
        <v>92</v>
      </c>
      <c r="G3" s="373" t="s">
        <v>77</v>
      </c>
    </row>
    <row r="4" spans="1:11" ht="33" thickBot="1" x14ac:dyDescent="0.4">
      <c r="A4" s="364"/>
      <c r="B4" s="369" t="s">
        <v>81</v>
      </c>
      <c r="C4" s="369" t="s">
        <v>68</v>
      </c>
      <c r="D4" s="369" t="s">
        <v>69</v>
      </c>
      <c r="E4" s="369" t="s">
        <v>70</v>
      </c>
      <c r="F4" s="369" t="s">
        <v>71</v>
      </c>
      <c r="G4" s="370" t="s">
        <v>78</v>
      </c>
      <c r="J4" s="3">
        <f>MATCH($K$4,OutputAddresses,0)</f>
        <v>1</v>
      </c>
      <c r="K4" s="8" t="s">
        <v>81</v>
      </c>
    </row>
    <row r="5" spans="1:11" x14ac:dyDescent="0.35">
      <c r="A5" s="12">
        <v>4400</v>
      </c>
      <c r="B5" s="10">
        <v>59785.000000000116</v>
      </c>
      <c r="C5" s="12">
        <v>2200</v>
      </c>
      <c r="D5" s="12">
        <v>1100</v>
      </c>
      <c r="E5" s="12">
        <v>330</v>
      </c>
      <c r="F5" s="12">
        <v>0</v>
      </c>
      <c r="G5" s="368">
        <v>770.00000000001069</v>
      </c>
      <c r="K5">
        <f>INDEX(OutputValues,1,$J$4)</f>
        <v>59785.000000000116</v>
      </c>
    </row>
    <row r="6" spans="1:11" x14ac:dyDescent="0.35">
      <c r="A6" s="12">
        <v>4450</v>
      </c>
      <c r="B6" s="10">
        <v>60464.600000000115</v>
      </c>
      <c r="C6" s="12">
        <v>2225</v>
      </c>
      <c r="D6" s="12">
        <v>1112</v>
      </c>
      <c r="E6" s="12">
        <v>334</v>
      </c>
      <c r="F6" s="12">
        <v>0</v>
      </c>
      <c r="G6" s="368">
        <v>779.00000000001057</v>
      </c>
      <c r="K6">
        <f>INDEX(OutputValues,2,$J$4)</f>
        <v>60464.600000000115</v>
      </c>
    </row>
    <row r="7" spans="1:11" x14ac:dyDescent="0.35">
      <c r="A7" s="12">
        <v>4500</v>
      </c>
      <c r="B7" s="10">
        <v>61144.200000000172</v>
      </c>
      <c r="C7" s="12">
        <v>2250</v>
      </c>
      <c r="D7" s="12">
        <v>1124</v>
      </c>
      <c r="E7" s="12">
        <v>338</v>
      </c>
      <c r="F7" s="12">
        <v>0</v>
      </c>
      <c r="G7" s="368">
        <v>788.00000000001626</v>
      </c>
      <c r="K7">
        <f>INDEX(OutputValues,3,$J$4)</f>
        <v>61144.200000000172</v>
      </c>
    </row>
    <row r="8" spans="1:11" x14ac:dyDescent="0.35">
      <c r="A8" s="12">
        <v>4550</v>
      </c>
      <c r="B8" s="10">
        <v>61823.800000000185</v>
      </c>
      <c r="C8" s="12">
        <v>2275</v>
      </c>
      <c r="D8" s="12">
        <v>1136</v>
      </c>
      <c r="E8" s="12">
        <v>342</v>
      </c>
      <c r="F8" s="12">
        <v>0</v>
      </c>
      <c r="G8" s="368">
        <v>797.0000000000166</v>
      </c>
      <c r="K8">
        <f>INDEX(OutputValues,4,$J$4)</f>
        <v>61823.800000000185</v>
      </c>
    </row>
    <row r="9" spans="1:11" x14ac:dyDescent="0.35">
      <c r="A9" s="12">
        <v>4600</v>
      </c>
      <c r="B9" s="10">
        <v>5002.5</v>
      </c>
      <c r="C9" s="12">
        <v>0</v>
      </c>
      <c r="D9" s="12">
        <v>0</v>
      </c>
      <c r="E9" s="12">
        <v>345</v>
      </c>
      <c r="F9" s="12">
        <v>0</v>
      </c>
      <c r="G9" s="368">
        <v>0</v>
      </c>
      <c r="K9">
        <f>INDEX(OutputValues,5,$J$4)</f>
        <v>5002.5</v>
      </c>
    </row>
    <row r="10" spans="1:11" x14ac:dyDescent="0.35">
      <c r="A10" s="12">
        <v>4650</v>
      </c>
      <c r="B10" s="10">
        <v>63182.100000000122</v>
      </c>
      <c r="C10" s="12">
        <v>2325</v>
      </c>
      <c r="D10" s="12">
        <v>1162</v>
      </c>
      <c r="E10" s="12">
        <v>349</v>
      </c>
      <c r="F10" s="12">
        <v>0</v>
      </c>
      <c r="G10" s="368">
        <v>814.00000000001137</v>
      </c>
      <c r="K10">
        <f>INDEX(OutputValues,6,$J$4)</f>
        <v>63182.100000000122</v>
      </c>
    </row>
    <row r="11" spans="1:11" x14ac:dyDescent="0.35">
      <c r="A11" s="12">
        <v>4700</v>
      </c>
      <c r="B11" s="10">
        <v>63861.699999942932</v>
      </c>
      <c r="C11" s="12">
        <v>2350</v>
      </c>
      <c r="D11" s="12">
        <v>1174</v>
      </c>
      <c r="E11" s="12">
        <v>353</v>
      </c>
      <c r="F11" s="12">
        <v>0</v>
      </c>
      <c r="G11" s="368">
        <v>822.99999999481247</v>
      </c>
      <c r="K11">
        <f>INDEX(OutputValues,7,$J$4)</f>
        <v>63861.699999942932</v>
      </c>
    </row>
    <row r="12" spans="1:11" x14ac:dyDescent="0.35">
      <c r="A12" s="12">
        <v>4750</v>
      </c>
      <c r="B12" s="10">
        <v>64541.300000000178</v>
      </c>
      <c r="C12" s="12">
        <v>2375</v>
      </c>
      <c r="D12" s="12">
        <v>1186</v>
      </c>
      <c r="E12" s="12">
        <v>357</v>
      </c>
      <c r="F12" s="12">
        <v>0</v>
      </c>
      <c r="G12" s="368">
        <v>832.00000000001626</v>
      </c>
      <c r="K12">
        <f>INDEX(OutputValues,8,$J$4)</f>
        <v>64541.300000000178</v>
      </c>
    </row>
    <row r="13" spans="1:11" x14ac:dyDescent="0.35">
      <c r="A13" s="12">
        <v>4800</v>
      </c>
      <c r="B13" s="10">
        <v>65220.000000000131</v>
      </c>
      <c r="C13" s="12">
        <v>2400</v>
      </c>
      <c r="D13" s="12">
        <v>1200</v>
      </c>
      <c r="E13" s="12">
        <v>360</v>
      </c>
      <c r="F13" s="12">
        <v>0</v>
      </c>
      <c r="G13" s="368">
        <v>840.0000000000116</v>
      </c>
      <c r="K13">
        <f>INDEX(OutputValues,9,$J$4)</f>
        <v>65220.000000000131</v>
      </c>
    </row>
    <row r="14" spans="1:11" x14ac:dyDescent="0.35">
      <c r="A14" s="12">
        <v>4850</v>
      </c>
      <c r="B14" s="10">
        <v>65899.600000000122</v>
      </c>
      <c r="C14" s="12">
        <v>2425</v>
      </c>
      <c r="D14" s="12">
        <v>1212</v>
      </c>
      <c r="E14" s="12">
        <v>364</v>
      </c>
      <c r="F14" s="12">
        <v>0</v>
      </c>
      <c r="G14" s="368">
        <v>849.0000000000116</v>
      </c>
      <c r="K14">
        <f>INDEX(OutputValues,10,$J$4)</f>
        <v>65899.600000000122</v>
      </c>
    </row>
    <row r="15" spans="1:11" x14ac:dyDescent="0.35">
      <c r="A15" s="12">
        <v>4900</v>
      </c>
      <c r="B15" s="10">
        <v>66579.200000000186</v>
      </c>
      <c r="C15" s="12">
        <v>2450</v>
      </c>
      <c r="D15" s="12">
        <v>1224</v>
      </c>
      <c r="E15" s="12">
        <v>368</v>
      </c>
      <c r="F15" s="12">
        <v>0</v>
      </c>
      <c r="G15" s="368">
        <v>858.00000000001717</v>
      </c>
      <c r="K15">
        <f>INDEX(OutputValues,11,$J$4)</f>
        <v>66579.200000000186</v>
      </c>
    </row>
    <row r="16" spans="1:11" x14ac:dyDescent="0.35">
      <c r="A16" s="12">
        <v>4950</v>
      </c>
      <c r="B16" s="10">
        <v>67258.800000067524</v>
      </c>
      <c r="C16" s="12">
        <v>2475</v>
      </c>
      <c r="D16" s="12">
        <v>1236</v>
      </c>
      <c r="E16" s="12">
        <v>372</v>
      </c>
      <c r="F16" s="12">
        <v>0</v>
      </c>
      <c r="G16" s="368">
        <v>867.00000000613875</v>
      </c>
      <c r="K16">
        <f>INDEX(OutputValues,12,$J$4)</f>
        <v>67258.800000067524</v>
      </c>
    </row>
    <row r="17" spans="1:11" x14ac:dyDescent="0.35">
      <c r="A17" s="12">
        <v>5000</v>
      </c>
      <c r="B17" s="10">
        <v>67937.500000000131</v>
      </c>
      <c r="C17" s="12">
        <v>2500</v>
      </c>
      <c r="D17" s="12">
        <v>1250</v>
      </c>
      <c r="E17" s="12">
        <v>375</v>
      </c>
      <c r="F17" s="12">
        <v>0</v>
      </c>
      <c r="G17" s="368">
        <v>875.00000000001205</v>
      </c>
      <c r="K17">
        <f>INDEX(OutputValues,13,$J$4)</f>
        <v>67937.500000000131</v>
      </c>
    </row>
    <row r="18" spans="1:11" x14ac:dyDescent="0.35">
      <c r="A18" s="12">
        <v>5050</v>
      </c>
      <c r="B18" s="10">
        <v>68617.100000000137</v>
      </c>
      <c r="C18" s="12">
        <v>2525</v>
      </c>
      <c r="D18" s="12">
        <v>1262</v>
      </c>
      <c r="E18" s="12">
        <v>379</v>
      </c>
      <c r="F18" s="12">
        <v>0</v>
      </c>
      <c r="G18" s="368">
        <v>884.00000000001205</v>
      </c>
      <c r="K18">
        <f>INDEX(OutputValues,14,$J$4)</f>
        <v>68617.100000000137</v>
      </c>
    </row>
    <row r="19" spans="1:11" x14ac:dyDescent="0.35">
      <c r="A19" s="12">
        <v>5100</v>
      </c>
      <c r="B19" s="10">
        <v>69296.699999963501</v>
      </c>
      <c r="C19" s="12">
        <v>2550</v>
      </c>
      <c r="D19" s="12">
        <v>1274</v>
      </c>
      <c r="E19" s="12">
        <v>383</v>
      </c>
      <c r="F19" s="12">
        <v>0</v>
      </c>
      <c r="G19" s="368">
        <v>892.99999999668194</v>
      </c>
      <c r="K19">
        <f>INDEX(OutputValues,15,$J$4)</f>
        <v>69296.699999963501</v>
      </c>
    </row>
    <row r="20" spans="1:11" x14ac:dyDescent="0.35">
      <c r="A20" s="12">
        <v>5150</v>
      </c>
      <c r="B20" s="10">
        <v>69976.300000000221</v>
      </c>
      <c r="C20" s="12">
        <v>2575</v>
      </c>
      <c r="D20" s="12">
        <v>1286</v>
      </c>
      <c r="E20" s="12">
        <v>387</v>
      </c>
      <c r="F20" s="12">
        <v>0</v>
      </c>
      <c r="G20" s="368">
        <v>902.00000000001921</v>
      </c>
      <c r="K20">
        <f>INDEX(OutputValues,16,$J$4)</f>
        <v>69976.300000000221</v>
      </c>
    </row>
    <row r="21" spans="1:11" x14ac:dyDescent="0.35">
      <c r="A21" s="12">
        <v>5200</v>
      </c>
      <c r="B21" s="10">
        <v>70655.000000000146</v>
      </c>
      <c r="C21" s="12">
        <v>2600</v>
      </c>
      <c r="D21" s="12">
        <v>1300</v>
      </c>
      <c r="E21" s="12">
        <v>390</v>
      </c>
      <c r="F21" s="12">
        <v>0</v>
      </c>
      <c r="G21" s="368">
        <v>910.00000000001251</v>
      </c>
      <c r="K21">
        <f>INDEX(OutputValues,17,$J$4)</f>
        <v>70655.000000000146</v>
      </c>
    </row>
    <row r="22" spans="1:11" x14ac:dyDescent="0.35">
      <c r="A22" s="12">
        <v>5250</v>
      </c>
      <c r="B22" s="10">
        <v>71334.600001893326</v>
      </c>
      <c r="C22" s="12">
        <v>2625</v>
      </c>
      <c r="D22" s="12">
        <v>1312</v>
      </c>
      <c r="E22" s="12">
        <v>394</v>
      </c>
      <c r="F22" s="12">
        <v>0</v>
      </c>
      <c r="G22" s="368">
        <v>919.00000017212039</v>
      </c>
      <c r="K22">
        <f>INDEX(OutputValues,18,$J$4)</f>
        <v>71334.600001893326</v>
      </c>
    </row>
    <row r="23" spans="1:11" x14ac:dyDescent="0.35">
      <c r="A23" s="12">
        <v>5300</v>
      </c>
      <c r="B23" s="10">
        <v>72014.200000000215</v>
      </c>
      <c r="C23" s="12">
        <v>2650</v>
      </c>
      <c r="D23" s="12">
        <v>1324</v>
      </c>
      <c r="E23" s="12">
        <v>398</v>
      </c>
      <c r="F23" s="12">
        <v>0</v>
      </c>
      <c r="G23" s="368">
        <v>928.0000000000199</v>
      </c>
      <c r="K23">
        <f>INDEX(OutputValues,19,$J$4)</f>
        <v>72014.200000000215</v>
      </c>
    </row>
    <row r="24" spans="1:11" x14ac:dyDescent="0.35">
      <c r="A24" s="12">
        <v>5350</v>
      </c>
      <c r="B24" s="10">
        <v>72693.800000000221</v>
      </c>
      <c r="C24" s="12">
        <v>2675</v>
      </c>
      <c r="D24" s="12">
        <v>1336</v>
      </c>
      <c r="E24" s="12">
        <v>402</v>
      </c>
      <c r="F24" s="12">
        <v>0</v>
      </c>
      <c r="G24" s="368">
        <v>937.00000000002024</v>
      </c>
      <c r="K24">
        <f>INDEX(OutputValues,20,$J$4)</f>
        <v>72693.800000000221</v>
      </c>
    </row>
    <row r="25" spans="1:11" x14ac:dyDescent="0.35">
      <c r="A25" s="12">
        <v>5400</v>
      </c>
      <c r="B25" s="10">
        <v>73372.4999960641</v>
      </c>
      <c r="C25" s="12">
        <v>2700</v>
      </c>
      <c r="D25" s="12">
        <v>1350</v>
      </c>
      <c r="E25" s="12">
        <v>405</v>
      </c>
      <c r="F25" s="12">
        <v>0</v>
      </c>
      <c r="G25" s="368">
        <v>944.99999964219114</v>
      </c>
      <c r="K25">
        <f>INDEX(OutputValues,21,$J$4)</f>
        <v>73372.4999960641</v>
      </c>
    </row>
    <row r="26" spans="1:11" x14ac:dyDescent="0.35">
      <c r="A26" s="12">
        <v>5450</v>
      </c>
      <c r="B26" s="10">
        <v>74052.100000000151</v>
      </c>
      <c r="C26" s="12">
        <v>2725</v>
      </c>
      <c r="D26" s="12">
        <v>1362</v>
      </c>
      <c r="E26" s="12">
        <v>409</v>
      </c>
      <c r="F26" s="12">
        <v>0</v>
      </c>
      <c r="G26" s="368">
        <v>954.00000000001296</v>
      </c>
      <c r="K26">
        <f>INDEX(OutputValues,22,$J$4)</f>
        <v>74052.100000000151</v>
      </c>
    </row>
    <row r="27" spans="1:11" x14ac:dyDescent="0.35">
      <c r="A27" s="12">
        <v>5500</v>
      </c>
      <c r="B27" s="10">
        <v>74731.700000000215</v>
      </c>
      <c r="C27" s="12">
        <v>2750</v>
      </c>
      <c r="D27" s="12">
        <v>1374</v>
      </c>
      <c r="E27" s="12">
        <v>413</v>
      </c>
      <c r="F27" s="12">
        <v>0</v>
      </c>
      <c r="G27" s="368">
        <v>963.00000000002024</v>
      </c>
      <c r="K27">
        <f>INDEX(OutputValues,23,$J$4)</f>
        <v>74731.700000000215</v>
      </c>
    </row>
    <row r="28" spans="1:11" x14ac:dyDescent="0.35">
      <c r="A28" s="12">
        <v>5550</v>
      </c>
      <c r="B28" s="10">
        <v>75412.600000113889</v>
      </c>
      <c r="C28" s="12">
        <v>2775</v>
      </c>
      <c r="D28" s="12">
        <v>1387</v>
      </c>
      <c r="E28" s="12">
        <v>417</v>
      </c>
      <c r="F28" s="12">
        <v>0</v>
      </c>
      <c r="G28" s="368">
        <v>971.00000001035301</v>
      </c>
      <c r="K28">
        <f>INDEX(OutputValues,24,$J$4)</f>
        <v>75412.600000113889</v>
      </c>
    </row>
    <row r="29" spans="1:11" x14ac:dyDescent="0.35">
      <c r="A29" s="12">
        <v>5600</v>
      </c>
      <c r="B29" s="10">
        <v>76090.000000124521</v>
      </c>
      <c r="C29" s="12">
        <v>2800</v>
      </c>
      <c r="D29" s="12">
        <v>1400</v>
      </c>
      <c r="E29" s="12">
        <v>420</v>
      </c>
      <c r="F29" s="12">
        <v>0</v>
      </c>
      <c r="G29" s="368">
        <v>980.00000001132059</v>
      </c>
      <c r="K29">
        <f>INDEX(OutputValues,25,$J$4)</f>
        <v>76090.000000124521</v>
      </c>
    </row>
    <row r="30" spans="1:11" x14ac:dyDescent="0.35">
      <c r="A30" s="12">
        <v>5650</v>
      </c>
      <c r="B30" s="10">
        <v>76769.600274999815</v>
      </c>
      <c r="C30" s="12">
        <v>2825</v>
      </c>
      <c r="D30" s="12">
        <v>1412</v>
      </c>
      <c r="E30" s="12">
        <v>424</v>
      </c>
      <c r="F30" s="12">
        <v>0</v>
      </c>
      <c r="G30" s="368">
        <v>989.00002499998243</v>
      </c>
      <c r="K30">
        <f>INDEX(OutputValues,26,$J$4)</f>
        <v>76769.600274999815</v>
      </c>
    </row>
    <row r="31" spans="1:11" x14ac:dyDescent="0.35">
      <c r="A31" s="12">
        <v>5700</v>
      </c>
      <c r="B31" s="10">
        <v>77449.199999944671</v>
      </c>
      <c r="C31" s="12">
        <v>2850</v>
      </c>
      <c r="D31" s="12">
        <v>1424</v>
      </c>
      <c r="E31" s="12">
        <v>428</v>
      </c>
      <c r="F31" s="12">
        <v>0</v>
      </c>
      <c r="G31" s="368">
        <v>997.99999999497015</v>
      </c>
      <c r="K31">
        <f>INDEX(OutputValues,27,$J$4)</f>
        <v>77449.199999944671</v>
      </c>
    </row>
    <row r="32" spans="1:11" x14ac:dyDescent="0.35">
      <c r="A32" s="12">
        <v>5750</v>
      </c>
      <c r="B32" s="10">
        <v>78130.100000113933</v>
      </c>
      <c r="C32" s="12">
        <v>2875</v>
      </c>
      <c r="D32" s="12">
        <v>1437</v>
      </c>
      <c r="E32" s="12">
        <v>432</v>
      </c>
      <c r="F32" s="12">
        <v>0</v>
      </c>
      <c r="G32" s="368">
        <v>1006.0000000103566</v>
      </c>
      <c r="K32">
        <f>INDEX(OutputValues,28,$J$4)</f>
        <v>78130.100000113933</v>
      </c>
    </row>
    <row r="33" spans="1:11" x14ac:dyDescent="0.35">
      <c r="A33" s="12">
        <v>5800</v>
      </c>
      <c r="B33" s="10">
        <v>78807.50000000016</v>
      </c>
      <c r="C33" s="12">
        <v>2900</v>
      </c>
      <c r="D33" s="12">
        <v>1450</v>
      </c>
      <c r="E33" s="12">
        <v>435</v>
      </c>
      <c r="F33" s="12">
        <v>0</v>
      </c>
      <c r="G33" s="368">
        <v>1015.0000000000141</v>
      </c>
      <c r="K33">
        <f>INDEX(OutputValues,29,$J$4)</f>
        <v>78807.50000000016</v>
      </c>
    </row>
    <row r="34" spans="1:11" x14ac:dyDescent="0.35">
      <c r="A34" s="12">
        <v>5850</v>
      </c>
      <c r="B34" s="10">
        <v>79487.100000000166</v>
      </c>
      <c r="C34" s="12">
        <v>2925</v>
      </c>
      <c r="D34" s="12">
        <v>1462</v>
      </c>
      <c r="E34" s="12">
        <v>439</v>
      </c>
      <c r="F34" s="12">
        <v>0</v>
      </c>
      <c r="G34" s="368">
        <v>1024.0000000000141</v>
      </c>
      <c r="K34">
        <f>INDEX(OutputValues,30,$J$4)</f>
        <v>79487.100000000166</v>
      </c>
    </row>
    <row r="35" spans="1:11" x14ac:dyDescent="0.35">
      <c r="A35" s="12">
        <v>5900</v>
      </c>
      <c r="B35" s="10">
        <v>6423.5</v>
      </c>
      <c r="C35" s="12">
        <v>0</v>
      </c>
      <c r="D35" s="12">
        <v>0</v>
      </c>
      <c r="E35" s="12">
        <v>443</v>
      </c>
      <c r="F35" s="12">
        <v>0</v>
      </c>
      <c r="G35" s="368">
        <v>0</v>
      </c>
      <c r="K35">
        <f>INDEX(OutputValues,31,$J$4)</f>
        <v>6423.5</v>
      </c>
    </row>
    <row r="36" spans="1:11" x14ac:dyDescent="0.35">
      <c r="A36" s="12">
        <v>5950</v>
      </c>
      <c r="B36" s="10">
        <v>80846.300000000236</v>
      </c>
      <c r="C36" s="12">
        <v>2975</v>
      </c>
      <c r="D36" s="12">
        <v>1486</v>
      </c>
      <c r="E36" s="12">
        <v>447</v>
      </c>
      <c r="F36" s="12">
        <v>0</v>
      </c>
      <c r="G36" s="368">
        <v>1042.0000000000207</v>
      </c>
      <c r="K36">
        <f>INDEX(OutputValues,32,$J$4)</f>
        <v>80846.300000000236</v>
      </c>
    </row>
    <row r="37" spans="1:11" x14ac:dyDescent="0.35">
      <c r="A37" s="12">
        <v>6000</v>
      </c>
      <c r="B37" s="10">
        <v>81525.00000000016</v>
      </c>
      <c r="C37" s="12">
        <v>3000</v>
      </c>
      <c r="D37" s="12">
        <v>1500</v>
      </c>
      <c r="E37" s="12">
        <v>450</v>
      </c>
      <c r="F37" s="12">
        <v>0</v>
      </c>
      <c r="G37" s="368">
        <v>1050.0000000000143</v>
      </c>
      <c r="K37">
        <f>INDEX(OutputValues,33,$J$4)</f>
        <v>81525.00000000016</v>
      </c>
    </row>
  </sheetData>
  <mergeCells count="2">
    <mergeCell ref="A1:G1"/>
    <mergeCell ref="A2:G2"/>
  </mergeCells>
  <conditionalFormatting sqref="A4:G3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{A8A89A70-04B9-4797-A820-3143B4352052}</x14:id>
        </ext>
      </extLst>
    </cfRule>
  </conditionalFormatting>
  <dataValidations count="1">
    <dataValidation type="list" allowBlank="1" showInputMessage="1" showErrorMessage="1" sqref="K4" xr:uid="{E6D9A42A-060F-40C7-BDBB-08A37644137F}">
      <formula1>OutputAddresses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A89A70-04B9-4797-A820-3143B43520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A4:G37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5432-7476-4588-B052-82DC0ED802E3}">
  <dimension ref="B4:C9"/>
  <sheetViews>
    <sheetView zoomScale="59" zoomScaleNormal="80" workbookViewId="0">
      <selection activeCell="C36" sqref="C36"/>
    </sheetView>
  </sheetViews>
  <sheetFormatPr defaultRowHeight="14.5" x14ac:dyDescent="0.35"/>
  <cols>
    <col min="2" max="2" width="59.54296875" customWidth="1"/>
    <col min="3" max="3" width="30.453125" customWidth="1"/>
  </cols>
  <sheetData>
    <row r="4" spans="2:3" ht="15" thickBot="1" x14ac:dyDescent="0.4"/>
    <row r="5" spans="2:3" ht="17.5" thickBot="1" x14ac:dyDescent="0.4">
      <c r="B5" s="302" t="s">
        <v>108</v>
      </c>
      <c r="C5" s="303" t="s">
        <v>109</v>
      </c>
    </row>
    <row r="6" spans="2:3" ht="17" x14ac:dyDescent="0.35">
      <c r="B6" s="304" t="s">
        <v>110</v>
      </c>
      <c r="C6" s="305">
        <v>70714.399999999994</v>
      </c>
    </row>
    <row r="7" spans="2:3" ht="17" customHeight="1" x14ac:dyDescent="0.35">
      <c r="B7" s="306" t="s">
        <v>111</v>
      </c>
      <c r="C7" s="305">
        <v>70980</v>
      </c>
    </row>
    <row r="8" spans="2:3" ht="34" x14ac:dyDescent="0.35">
      <c r="B8" s="306" t="s">
        <v>112</v>
      </c>
      <c r="C8" s="305">
        <v>72465</v>
      </c>
    </row>
    <row r="9" spans="2:3" ht="34.5" thickBot="1" x14ac:dyDescent="0.4">
      <c r="B9" s="307" t="s">
        <v>113</v>
      </c>
      <c r="C9" s="308">
        <v>70655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7A08-97E5-4D18-9C59-BFA724C87E19}">
  <dimension ref="A1:G28"/>
  <sheetViews>
    <sheetView zoomScale="80" zoomScaleNormal="80" workbookViewId="0">
      <selection activeCell="I12" sqref="I12"/>
    </sheetView>
  </sheetViews>
  <sheetFormatPr defaultRowHeight="14.5" x14ac:dyDescent="0.35"/>
  <cols>
    <col min="1" max="1" width="36.90625" customWidth="1"/>
    <col min="3" max="3" width="18.08984375" customWidth="1"/>
    <col min="4" max="4" width="30.08984375" customWidth="1"/>
    <col min="5" max="5" width="21.08984375" customWidth="1"/>
    <col min="6" max="6" width="18.81640625" customWidth="1"/>
    <col min="7" max="7" width="18.6328125" customWidth="1"/>
  </cols>
  <sheetData>
    <row r="1" spans="1:7" ht="24.5" customHeight="1" thickBot="1" x14ac:dyDescent="0.4">
      <c r="A1" s="40" t="s">
        <v>0</v>
      </c>
      <c r="B1" s="41"/>
      <c r="C1" s="41"/>
      <c r="D1" s="41"/>
      <c r="E1" s="41"/>
      <c r="F1" s="41"/>
      <c r="G1" s="42"/>
    </row>
    <row r="2" spans="1:7" ht="15" thickBot="1" x14ac:dyDescent="0.4"/>
    <row r="3" spans="1:7" ht="19" thickBot="1" x14ac:dyDescent="0.4">
      <c r="A3" s="179" t="s">
        <v>1</v>
      </c>
      <c r="B3" s="180"/>
      <c r="C3" s="180"/>
      <c r="D3" s="180"/>
      <c r="E3" s="180"/>
      <c r="F3" s="181"/>
    </row>
    <row r="4" spans="1:7" ht="29.5" thickBot="1" x14ac:dyDescent="0.4">
      <c r="A4" s="59"/>
      <c r="B4" s="60"/>
      <c r="C4" s="59"/>
      <c r="D4" s="185" t="s">
        <v>33</v>
      </c>
      <c r="E4" s="187" t="s">
        <v>34</v>
      </c>
      <c r="F4" s="186" t="s">
        <v>35</v>
      </c>
    </row>
    <row r="5" spans="1:7" x14ac:dyDescent="0.35">
      <c r="A5" s="54" t="s">
        <v>2</v>
      </c>
      <c r="B5" s="55" t="s">
        <v>3</v>
      </c>
      <c r="C5" s="184">
        <v>2312</v>
      </c>
      <c r="D5" s="56">
        <v>0.99</v>
      </c>
      <c r="E5" s="57">
        <v>0.95</v>
      </c>
      <c r="F5" s="58">
        <v>15</v>
      </c>
    </row>
    <row r="6" spans="1:7" x14ac:dyDescent="0.35">
      <c r="A6" s="44" t="s">
        <v>10</v>
      </c>
      <c r="B6" s="46" t="s">
        <v>7</v>
      </c>
      <c r="C6" s="182">
        <v>2568</v>
      </c>
      <c r="D6" s="48">
        <v>0.9</v>
      </c>
      <c r="E6" s="52">
        <v>0.85</v>
      </c>
      <c r="F6" s="50">
        <v>12.3</v>
      </c>
    </row>
    <row r="7" spans="1:7" x14ac:dyDescent="0.35">
      <c r="A7" s="44" t="s">
        <v>11</v>
      </c>
      <c r="B7" s="46" t="s">
        <v>8</v>
      </c>
      <c r="C7" s="182">
        <v>0</v>
      </c>
      <c r="D7" s="48">
        <v>0.95</v>
      </c>
      <c r="E7" s="52">
        <v>0.9</v>
      </c>
      <c r="F7" s="50">
        <v>14.5</v>
      </c>
    </row>
    <row r="8" spans="1:7" ht="15" thickBot="1" x14ac:dyDescent="0.4">
      <c r="A8" s="45" t="s">
        <v>12</v>
      </c>
      <c r="B8" s="47" t="s">
        <v>9</v>
      </c>
      <c r="C8" s="183">
        <v>320</v>
      </c>
      <c r="D8" s="49">
        <v>0.9</v>
      </c>
      <c r="E8" s="53">
        <v>0.94</v>
      </c>
      <c r="F8" s="51">
        <v>13.9</v>
      </c>
    </row>
    <row r="10" spans="1:7" ht="15" thickBot="1" x14ac:dyDescent="0.4"/>
    <row r="11" spans="1:7" ht="14.5" customHeight="1" x14ac:dyDescent="0.35">
      <c r="A11" s="91" t="s">
        <v>13</v>
      </c>
      <c r="B11" s="92"/>
      <c r="C11" s="92"/>
      <c r="D11" s="93"/>
    </row>
    <row r="12" spans="1:7" ht="15" customHeight="1" thickBot="1" x14ac:dyDescent="0.4">
      <c r="A12" s="94"/>
      <c r="B12" s="95"/>
      <c r="C12" s="95"/>
      <c r="D12" s="96"/>
    </row>
    <row r="13" spans="1:7" x14ac:dyDescent="0.35">
      <c r="A13" s="249" t="s">
        <v>36</v>
      </c>
      <c r="B13" s="250"/>
      <c r="C13" s="258">
        <f>SUMPRODUCT(C5:C8,F5:F8)</f>
        <v>70714.399999999994</v>
      </c>
      <c r="D13" s="259"/>
    </row>
    <row r="14" spans="1:7" ht="15" thickBot="1" x14ac:dyDescent="0.4">
      <c r="A14" s="253"/>
      <c r="B14" s="254"/>
      <c r="C14" s="260"/>
      <c r="D14" s="261"/>
    </row>
    <row r="16" spans="1:7" ht="15" thickBot="1" x14ac:dyDescent="0.4"/>
    <row r="17" spans="1:7" ht="14.5" customHeight="1" x14ac:dyDescent="0.35">
      <c r="A17" s="188" t="s">
        <v>37</v>
      </c>
      <c r="B17" s="189"/>
      <c r="C17" s="189"/>
      <c r="D17" s="189"/>
      <c r="E17" s="189"/>
      <c r="F17" s="189"/>
      <c r="G17" s="190"/>
    </row>
    <row r="18" spans="1:7" ht="15" customHeight="1" thickBot="1" x14ac:dyDescent="0.4">
      <c r="A18" s="191"/>
      <c r="B18" s="192"/>
      <c r="C18" s="192"/>
      <c r="D18" s="192"/>
      <c r="E18" s="192"/>
      <c r="F18" s="192"/>
      <c r="G18" s="193"/>
    </row>
    <row r="19" spans="1:7" ht="15" thickBot="1" x14ac:dyDescent="0.4">
      <c r="A19" s="195"/>
      <c r="B19" s="194"/>
      <c r="C19" s="194"/>
      <c r="D19" s="205"/>
      <c r="E19" s="43" t="s">
        <v>46</v>
      </c>
      <c r="F19" s="200"/>
      <c r="G19" s="43" t="s">
        <v>47</v>
      </c>
    </row>
    <row r="20" spans="1:7" x14ac:dyDescent="0.35">
      <c r="A20" s="196" t="s">
        <v>16</v>
      </c>
      <c r="B20" s="24"/>
      <c r="C20" s="35"/>
      <c r="D20" s="206" t="s">
        <v>18</v>
      </c>
      <c r="E20" s="52">
        <f>SUM(C5:C8)</f>
        <v>5200</v>
      </c>
      <c r="F20" s="201" t="s">
        <v>20</v>
      </c>
      <c r="G20" s="52">
        <v>5200</v>
      </c>
    </row>
    <row r="21" spans="1:7" ht="29" x14ac:dyDescent="0.35">
      <c r="A21" s="36" t="s">
        <v>19</v>
      </c>
      <c r="B21" s="25"/>
      <c r="C21" s="203"/>
      <c r="D21" s="207" t="s">
        <v>51</v>
      </c>
      <c r="E21" s="52">
        <f>SUMPRODUCT(C5:C8,D5:D8)</f>
        <v>4888.08</v>
      </c>
      <c r="F21" s="23" t="s">
        <v>20</v>
      </c>
      <c r="G21" s="52">
        <f>0.94*SUM(C5:C8)</f>
        <v>4888</v>
      </c>
    </row>
    <row r="22" spans="1:7" x14ac:dyDescent="0.35">
      <c r="A22" s="36" t="s">
        <v>27</v>
      </c>
      <c r="B22" s="25"/>
      <c r="C22" s="203"/>
      <c r="D22" s="208" t="s">
        <v>50</v>
      </c>
      <c r="E22" s="52">
        <f>SUMPRODUCT(C5:C8,E5:E8)</f>
        <v>4680</v>
      </c>
      <c r="F22" s="23" t="s">
        <v>20</v>
      </c>
      <c r="G22" s="52">
        <f>0.9*SUM(C5:C8)</f>
        <v>4680</v>
      </c>
    </row>
    <row r="23" spans="1:7" x14ac:dyDescent="0.35">
      <c r="A23" s="36" t="s">
        <v>31</v>
      </c>
      <c r="B23" s="25"/>
      <c r="C23" s="203"/>
      <c r="D23" s="208" t="s">
        <v>52</v>
      </c>
      <c r="E23" s="52">
        <f>SUMPRODUCT(C5:C8,F5:F8)</f>
        <v>70714.399999999994</v>
      </c>
      <c r="F23" s="23" t="s">
        <v>17</v>
      </c>
      <c r="G23" s="52">
        <f>14*SUM(C5:C8)</f>
        <v>72800</v>
      </c>
    </row>
    <row r="24" spans="1:7" x14ac:dyDescent="0.35">
      <c r="A24" s="36" t="s">
        <v>38</v>
      </c>
      <c r="B24" s="25"/>
      <c r="C24" s="203"/>
      <c r="D24" s="208" t="s">
        <v>39</v>
      </c>
      <c r="E24" s="52">
        <f>C5</f>
        <v>2312</v>
      </c>
      <c r="F24" s="23" t="s">
        <v>17</v>
      </c>
      <c r="G24" s="52">
        <f>0.5*SUM(C5:C8)</f>
        <v>2600</v>
      </c>
    </row>
    <row r="25" spans="1:7" x14ac:dyDescent="0.35">
      <c r="A25" s="36" t="s">
        <v>40</v>
      </c>
      <c r="B25" s="25"/>
      <c r="C25" s="203"/>
      <c r="D25" s="208" t="s">
        <v>43</v>
      </c>
      <c r="E25" s="52">
        <f>C6</f>
        <v>2568</v>
      </c>
      <c r="F25" s="23" t="s">
        <v>17</v>
      </c>
      <c r="G25" s="52">
        <f>0.5*SUM(C5:C8)</f>
        <v>2600</v>
      </c>
    </row>
    <row r="26" spans="1:7" x14ac:dyDescent="0.35">
      <c r="A26" s="36" t="s">
        <v>41</v>
      </c>
      <c r="B26" s="25"/>
      <c r="C26" s="203"/>
      <c r="D26" s="208" t="s">
        <v>44</v>
      </c>
      <c r="E26" s="52">
        <f>C7</f>
        <v>0</v>
      </c>
      <c r="F26" s="23" t="s">
        <v>17</v>
      </c>
      <c r="G26" s="52">
        <f>0.5*SUM(C5:C8)</f>
        <v>2600</v>
      </c>
    </row>
    <row r="27" spans="1:7" x14ac:dyDescent="0.35">
      <c r="A27" s="36" t="s">
        <v>42</v>
      </c>
      <c r="B27" s="25"/>
      <c r="C27" s="203"/>
      <c r="D27" s="208" t="s">
        <v>45</v>
      </c>
      <c r="E27" s="52">
        <f>C8</f>
        <v>320</v>
      </c>
      <c r="F27" s="23" t="s">
        <v>17</v>
      </c>
      <c r="G27" s="52">
        <f>0.5*SUM(C5:C8)</f>
        <v>2600</v>
      </c>
    </row>
    <row r="28" spans="1:7" ht="15" thickBot="1" x14ac:dyDescent="0.4">
      <c r="A28" s="197" t="s">
        <v>48</v>
      </c>
      <c r="B28" s="198"/>
      <c r="C28" s="204"/>
      <c r="D28" s="199" t="s">
        <v>49</v>
      </c>
      <c r="E28" s="199"/>
      <c r="F28" s="202"/>
      <c r="G28" s="199"/>
    </row>
  </sheetData>
  <mergeCells count="16">
    <mergeCell ref="A3:F3"/>
    <mergeCell ref="C13:D14"/>
    <mergeCell ref="A13:B14"/>
    <mergeCell ref="A11:D12"/>
    <mergeCell ref="A17:G18"/>
    <mergeCell ref="A1:G1"/>
    <mergeCell ref="A26:C26"/>
    <mergeCell ref="A27:C27"/>
    <mergeCell ref="A28:C28"/>
    <mergeCell ref="A20:C20"/>
    <mergeCell ref="A21:C21"/>
    <mergeCell ref="A22:C22"/>
    <mergeCell ref="A23:C23"/>
    <mergeCell ref="A24:C24"/>
    <mergeCell ref="A25:C25"/>
    <mergeCell ref="A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4CCC-3EDC-4D5D-9E0E-6936EB692A37}">
  <dimension ref="A1:F32"/>
  <sheetViews>
    <sheetView zoomScale="70" zoomScaleNormal="70" workbookViewId="0">
      <selection activeCell="D36" sqref="D36"/>
    </sheetView>
  </sheetViews>
  <sheetFormatPr defaultRowHeight="14.5" x14ac:dyDescent="0.35"/>
  <cols>
    <col min="1" max="1" width="36.90625" customWidth="1"/>
    <col min="3" max="3" width="18.08984375" customWidth="1"/>
    <col min="4" max="4" width="30.08984375" customWidth="1"/>
    <col min="5" max="5" width="21.08984375" customWidth="1"/>
    <col min="6" max="6" width="18.81640625" customWidth="1"/>
    <col min="7" max="7" width="18.6328125" customWidth="1"/>
  </cols>
  <sheetData>
    <row r="1" spans="1:6" ht="20" customHeight="1" thickBot="1" x14ac:dyDescent="0.4">
      <c r="A1" s="229" t="s">
        <v>0</v>
      </c>
      <c r="B1" s="230"/>
      <c r="C1" s="230"/>
      <c r="D1" s="230"/>
      <c r="E1" s="231"/>
      <c r="F1" s="73"/>
    </row>
    <row r="2" spans="1:6" ht="16" thickBot="1" x14ac:dyDescent="0.4">
      <c r="A2" s="73"/>
      <c r="B2" s="73"/>
      <c r="C2" s="73"/>
      <c r="D2" s="73"/>
      <c r="E2" s="73"/>
      <c r="F2" s="73"/>
    </row>
    <row r="3" spans="1:6" ht="16" thickBot="1" x14ac:dyDescent="0.4">
      <c r="A3" s="232" t="s">
        <v>1</v>
      </c>
      <c r="B3" s="233"/>
      <c r="C3" s="233"/>
      <c r="D3" s="233"/>
      <c r="E3" s="233"/>
      <c r="F3" s="234"/>
    </row>
    <row r="4" spans="1:6" ht="31.5" thickBot="1" x14ac:dyDescent="0.4">
      <c r="A4" s="235"/>
      <c r="B4" s="78"/>
      <c r="C4" s="79"/>
      <c r="D4" s="236" t="s">
        <v>33</v>
      </c>
      <c r="E4" s="236" t="s">
        <v>34</v>
      </c>
      <c r="F4" s="257" t="s">
        <v>35</v>
      </c>
    </row>
    <row r="5" spans="1:6" ht="15.5" x14ac:dyDescent="0.35">
      <c r="A5" s="74" t="s">
        <v>2</v>
      </c>
      <c r="B5" s="238" t="s">
        <v>3</v>
      </c>
      <c r="C5" s="239">
        <v>2600</v>
      </c>
      <c r="D5" s="82">
        <v>0.99</v>
      </c>
      <c r="E5" s="82">
        <v>0.95</v>
      </c>
      <c r="F5" s="83">
        <v>15</v>
      </c>
    </row>
    <row r="6" spans="1:6" ht="15.5" x14ac:dyDescent="0.35">
      <c r="A6" s="75" t="s">
        <v>10</v>
      </c>
      <c r="B6" s="240" t="s">
        <v>7</v>
      </c>
      <c r="C6" s="241">
        <v>2600</v>
      </c>
      <c r="D6" s="85">
        <v>0.9</v>
      </c>
      <c r="E6" s="85">
        <v>0.85</v>
      </c>
      <c r="F6" s="86">
        <v>12.3</v>
      </c>
    </row>
    <row r="7" spans="1:6" ht="15.5" x14ac:dyDescent="0.35">
      <c r="A7" s="75" t="s">
        <v>11</v>
      </c>
      <c r="B7" s="240" t="s">
        <v>8</v>
      </c>
      <c r="C7" s="241">
        <v>0</v>
      </c>
      <c r="D7" s="85">
        <v>0.95</v>
      </c>
      <c r="E7" s="85">
        <v>0.9</v>
      </c>
      <c r="F7" s="86">
        <v>14.5</v>
      </c>
    </row>
    <row r="8" spans="1:6" ht="16" thickBot="1" x14ac:dyDescent="0.4">
      <c r="A8" s="77" t="s">
        <v>12</v>
      </c>
      <c r="B8" s="243" t="s">
        <v>9</v>
      </c>
      <c r="C8" s="244">
        <v>0</v>
      </c>
      <c r="D8" s="89">
        <v>0.9</v>
      </c>
      <c r="E8" s="89">
        <v>0.94</v>
      </c>
      <c r="F8" s="90">
        <v>13.9</v>
      </c>
    </row>
    <row r="9" spans="1:6" ht="15.5" x14ac:dyDescent="0.35">
      <c r="A9" s="73"/>
      <c r="B9" s="73"/>
      <c r="C9" s="73"/>
      <c r="D9" s="73"/>
      <c r="E9" s="73"/>
      <c r="F9" s="73"/>
    </row>
    <row r="10" spans="1:6" ht="16" thickBot="1" x14ac:dyDescent="0.4">
      <c r="A10" s="73"/>
      <c r="B10" s="73"/>
      <c r="C10" s="73"/>
      <c r="D10" s="73"/>
      <c r="E10" s="73"/>
      <c r="F10" s="73"/>
    </row>
    <row r="11" spans="1:6" ht="14.5" customHeight="1" x14ac:dyDescent="0.35">
      <c r="A11" s="91" t="s">
        <v>13</v>
      </c>
      <c r="B11" s="92"/>
      <c r="C11" s="92"/>
      <c r="D11" s="93"/>
      <c r="E11" s="73"/>
      <c r="F11" s="73"/>
    </row>
    <row r="12" spans="1:6" ht="15" customHeight="1" thickBot="1" x14ac:dyDescent="0.4">
      <c r="A12" s="94"/>
      <c r="B12" s="95"/>
      <c r="C12" s="95"/>
      <c r="D12" s="96"/>
      <c r="E12" s="73"/>
      <c r="F12" s="73"/>
    </row>
    <row r="13" spans="1:6" ht="15.5" x14ac:dyDescent="0.35">
      <c r="A13" s="249" t="s">
        <v>36</v>
      </c>
      <c r="B13" s="250"/>
      <c r="C13" s="258">
        <f>SUMPRODUCT(C5:C8,F5:F8)</f>
        <v>70980</v>
      </c>
      <c r="D13" s="259"/>
      <c r="E13" s="73"/>
      <c r="F13" s="73"/>
    </row>
    <row r="14" spans="1:6" ht="16" thickBot="1" x14ac:dyDescent="0.4">
      <c r="A14" s="253"/>
      <c r="B14" s="254"/>
      <c r="C14" s="260"/>
      <c r="D14" s="261"/>
      <c r="E14" s="73"/>
      <c r="F14" s="73"/>
    </row>
    <row r="15" spans="1:6" ht="15.5" x14ac:dyDescent="0.35">
      <c r="A15" s="73"/>
      <c r="B15" s="73"/>
      <c r="C15" s="73"/>
      <c r="D15" s="73"/>
      <c r="E15" s="73"/>
      <c r="F15" s="73"/>
    </row>
    <row r="16" spans="1:6" ht="16" thickBot="1" x14ac:dyDescent="0.4">
      <c r="A16" s="73"/>
      <c r="B16" s="73"/>
      <c r="C16" s="73"/>
      <c r="D16" s="73"/>
      <c r="E16" s="73"/>
      <c r="F16" s="73"/>
    </row>
    <row r="17" spans="1:6" ht="14.5" customHeight="1" x14ac:dyDescent="0.35">
      <c r="A17" s="210" t="s">
        <v>37</v>
      </c>
      <c r="B17" s="211"/>
      <c r="C17" s="211"/>
      <c r="D17" s="211"/>
      <c r="E17" s="211"/>
      <c r="F17" s="212"/>
    </row>
    <row r="18" spans="1:6" ht="14.5" customHeight="1" thickBot="1" x14ac:dyDescent="0.4">
      <c r="A18" s="262"/>
      <c r="B18" s="263"/>
      <c r="C18" s="263"/>
      <c r="D18" s="263"/>
      <c r="E18" s="263"/>
      <c r="F18" s="264"/>
    </row>
    <row r="19" spans="1:6" ht="16" thickBot="1" x14ac:dyDescent="0.4">
      <c r="A19" s="265"/>
      <c r="B19" s="266"/>
      <c r="C19" s="266"/>
      <c r="D19" s="78" t="s">
        <v>46</v>
      </c>
      <c r="E19" s="79"/>
      <c r="F19" s="78" t="s">
        <v>47</v>
      </c>
    </row>
    <row r="20" spans="1:6" ht="15.5" x14ac:dyDescent="0.35">
      <c r="A20" s="216" t="s">
        <v>16</v>
      </c>
      <c r="B20" s="217"/>
      <c r="C20" s="218"/>
      <c r="D20" s="85">
        <f>SUM(C5:C8)</f>
        <v>5200</v>
      </c>
      <c r="E20" s="219" t="s">
        <v>20</v>
      </c>
      <c r="F20" s="85">
        <v>5200</v>
      </c>
    </row>
    <row r="21" spans="1:6" ht="15.5" x14ac:dyDescent="0.35">
      <c r="A21" s="99" t="s">
        <v>19</v>
      </c>
      <c r="B21" s="100"/>
      <c r="C21" s="220"/>
      <c r="D21" s="85">
        <f>SUMPRODUCT(C5:C8,D5:D8)</f>
        <v>4914</v>
      </c>
      <c r="E21" s="221" t="s">
        <v>20</v>
      </c>
      <c r="F21" s="85">
        <f>0.94*SUM(C5:C8)</f>
        <v>4888</v>
      </c>
    </row>
    <row r="22" spans="1:6" ht="15.5" x14ac:dyDescent="0.35">
      <c r="A22" s="99" t="s">
        <v>27</v>
      </c>
      <c r="B22" s="100"/>
      <c r="C22" s="220"/>
      <c r="D22" s="85">
        <f>SUMPRODUCT(C5:C8,E5:E8)</f>
        <v>4680</v>
      </c>
      <c r="E22" s="221" t="s">
        <v>20</v>
      </c>
      <c r="F22" s="85">
        <f>0.9*SUM(C5:C8)</f>
        <v>4680</v>
      </c>
    </row>
    <row r="23" spans="1:6" ht="15.5" x14ac:dyDescent="0.35">
      <c r="A23" s="99" t="s">
        <v>31</v>
      </c>
      <c r="B23" s="100"/>
      <c r="C23" s="220"/>
      <c r="D23" s="85">
        <f>SUMPRODUCT(C5:C8,F5:F8)</f>
        <v>70980</v>
      </c>
      <c r="E23" s="221" t="s">
        <v>17</v>
      </c>
      <c r="F23" s="85">
        <f>14*SUM(C5:C8)</f>
        <v>72800</v>
      </c>
    </row>
    <row r="24" spans="1:6" ht="15.5" x14ac:dyDescent="0.35">
      <c r="A24" s="99" t="s">
        <v>38</v>
      </c>
      <c r="B24" s="100"/>
      <c r="C24" s="220"/>
      <c r="D24" s="85">
        <f>C5</f>
        <v>2600</v>
      </c>
      <c r="E24" s="221" t="s">
        <v>17</v>
      </c>
      <c r="F24" s="85">
        <f>0.5*SUM(C5:C8)</f>
        <v>2600</v>
      </c>
    </row>
    <row r="25" spans="1:6" ht="15.5" x14ac:dyDescent="0.35">
      <c r="A25" s="99" t="s">
        <v>40</v>
      </c>
      <c r="B25" s="100"/>
      <c r="C25" s="220"/>
      <c r="D25" s="85">
        <f>C6</f>
        <v>2600</v>
      </c>
      <c r="E25" s="221" t="s">
        <v>17</v>
      </c>
      <c r="F25" s="85">
        <f>0.5*SUM(C5:C8)</f>
        <v>2600</v>
      </c>
    </row>
    <row r="26" spans="1:6" ht="15.5" x14ac:dyDescent="0.35">
      <c r="A26" s="99" t="s">
        <v>41</v>
      </c>
      <c r="B26" s="100"/>
      <c r="C26" s="220"/>
      <c r="D26" s="85">
        <f>C7</f>
        <v>0</v>
      </c>
      <c r="E26" s="221" t="s">
        <v>17</v>
      </c>
      <c r="F26" s="85">
        <f>0.5*SUM(C5:C8)</f>
        <v>2600</v>
      </c>
    </row>
    <row r="27" spans="1:6" ht="15.5" x14ac:dyDescent="0.35">
      <c r="A27" s="99" t="s">
        <v>42</v>
      </c>
      <c r="B27" s="100"/>
      <c r="C27" s="220"/>
      <c r="D27" s="85">
        <f>C8</f>
        <v>0</v>
      </c>
      <c r="E27" s="221" t="s">
        <v>17</v>
      </c>
      <c r="F27" s="85">
        <f>0.5*SUM(C5:C8)</f>
        <v>2600</v>
      </c>
    </row>
    <row r="28" spans="1:6" ht="15.5" x14ac:dyDescent="0.35">
      <c r="A28" s="99" t="s">
        <v>48</v>
      </c>
      <c r="B28" s="100"/>
      <c r="C28" s="220"/>
      <c r="D28" s="267"/>
      <c r="E28" s="268"/>
      <c r="F28" s="76"/>
    </row>
    <row r="29" spans="1:6" ht="16" thickBot="1" x14ac:dyDescent="0.4">
      <c r="A29" s="321" t="s">
        <v>72</v>
      </c>
      <c r="B29" s="322"/>
      <c r="C29" s="323"/>
      <c r="D29" s="324">
        <f>SUM(C5,C7)</f>
        <v>2600</v>
      </c>
      <c r="E29" s="87" t="s">
        <v>20</v>
      </c>
      <c r="F29" s="243">
        <f>0.5*SUM(C5:C8)</f>
        <v>2600</v>
      </c>
    </row>
    <row r="30" spans="1:6" ht="15" thickBot="1" x14ac:dyDescent="0.4">
      <c r="A30" s="209"/>
      <c r="B30" s="209"/>
      <c r="C30" s="209"/>
    </row>
    <row r="31" spans="1:6" ht="15" thickBot="1" x14ac:dyDescent="0.4">
      <c r="A31" s="317" t="s">
        <v>121</v>
      </c>
      <c r="B31" s="318"/>
      <c r="C31" s="316"/>
    </row>
    <row r="32" spans="1:6" ht="15" thickBot="1" x14ac:dyDescent="0.4">
      <c r="A32" s="319" t="s">
        <v>122</v>
      </c>
      <c r="B32" s="320"/>
      <c r="C32" s="315">
        <v>0.5</v>
      </c>
    </row>
  </sheetData>
  <mergeCells count="20">
    <mergeCell ref="A13:B14"/>
    <mergeCell ref="A17:F18"/>
    <mergeCell ref="A11:D12"/>
    <mergeCell ref="A30:C30"/>
    <mergeCell ref="A1:E1"/>
    <mergeCell ref="A3:F3"/>
    <mergeCell ref="C13:D14"/>
    <mergeCell ref="A32:B32"/>
    <mergeCell ref="A19:C19"/>
    <mergeCell ref="A20:C20"/>
    <mergeCell ref="A21:C21"/>
    <mergeCell ref="A22:C22"/>
    <mergeCell ref="A23:C23"/>
    <mergeCell ref="A24:C24"/>
    <mergeCell ref="A31:B31"/>
    <mergeCell ref="A25:C25"/>
    <mergeCell ref="A26:C26"/>
    <mergeCell ref="A27:C27"/>
    <mergeCell ref="A28:C28"/>
    <mergeCell ref="A29:C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80BC-4D7A-4E9B-A436-807CB3A96997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57</v>
      </c>
    </row>
    <row r="3" spans="1:2" x14ac:dyDescent="0.35">
      <c r="A3">
        <v>1</v>
      </c>
    </row>
    <row r="4" spans="1:2" x14ac:dyDescent="0.35">
      <c r="A4">
        <v>0.9</v>
      </c>
    </row>
    <row r="5" spans="1:2" x14ac:dyDescent="0.35">
      <c r="A5">
        <v>1</v>
      </c>
    </row>
    <row r="6" spans="1:2" x14ac:dyDescent="0.35">
      <c r="A6">
        <v>5.0000000000000001E-3</v>
      </c>
    </row>
    <row r="8" spans="1:2" x14ac:dyDescent="0.35">
      <c r="A8" s="2"/>
      <c r="B8" s="2"/>
    </row>
    <row r="9" spans="1:2" x14ac:dyDescent="0.35">
      <c r="A9" t="s">
        <v>60</v>
      </c>
    </row>
    <row r="10" spans="1:2" x14ac:dyDescent="0.35">
      <c r="A10" t="s">
        <v>56</v>
      </c>
    </row>
    <row r="15" spans="1:2" x14ac:dyDescent="0.35">
      <c r="B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353E-235A-40A7-8485-0A59B39461A6}">
  <dimension ref="A1:K67"/>
  <sheetViews>
    <sheetView zoomScaleNormal="100" workbookViewId="0">
      <selection activeCell="K5" sqref="K5"/>
    </sheetView>
  </sheetViews>
  <sheetFormatPr defaultRowHeight="14.5" x14ac:dyDescent="0.35"/>
  <cols>
    <col min="1" max="1" width="19.08984375" customWidth="1"/>
    <col min="2" max="2" width="20.08984375" customWidth="1"/>
    <col min="3" max="3" width="28.453125" hidden="1" customWidth="1"/>
  </cols>
  <sheetData>
    <row r="1" spans="1:11" x14ac:dyDescent="0.35">
      <c r="A1" s="4" t="s">
        <v>65</v>
      </c>
      <c r="K1" s="3" t="str">
        <f>CONCATENATE("Sensitivity of ",$K$5," to ","Supplier 1 &amp; Supplier 3 Qty Limit")</f>
        <v>Sensitivity of $C$18 to Supplier 1 &amp; Supplier 3 Qty Limit</v>
      </c>
    </row>
    <row r="3" spans="1:11" x14ac:dyDescent="0.35">
      <c r="A3" t="s">
        <v>66</v>
      </c>
      <c r="K3" t="s">
        <v>59</v>
      </c>
    </row>
    <row r="4" spans="1:11" x14ac:dyDescent="0.35">
      <c r="A4" s="19" t="s">
        <v>105</v>
      </c>
      <c r="B4" s="20" t="s">
        <v>103</v>
      </c>
      <c r="C4" t="s">
        <v>104</v>
      </c>
    </row>
    <row r="5" spans="1:11" ht="33.5" x14ac:dyDescent="0.35">
      <c r="A5" s="14"/>
      <c r="B5" s="16" t="s">
        <v>58</v>
      </c>
      <c r="C5" s="5" t="s">
        <v>67</v>
      </c>
      <c r="J5" s="3">
        <f>MATCH($K$5,OutputAddresses,0)</f>
        <v>1</v>
      </c>
      <c r="K5" s="8" t="s">
        <v>58</v>
      </c>
    </row>
    <row r="6" spans="1:11" x14ac:dyDescent="0.35">
      <c r="A6" s="15">
        <v>0.40000000596046448</v>
      </c>
      <c r="B6" s="17">
        <v>72186.2</v>
      </c>
      <c r="C6" s="9">
        <v>2080.0000309944153</v>
      </c>
      <c r="K6">
        <f>INDEX(OutputValues,1,$J$5)</f>
        <v>72186.2</v>
      </c>
    </row>
    <row r="7" spans="1:11" x14ac:dyDescent="0.35">
      <c r="A7" s="15">
        <v>0.40999999642372131</v>
      </c>
      <c r="B7" s="17">
        <v>72186.2</v>
      </c>
      <c r="C7" s="11">
        <v>2131.9999814033508</v>
      </c>
      <c r="K7">
        <f>INDEX(OutputValues,2,$J$5)</f>
        <v>72186.2</v>
      </c>
    </row>
    <row r="8" spans="1:11" x14ac:dyDescent="0.35">
      <c r="A8" s="15">
        <v>0.42000001668930054</v>
      </c>
      <c r="B8" s="17">
        <v>72186.2</v>
      </c>
      <c r="C8" s="11">
        <v>2184.0000867843628</v>
      </c>
      <c r="K8">
        <f>INDEX(OutputValues,3,$J$5)</f>
        <v>72186.2</v>
      </c>
    </row>
    <row r="9" spans="1:11" x14ac:dyDescent="0.35">
      <c r="A9" s="15">
        <v>0.43000000715255737</v>
      </c>
      <c r="B9" s="17">
        <v>72186.2</v>
      </c>
      <c r="C9" s="11">
        <v>2236.0000371932983</v>
      </c>
      <c r="K9">
        <f>INDEX(OutputValues,4,$J$5)</f>
        <v>72186.2</v>
      </c>
    </row>
    <row r="10" spans="1:11" x14ac:dyDescent="0.35">
      <c r="A10" s="15">
        <v>0.43999999761581421</v>
      </c>
      <c r="B10" s="17">
        <v>72186.2</v>
      </c>
      <c r="C10" s="11">
        <v>2287.9999876022339</v>
      </c>
      <c r="K10">
        <f>INDEX(OutputValues,5,$J$5)</f>
        <v>72186.2</v>
      </c>
    </row>
    <row r="11" spans="1:11" x14ac:dyDescent="0.35">
      <c r="A11" s="15">
        <v>0.45000001788139343</v>
      </c>
      <c r="B11" s="17">
        <v>72212.600000000006</v>
      </c>
      <c r="C11" s="11">
        <v>2340.0000929832458</v>
      </c>
      <c r="K11">
        <f>INDEX(OutputValues,6,$J$5)</f>
        <v>72212.600000000006</v>
      </c>
    </row>
    <row r="12" spans="1:11" x14ac:dyDescent="0.35">
      <c r="A12" s="15">
        <v>0.46000000834465027</v>
      </c>
      <c r="B12" s="17">
        <v>72262.8</v>
      </c>
      <c r="C12" s="11">
        <v>2392.0000433921814</v>
      </c>
      <c r="K12">
        <f>INDEX(OutputValues,7,$J$5)</f>
        <v>72262.8</v>
      </c>
    </row>
    <row r="13" spans="1:11" x14ac:dyDescent="0.35">
      <c r="A13" s="15">
        <v>0.4699999988079071</v>
      </c>
      <c r="B13" s="17">
        <v>72321.8</v>
      </c>
      <c r="C13" s="11">
        <v>2443.9999938011169</v>
      </c>
      <c r="K13">
        <f>INDEX(OutputValues,8,$J$5)</f>
        <v>72321.8</v>
      </c>
    </row>
    <row r="14" spans="1:11" x14ac:dyDescent="0.35">
      <c r="A14" s="15">
        <v>0.48000001907348633</v>
      </c>
      <c r="B14" s="17">
        <v>72377.7</v>
      </c>
      <c r="C14" s="11">
        <v>2496.4800992012024</v>
      </c>
      <c r="K14">
        <f>INDEX(OutputValues,9,$J$5)</f>
        <v>72377.7</v>
      </c>
    </row>
    <row r="15" spans="1:11" x14ac:dyDescent="0.35">
      <c r="A15" s="15">
        <v>0.49000000953674316</v>
      </c>
      <c r="B15" s="17">
        <v>72414.600000000006</v>
      </c>
      <c r="C15" s="11">
        <v>2548.0000495910645</v>
      </c>
      <c r="K15">
        <f>INDEX(OutputValues,10,$J$5)</f>
        <v>72414.600000000006</v>
      </c>
    </row>
    <row r="16" spans="1:11" x14ac:dyDescent="0.35">
      <c r="A16" s="15">
        <v>0.5</v>
      </c>
      <c r="B16" s="17">
        <v>72465.900000000009</v>
      </c>
      <c r="C16" s="11">
        <v>2600</v>
      </c>
      <c r="K16">
        <f>INDEX(OutputValues,11,$J$5)</f>
        <v>72465.900000000009</v>
      </c>
    </row>
    <row r="17" spans="1:11" x14ac:dyDescent="0.35">
      <c r="A17" s="15">
        <v>0.50999999046325684</v>
      </c>
      <c r="B17" s="17">
        <v>52165.7</v>
      </c>
      <c r="C17" s="11">
        <v>1807.9499661922455</v>
      </c>
      <c r="K17">
        <f>INDEX(OutputValues,12,$J$5)</f>
        <v>52165.7</v>
      </c>
    </row>
    <row r="18" spans="1:11" x14ac:dyDescent="0.35">
      <c r="A18" s="15">
        <v>0.51999998092651367</v>
      </c>
      <c r="B18" s="18" t="s">
        <v>61</v>
      </c>
      <c r="C18" s="6"/>
      <c r="K18" t="str">
        <f>INDEX(OutputValues,13,$J$5)</f>
        <v>Not feasible</v>
      </c>
    </row>
    <row r="19" spans="1:11" x14ac:dyDescent="0.35">
      <c r="A19" s="15">
        <v>0.53000003099441528</v>
      </c>
      <c r="B19" s="18" t="s">
        <v>61</v>
      </c>
      <c r="C19" s="6"/>
      <c r="K19" t="str">
        <f>INDEX(OutputValues,14,$J$5)</f>
        <v>Not feasible</v>
      </c>
    </row>
    <row r="20" spans="1:11" x14ac:dyDescent="0.35">
      <c r="A20" s="15">
        <v>0.54000002145767212</v>
      </c>
      <c r="B20" s="18" t="s">
        <v>61</v>
      </c>
      <c r="C20" s="6"/>
      <c r="K20" t="str">
        <f>INDEX(OutputValues,15,$J$5)</f>
        <v>Not feasible</v>
      </c>
    </row>
    <row r="21" spans="1:11" x14ac:dyDescent="0.35">
      <c r="A21" s="15">
        <v>0.55000001192092896</v>
      </c>
      <c r="B21" s="17">
        <v>72740.800000000003</v>
      </c>
      <c r="C21" s="11">
        <v>2860.0000619888306</v>
      </c>
      <c r="K21">
        <f>INDEX(OutputValues,16,$J$5)</f>
        <v>72740.800000000003</v>
      </c>
    </row>
    <row r="22" spans="1:11" x14ac:dyDescent="0.35">
      <c r="A22" s="15">
        <v>0.56000000238418579</v>
      </c>
      <c r="B22" s="17">
        <v>72796.600000000006</v>
      </c>
      <c r="C22" s="11">
        <v>2912.0000123977661</v>
      </c>
      <c r="K22">
        <f>INDEX(OutputValues,17,$J$5)</f>
        <v>72796.600000000006</v>
      </c>
    </row>
    <row r="23" spans="1:11" x14ac:dyDescent="0.35">
      <c r="A23" s="15">
        <v>0.56999999284744263</v>
      </c>
      <c r="B23" s="18" t="s">
        <v>61</v>
      </c>
      <c r="C23" s="6"/>
      <c r="K23" t="str">
        <f>INDEX(OutputValues,18,$J$5)</f>
        <v>Not feasible</v>
      </c>
    </row>
    <row r="24" spans="1:11" x14ac:dyDescent="0.35">
      <c r="A24" s="15">
        <v>0.57999998331069946</v>
      </c>
      <c r="B24" s="18" t="s">
        <v>61</v>
      </c>
      <c r="C24" s="6"/>
      <c r="K24" t="str">
        <f>INDEX(OutputValues,19,$J$5)</f>
        <v>Not feasible</v>
      </c>
    </row>
    <row r="25" spans="1:11" x14ac:dyDescent="0.35">
      <c r="A25" s="15">
        <v>0.5899999737739563</v>
      </c>
      <c r="B25" s="18" t="s">
        <v>61</v>
      </c>
      <c r="C25" s="6"/>
      <c r="K25" t="str">
        <f>INDEX(OutputValues,20,$J$5)</f>
        <v>Not feasible</v>
      </c>
    </row>
    <row r="26" spans="1:11" x14ac:dyDescent="0.35">
      <c r="A26" s="15">
        <v>0.60000002384185791</v>
      </c>
      <c r="B26" s="18" t="s">
        <v>61</v>
      </c>
      <c r="C26" s="6"/>
      <c r="K26" t="str">
        <f>INDEX(OutputValues,21,$J$5)</f>
        <v>Not feasible</v>
      </c>
    </row>
    <row r="27" spans="1:11" x14ac:dyDescent="0.35">
      <c r="A27" s="15">
        <v>0.61000001430511475</v>
      </c>
      <c r="B27" s="18" t="s">
        <v>61</v>
      </c>
      <c r="C27" s="6"/>
      <c r="K27" t="str">
        <f>INDEX(OutputValues,22,$J$5)</f>
        <v>Not feasible</v>
      </c>
    </row>
    <row r="28" spans="1:11" x14ac:dyDescent="0.35">
      <c r="A28" s="15">
        <v>0.62000000476837158</v>
      </c>
      <c r="B28" s="18" t="s">
        <v>61</v>
      </c>
      <c r="C28" s="6"/>
      <c r="K28" t="str">
        <f>INDEX(OutputValues,23,$J$5)</f>
        <v>Not feasible</v>
      </c>
    </row>
    <row r="29" spans="1:11" x14ac:dyDescent="0.35">
      <c r="A29" s="15">
        <v>0.62999999523162842</v>
      </c>
      <c r="B29" s="18" t="s">
        <v>61</v>
      </c>
      <c r="C29" s="6"/>
      <c r="K29" t="str">
        <f>INDEX(OutputValues,24,$J$5)</f>
        <v>Not feasible</v>
      </c>
    </row>
    <row r="30" spans="1:11" x14ac:dyDescent="0.35">
      <c r="A30" s="15">
        <v>0.63999998569488525</v>
      </c>
      <c r="B30" s="18" t="s">
        <v>61</v>
      </c>
      <c r="C30" s="6"/>
      <c r="K30" t="str">
        <f>INDEX(OutputValues,25,$J$5)</f>
        <v>Not feasible</v>
      </c>
    </row>
    <row r="31" spans="1:11" x14ac:dyDescent="0.35">
      <c r="A31" s="15">
        <v>0.64999997615814209</v>
      </c>
      <c r="B31" s="18" t="s">
        <v>61</v>
      </c>
      <c r="C31" s="6"/>
      <c r="K31" t="str">
        <f>INDEX(OutputValues,26,$J$5)</f>
        <v>Not feasible</v>
      </c>
    </row>
    <row r="32" spans="1:11" x14ac:dyDescent="0.35">
      <c r="A32" s="15">
        <v>0.6600000262260437</v>
      </c>
      <c r="B32" s="18" t="s">
        <v>61</v>
      </c>
      <c r="C32" s="6"/>
      <c r="K32" t="str">
        <f>INDEX(OutputValues,27,$J$5)</f>
        <v>Not feasible</v>
      </c>
    </row>
    <row r="33" spans="1:11" x14ac:dyDescent="0.35">
      <c r="A33" s="15">
        <v>0.67000001668930054</v>
      </c>
      <c r="B33" s="18" t="s">
        <v>61</v>
      </c>
      <c r="C33" s="6"/>
      <c r="K33" t="str">
        <f>INDEX(OutputValues,28,$J$5)</f>
        <v>Not feasible</v>
      </c>
    </row>
    <row r="34" spans="1:11" x14ac:dyDescent="0.35">
      <c r="A34" s="15">
        <v>0.68000000715255737</v>
      </c>
      <c r="B34" s="18" t="s">
        <v>61</v>
      </c>
      <c r="C34" s="6"/>
      <c r="K34" t="str">
        <f>INDEX(OutputValues,29,$J$5)</f>
        <v>Not feasible</v>
      </c>
    </row>
    <row r="35" spans="1:11" x14ac:dyDescent="0.35">
      <c r="A35" s="15">
        <v>0.68999999761581421</v>
      </c>
      <c r="B35" s="18" t="s">
        <v>61</v>
      </c>
      <c r="C35" s="6"/>
      <c r="K35" t="str">
        <f>INDEX(OutputValues,30,$J$5)</f>
        <v>Not feasible</v>
      </c>
    </row>
    <row r="36" spans="1:11" x14ac:dyDescent="0.35">
      <c r="A36" s="15">
        <v>0.69999998807907104</v>
      </c>
      <c r="B36" s="18" t="s">
        <v>61</v>
      </c>
      <c r="C36" s="6"/>
      <c r="K36" t="str">
        <f>INDEX(OutputValues,31,$J$5)</f>
        <v>Not feasible</v>
      </c>
    </row>
    <row r="37" spans="1:11" x14ac:dyDescent="0.35">
      <c r="A37" s="15">
        <v>0.70999997854232788</v>
      </c>
      <c r="B37" s="18" t="s">
        <v>61</v>
      </c>
      <c r="C37" s="6"/>
      <c r="K37" t="str">
        <f>INDEX(OutputValues,32,$J$5)</f>
        <v>Not feasible</v>
      </c>
    </row>
    <row r="38" spans="1:11" x14ac:dyDescent="0.35">
      <c r="A38" s="15">
        <v>0.72000002861022949</v>
      </c>
      <c r="B38" s="18" t="s">
        <v>61</v>
      </c>
      <c r="C38" s="6"/>
      <c r="K38" t="str">
        <f>INDEX(OutputValues,33,$J$5)</f>
        <v>Not feasible</v>
      </c>
    </row>
    <row r="39" spans="1:11" x14ac:dyDescent="0.35">
      <c r="A39" s="15">
        <v>0.73000001907348633</v>
      </c>
      <c r="B39" s="18" t="s">
        <v>61</v>
      </c>
      <c r="C39" s="6"/>
      <c r="K39" t="str">
        <f>INDEX(OutputValues,34,$J$5)</f>
        <v>Not feasible</v>
      </c>
    </row>
    <row r="40" spans="1:11" x14ac:dyDescent="0.35">
      <c r="A40" s="15">
        <v>0.74000000953674316</v>
      </c>
      <c r="B40" s="18" t="s">
        <v>61</v>
      </c>
      <c r="C40" s="6"/>
      <c r="K40" t="str">
        <f>INDEX(OutputValues,35,$J$5)</f>
        <v>Not feasible</v>
      </c>
    </row>
    <row r="41" spans="1:11" x14ac:dyDescent="0.35">
      <c r="A41" s="15">
        <v>0.75</v>
      </c>
      <c r="B41" s="18" t="s">
        <v>61</v>
      </c>
      <c r="C41" s="6"/>
      <c r="K41" t="str">
        <f>INDEX(OutputValues,36,$J$5)</f>
        <v>Not feasible</v>
      </c>
    </row>
    <row r="42" spans="1:11" x14ac:dyDescent="0.35">
      <c r="A42" s="15">
        <v>0.75999999046325684</v>
      </c>
      <c r="B42" s="18" t="s">
        <v>61</v>
      </c>
      <c r="C42" s="6"/>
      <c r="K42" t="str">
        <f>INDEX(OutputValues,37,$J$5)</f>
        <v>Not feasible</v>
      </c>
    </row>
    <row r="43" spans="1:11" x14ac:dyDescent="0.35">
      <c r="A43" s="15">
        <v>0.76999998092651367</v>
      </c>
      <c r="B43" s="18" t="s">
        <v>61</v>
      </c>
      <c r="C43" s="6"/>
      <c r="K43" t="str">
        <f>INDEX(OutputValues,38,$J$5)</f>
        <v>Not feasible</v>
      </c>
    </row>
    <row r="44" spans="1:11" x14ac:dyDescent="0.35">
      <c r="A44" s="15">
        <v>0.77999997138977051</v>
      </c>
      <c r="B44" s="18" t="s">
        <v>61</v>
      </c>
      <c r="C44" s="6"/>
      <c r="K44" t="str">
        <f>INDEX(OutputValues,39,$J$5)</f>
        <v>Not feasible</v>
      </c>
    </row>
    <row r="45" spans="1:11" x14ac:dyDescent="0.35">
      <c r="A45" s="15">
        <v>0.79000002145767212</v>
      </c>
      <c r="B45" s="18" t="s">
        <v>61</v>
      </c>
      <c r="C45" s="6"/>
      <c r="K45" t="str">
        <f>INDEX(OutputValues,40,$J$5)</f>
        <v>Not feasible</v>
      </c>
    </row>
    <row r="46" spans="1:11" x14ac:dyDescent="0.35">
      <c r="A46" s="15">
        <v>0.80000001192092896</v>
      </c>
      <c r="B46" s="18" t="s">
        <v>61</v>
      </c>
      <c r="C46" s="6"/>
      <c r="K46" t="str">
        <f>INDEX(OutputValues,41,$J$5)</f>
        <v>Not feasible</v>
      </c>
    </row>
    <row r="47" spans="1:11" x14ac:dyDescent="0.35">
      <c r="A47" s="15">
        <v>0.81000000238418579</v>
      </c>
      <c r="B47" s="18" t="s">
        <v>61</v>
      </c>
      <c r="C47" s="6"/>
      <c r="K47" t="str">
        <f>INDEX(OutputValues,42,$J$5)</f>
        <v>Not feasible</v>
      </c>
    </row>
    <row r="48" spans="1:11" x14ac:dyDescent="0.35">
      <c r="A48" s="15">
        <v>0.81999999284744263</v>
      </c>
      <c r="B48" s="18" t="s">
        <v>61</v>
      </c>
      <c r="C48" s="6"/>
      <c r="K48" t="str">
        <f>INDEX(OutputValues,43,$J$5)</f>
        <v>Not feasible</v>
      </c>
    </row>
    <row r="49" spans="1:11" x14ac:dyDescent="0.35">
      <c r="A49" s="15">
        <v>0.82999998331069946</v>
      </c>
      <c r="B49" s="18" t="s">
        <v>61</v>
      </c>
      <c r="C49" s="6"/>
      <c r="K49" t="str">
        <f>INDEX(OutputValues,44,$J$5)</f>
        <v>Not feasible</v>
      </c>
    </row>
    <row r="50" spans="1:11" x14ac:dyDescent="0.35">
      <c r="A50" s="15">
        <v>0.8399999737739563</v>
      </c>
      <c r="B50" s="18" t="s">
        <v>61</v>
      </c>
      <c r="C50" s="6"/>
      <c r="K50" t="str">
        <f>INDEX(OutputValues,45,$J$5)</f>
        <v>Not feasible</v>
      </c>
    </row>
    <row r="51" spans="1:11" x14ac:dyDescent="0.35">
      <c r="A51" s="15">
        <v>0.85000002384185791</v>
      </c>
      <c r="B51" s="18" t="s">
        <v>61</v>
      </c>
      <c r="C51" s="6"/>
      <c r="K51" t="str">
        <f>INDEX(OutputValues,46,$J$5)</f>
        <v>Not feasible</v>
      </c>
    </row>
    <row r="52" spans="1:11" x14ac:dyDescent="0.35">
      <c r="A52" s="15">
        <v>0.86000001430511475</v>
      </c>
      <c r="B52" s="18" t="s">
        <v>61</v>
      </c>
      <c r="C52" s="6"/>
      <c r="K52" t="str">
        <f>INDEX(OutputValues,47,$J$5)</f>
        <v>Not feasible</v>
      </c>
    </row>
    <row r="53" spans="1:11" x14ac:dyDescent="0.35">
      <c r="A53" s="15">
        <v>0.87000000476837158</v>
      </c>
      <c r="B53" s="18" t="s">
        <v>61</v>
      </c>
      <c r="C53" s="6"/>
      <c r="K53" t="str">
        <f>INDEX(OutputValues,48,$J$5)</f>
        <v>Not feasible</v>
      </c>
    </row>
    <row r="54" spans="1:11" x14ac:dyDescent="0.35">
      <c r="A54" s="15">
        <v>0.87999999523162842</v>
      </c>
      <c r="B54" s="18" t="s">
        <v>61</v>
      </c>
      <c r="C54" s="6"/>
      <c r="K54" t="str">
        <f>INDEX(OutputValues,49,$J$5)</f>
        <v>Not feasible</v>
      </c>
    </row>
    <row r="55" spans="1:11" x14ac:dyDescent="0.35">
      <c r="A55" s="15">
        <v>0.88999998569488525</v>
      </c>
      <c r="B55" s="18" t="s">
        <v>61</v>
      </c>
      <c r="C55" s="6"/>
      <c r="K55" t="str">
        <f>INDEX(OutputValues,50,$J$5)</f>
        <v>Not feasible</v>
      </c>
    </row>
    <row r="56" spans="1:11" x14ac:dyDescent="0.35">
      <c r="A56" s="15">
        <v>0.89999997615814209</v>
      </c>
      <c r="B56" s="18" t="s">
        <v>61</v>
      </c>
      <c r="C56" s="6"/>
      <c r="K56" t="str">
        <f>INDEX(OutputValues,51,$J$5)</f>
        <v>Not feasible</v>
      </c>
    </row>
    <row r="57" spans="1:11" x14ac:dyDescent="0.35">
      <c r="A57" s="15">
        <v>0.90999996662139893</v>
      </c>
      <c r="B57" s="18" t="s">
        <v>61</v>
      </c>
      <c r="C57" s="6"/>
      <c r="K57" t="str">
        <f>INDEX(OutputValues,52,$J$5)</f>
        <v>Not feasible</v>
      </c>
    </row>
    <row r="58" spans="1:11" x14ac:dyDescent="0.35">
      <c r="A58" s="15">
        <v>0.92000001668930054</v>
      </c>
      <c r="B58" s="18" t="s">
        <v>61</v>
      </c>
      <c r="C58" s="6"/>
      <c r="K58" t="str">
        <f>INDEX(OutputValues,53,$J$5)</f>
        <v>Not feasible</v>
      </c>
    </row>
    <row r="59" spans="1:11" x14ac:dyDescent="0.35">
      <c r="A59" s="15">
        <v>0.93000000715255737</v>
      </c>
      <c r="B59" s="18" t="s">
        <v>61</v>
      </c>
      <c r="C59" s="6"/>
      <c r="K59" t="str">
        <f>INDEX(OutputValues,54,$J$5)</f>
        <v>Not feasible</v>
      </c>
    </row>
    <row r="60" spans="1:11" x14ac:dyDescent="0.35">
      <c r="A60" s="15">
        <v>0.93999999761581421</v>
      </c>
      <c r="B60" s="18" t="s">
        <v>61</v>
      </c>
      <c r="C60" s="6"/>
      <c r="K60" t="str">
        <f>INDEX(OutputValues,55,$J$5)</f>
        <v>Not feasible</v>
      </c>
    </row>
    <row r="61" spans="1:11" x14ac:dyDescent="0.35">
      <c r="A61" s="15">
        <v>0.94999998807907104</v>
      </c>
      <c r="B61" s="18" t="s">
        <v>61</v>
      </c>
      <c r="C61" s="6"/>
      <c r="K61" t="str">
        <f>INDEX(OutputValues,56,$J$5)</f>
        <v>Not feasible</v>
      </c>
    </row>
    <row r="62" spans="1:11" x14ac:dyDescent="0.35">
      <c r="A62" s="15">
        <v>0.95999997854232788</v>
      </c>
      <c r="B62" s="18" t="s">
        <v>61</v>
      </c>
      <c r="C62" s="6"/>
      <c r="K62" t="str">
        <f>INDEX(OutputValues,57,$J$5)</f>
        <v>Not feasible</v>
      </c>
    </row>
    <row r="63" spans="1:11" x14ac:dyDescent="0.35">
      <c r="A63" s="15">
        <v>0.96999996900558472</v>
      </c>
      <c r="B63" s="18" t="s">
        <v>61</v>
      </c>
      <c r="C63" s="6"/>
      <c r="K63" t="str">
        <f>INDEX(OutputValues,58,$J$5)</f>
        <v>Not feasible</v>
      </c>
    </row>
    <row r="64" spans="1:11" x14ac:dyDescent="0.35">
      <c r="A64" s="15">
        <v>0.98000001907348633</v>
      </c>
      <c r="B64" s="18" t="s">
        <v>61</v>
      </c>
      <c r="C64" s="6"/>
      <c r="K64" t="str">
        <f>INDEX(OutputValues,59,$J$5)</f>
        <v>Not feasible</v>
      </c>
    </row>
    <row r="65" spans="1:11" x14ac:dyDescent="0.35">
      <c r="A65" s="15">
        <v>0.99000000953674316</v>
      </c>
      <c r="B65" s="18" t="s">
        <v>61</v>
      </c>
      <c r="C65" s="6"/>
      <c r="K65" t="str">
        <f>INDEX(OutputValues,60,$J$5)</f>
        <v>Not feasible</v>
      </c>
    </row>
    <row r="66" spans="1:11" x14ac:dyDescent="0.35">
      <c r="A66" s="15">
        <v>1</v>
      </c>
      <c r="B66" s="18" t="s">
        <v>61</v>
      </c>
      <c r="C66" s="7"/>
      <c r="K66" t="str">
        <f>INDEX(OutputValues,61,$J$5)</f>
        <v>Not feasible</v>
      </c>
    </row>
    <row r="67" spans="1:11" x14ac:dyDescent="0.35">
      <c r="A67" s="21"/>
      <c r="B67" s="22"/>
    </row>
  </sheetData>
  <dataValidations count="1">
    <dataValidation type="list" allowBlank="1" showInputMessage="1" showErrorMessage="1" sqref="K5" xr:uid="{1EC14410-E264-4BBB-88DF-447360D1473C}">
      <formula1>OutputAddresses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0FEF-4348-4702-860B-ACCFAF28EE9D}">
  <dimension ref="A1:J29"/>
  <sheetViews>
    <sheetView zoomScale="50" zoomScaleNormal="50" workbookViewId="0">
      <selection activeCell="F10" sqref="F10"/>
    </sheetView>
  </sheetViews>
  <sheetFormatPr defaultRowHeight="23.5" x14ac:dyDescent="0.55000000000000004"/>
  <cols>
    <col min="1" max="1" width="46.36328125" style="1" customWidth="1"/>
    <col min="2" max="2" width="8.7265625" style="1"/>
    <col min="3" max="3" width="18.08984375" style="1" customWidth="1"/>
    <col min="4" max="4" width="57.90625" style="1" customWidth="1"/>
    <col min="5" max="5" width="21.08984375" style="1" customWidth="1"/>
    <col min="6" max="6" width="18.81640625" style="1" customWidth="1"/>
    <col min="7" max="7" width="18.6328125" style="1" customWidth="1"/>
    <col min="8" max="8" width="49.7265625" style="1" customWidth="1"/>
    <col min="9" max="16384" width="8.7265625" style="1"/>
  </cols>
  <sheetData>
    <row r="1" spans="1:10" ht="44.5" customHeight="1" thickBot="1" x14ac:dyDescent="0.6">
      <c r="A1" s="229" t="s">
        <v>0</v>
      </c>
      <c r="B1" s="230"/>
      <c r="C1" s="230"/>
      <c r="D1" s="230"/>
      <c r="E1" s="230"/>
      <c r="F1" s="231"/>
    </row>
    <row r="2" spans="1:10" ht="24" thickBot="1" x14ac:dyDescent="0.6">
      <c r="A2" s="73"/>
      <c r="B2" s="73"/>
      <c r="C2" s="73"/>
      <c r="D2" s="73"/>
      <c r="E2" s="73"/>
      <c r="F2" s="73"/>
    </row>
    <row r="3" spans="1:10" ht="24" thickBot="1" x14ac:dyDescent="0.6">
      <c r="A3" s="232" t="s">
        <v>1</v>
      </c>
      <c r="B3" s="233"/>
      <c r="C3" s="233"/>
      <c r="D3" s="233"/>
      <c r="E3" s="233"/>
      <c r="F3" s="234"/>
    </row>
    <row r="4" spans="1:10" ht="31.5" thickBot="1" x14ac:dyDescent="0.6">
      <c r="A4" s="235"/>
      <c r="B4" s="78"/>
      <c r="C4" s="79"/>
      <c r="D4" s="236" t="s">
        <v>33</v>
      </c>
      <c r="E4" s="237" t="s">
        <v>34</v>
      </c>
      <c r="F4" s="236" t="s">
        <v>35</v>
      </c>
      <c r="H4" s="26" t="s">
        <v>76</v>
      </c>
      <c r="I4" s="27"/>
      <c r="J4" s="28"/>
    </row>
    <row r="5" spans="1:10" x14ac:dyDescent="0.55000000000000004">
      <c r="A5" s="74" t="s">
        <v>2</v>
      </c>
      <c r="B5" s="238" t="s">
        <v>3</v>
      </c>
      <c r="C5" s="239">
        <v>2599</v>
      </c>
      <c r="D5" s="82">
        <v>0.99</v>
      </c>
      <c r="E5" s="81">
        <v>0.95</v>
      </c>
      <c r="F5" s="82">
        <v>15</v>
      </c>
      <c r="H5" s="29"/>
      <c r="I5" s="30"/>
      <c r="J5" s="31"/>
    </row>
    <row r="6" spans="1:10" x14ac:dyDescent="0.55000000000000004">
      <c r="A6" s="75" t="s">
        <v>10</v>
      </c>
      <c r="B6" s="240" t="s">
        <v>7</v>
      </c>
      <c r="C6" s="241">
        <v>1671</v>
      </c>
      <c r="D6" s="85">
        <v>0.9</v>
      </c>
      <c r="E6" s="242">
        <v>0.8</v>
      </c>
      <c r="F6" s="85">
        <v>12.3</v>
      </c>
      <c r="H6" s="29"/>
      <c r="I6" s="30"/>
      <c r="J6" s="31"/>
    </row>
    <row r="7" spans="1:10" ht="24" thickBot="1" x14ac:dyDescent="0.6">
      <c r="A7" s="75" t="s">
        <v>11</v>
      </c>
      <c r="B7" s="240" t="s">
        <v>8</v>
      </c>
      <c r="C7" s="241">
        <v>1</v>
      </c>
      <c r="D7" s="85">
        <v>0.95</v>
      </c>
      <c r="E7" s="84">
        <v>0.9</v>
      </c>
      <c r="F7" s="85">
        <v>14.5</v>
      </c>
      <c r="H7" s="32"/>
      <c r="I7" s="33"/>
      <c r="J7" s="34"/>
    </row>
    <row r="8" spans="1:10" ht="24" thickBot="1" x14ac:dyDescent="0.6">
      <c r="A8" s="77" t="s">
        <v>12</v>
      </c>
      <c r="B8" s="243" t="s">
        <v>9</v>
      </c>
      <c r="C8" s="244">
        <v>929</v>
      </c>
      <c r="D8" s="89">
        <v>0.9</v>
      </c>
      <c r="E8" s="88">
        <v>0.94</v>
      </c>
      <c r="F8" s="89">
        <v>13.9</v>
      </c>
    </row>
    <row r="9" spans="1:10" x14ac:dyDescent="0.55000000000000004">
      <c r="A9" s="245"/>
      <c r="B9" s="246"/>
      <c r="C9" s="247"/>
      <c r="D9" s="248"/>
      <c r="E9" s="248"/>
      <c r="F9" s="248"/>
    </row>
    <row r="10" spans="1:10" ht="24" thickBot="1" x14ac:dyDescent="0.6">
      <c r="A10" s="73"/>
      <c r="B10" s="73"/>
      <c r="C10" s="73"/>
      <c r="D10" s="73"/>
      <c r="E10" s="248"/>
      <c r="F10" s="73"/>
    </row>
    <row r="11" spans="1:10" x14ac:dyDescent="0.55000000000000004">
      <c r="A11" s="91" t="s">
        <v>13</v>
      </c>
      <c r="B11" s="92"/>
      <c r="C11" s="92"/>
      <c r="D11" s="93"/>
      <c r="E11" s="248"/>
      <c r="F11" s="73"/>
    </row>
    <row r="12" spans="1:10" ht="24" thickBot="1" x14ac:dyDescent="0.6">
      <c r="A12" s="94"/>
      <c r="B12" s="95"/>
      <c r="C12" s="95"/>
      <c r="D12" s="96"/>
      <c r="E12" s="248"/>
      <c r="F12" s="73"/>
    </row>
    <row r="13" spans="1:10" ht="23.5" customHeight="1" x14ac:dyDescent="0.55000000000000004">
      <c r="A13" s="249" t="s">
        <v>36</v>
      </c>
      <c r="B13" s="250"/>
      <c r="C13" s="251">
        <f>SUMPRODUCT(C5:C8,F5:F8)</f>
        <v>72465.900000000009</v>
      </c>
      <c r="D13" s="252"/>
      <c r="E13" s="248"/>
      <c r="F13" s="73"/>
    </row>
    <row r="14" spans="1:10" ht="24" thickBot="1" x14ac:dyDescent="0.6">
      <c r="A14" s="253"/>
      <c r="B14" s="254"/>
      <c r="C14" s="255"/>
      <c r="D14" s="256"/>
      <c r="E14" s="248"/>
      <c r="F14" s="73"/>
    </row>
    <row r="15" spans="1:10" x14ac:dyDescent="0.55000000000000004">
      <c r="A15" s="73"/>
      <c r="B15" s="73"/>
      <c r="C15" s="73"/>
      <c r="D15" s="73"/>
      <c r="E15" s="73"/>
      <c r="F15" s="73"/>
    </row>
    <row r="16" spans="1:10" ht="24" thickBot="1" x14ac:dyDescent="0.6">
      <c r="A16" s="73"/>
      <c r="B16" s="73"/>
      <c r="C16" s="73"/>
      <c r="D16" s="73"/>
      <c r="E16" s="73"/>
      <c r="F16" s="73"/>
    </row>
    <row r="17" spans="1:6" x14ac:dyDescent="0.55000000000000004">
      <c r="A17" s="210" t="s">
        <v>37</v>
      </c>
      <c r="B17" s="211"/>
      <c r="C17" s="211"/>
      <c r="D17" s="211"/>
      <c r="E17" s="211"/>
      <c r="F17" s="212"/>
    </row>
    <row r="18" spans="1:6" ht="24" thickBot="1" x14ac:dyDescent="0.6">
      <c r="A18" s="213"/>
      <c r="B18" s="214"/>
      <c r="C18" s="214"/>
      <c r="D18" s="214"/>
      <c r="E18" s="214"/>
      <c r="F18" s="215"/>
    </row>
    <row r="19" spans="1:6" ht="24" thickBot="1" x14ac:dyDescent="0.6">
      <c r="A19" s="269"/>
      <c r="B19" s="270"/>
      <c r="C19" s="271"/>
      <c r="D19" s="78" t="s">
        <v>46</v>
      </c>
      <c r="E19" s="79"/>
      <c r="F19" s="78" t="s">
        <v>47</v>
      </c>
    </row>
    <row r="20" spans="1:6" x14ac:dyDescent="0.55000000000000004">
      <c r="A20" s="97" t="s">
        <v>16</v>
      </c>
      <c r="B20" s="98"/>
      <c r="C20" s="272"/>
      <c r="D20" s="82">
        <f>SUM(C5:C8)</f>
        <v>5200</v>
      </c>
      <c r="E20" s="273" t="s">
        <v>20</v>
      </c>
      <c r="F20" s="82">
        <v>5200</v>
      </c>
    </row>
    <row r="21" spans="1:6" x14ac:dyDescent="0.55000000000000004">
      <c r="A21" s="99" t="s">
        <v>19</v>
      </c>
      <c r="B21" s="100"/>
      <c r="C21" s="220"/>
      <c r="D21" s="85">
        <f>SUMPRODUCT(C5:C8,D5:D8)</f>
        <v>4913.96</v>
      </c>
      <c r="E21" s="221" t="s">
        <v>20</v>
      </c>
      <c r="F21" s="85">
        <f>0.94*SUM(C5:C8)</f>
        <v>4888</v>
      </c>
    </row>
    <row r="22" spans="1:6" x14ac:dyDescent="0.55000000000000004">
      <c r="A22" s="99" t="s">
        <v>27</v>
      </c>
      <c r="B22" s="100"/>
      <c r="C22" s="220"/>
      <c r="D22" s="85">
        <f>SUMPRODUCT(C5:C8,E5:E8)</f>
        <v>4680.01</v>
      </c>
      <c r="E22" s="221" t="s">
        <v>20</v>
      </c>
      <c r="F22" s="85">
        <f>0.9*SUM(C5:C8)</f>
        <v>4680</v>
      </c>
    </row>
    <row r="23" spans="1:6" x14ac:dyDescent="0.55000000000000004">
      <c r="A23" s="99" t="s">
        <v>53</v>
      </c>
      <c r="B23" s="100"/>
      <c r="C23" s="220"/>
      <c r="D23" s="222">
        <f>C5+C7</f>
        <v>2600</v>
      </c>
      <c r="E23" s="221" t="s">
        <v>20</v>
      </c>
      <c r="F23" s="223">
        <f>0.5*SUM(C5:C8)</f>
        <v>2600</v>
      </c>
    </row>
    <row r="24" spans="1:6" x14ac:dyDescent="0.55000000000000004">
      <c r="A24" s="99" t="s">
        <v>31</v>
      </c>
      <c r="B24" s="100"/>
      <c r="C24" s="220"/>
      <c r="D24" s="85">
        <f>SUMPRODUCT(C5:C8,F5:F8)</f>
        <v>72465.900000000009</v>
      </c>
      <c r="E24" s="221" t="s">
        <v>17</v>
      </c>
      <c r="F24" s="85">
        <f>14*SUM(C5:C8)</f>
        <v>72800</v>
      </c>
    </row>
    <row r="25" spans="1:6" x14ac:dyDescent="0.55000000000000004">
      <c r="A25" s="99" t="s">
        <v>38</v>
      </c>
      <c r="B25" s="100"/>
      <c r="C25" s="220"/>
      <c r="D25" s="85">
        <f>C5</f>
        <v>2599</v>
      </c>
      <c r="E25" s="221" t="s">
        <v>17</v>
      </c>
      <c r="F25" s="85">
        <f>0.5*SUM(C5:C8)</f>
        <v>2600</v>
      </c>
    </row>
    <row r="26" spans="1:6" x14ac:dyDescent="0.55000000000000004">
      <c r="A26" s="99" t="s">
        <v>40</v>
      </c>
      <c r="B26" s="100"/>
      <c r="C26" s="220"/>
      <c r="D26" s="85">
        <f>C6</f>
        <v>1671</v>
      </c>
      <c r="E26" s="221" t="s">
        <v>17</v>
      </c>
      <c r="F26" s="85">
        <f>0.5*SUM(C5:C8)</f>
        <v>2600</v>
      </c>
    </row>
    <row r="27" spans="1:6" x14ac:dyDescent="0.55000000000000004">
      <c r="A27" s="99" t="s">
        <v>41</v>
      </c>
      <c r="B27" s="100"/>
      <c r="C27" s="220"/>
      <c r="D27" s="85">
        <f>C7</f>
        <v>1</v>
      </c>
      <c r="E27" s="221" t="s">
        <v>17</v>
      </c>
      <c r="F27" s="85">
        <f>0.5*SUM(C5:C8)</f>
        <v>2600</v>
      </c>
    </row>
    <row r="28" spans="1:6" x14ac:dyDescent="0.55000000000000004">
      <c r="A28" s="99" t="s">
        <v>42</v>
      </c>
      <c r="B28" s="100"/>
      <c r="C28" s="220"/>
      <c r="D28" s="85">
        <f>C8</f>
        <v>929</v>
      </c>
      <c r="E28" s="221" t="s">
        <v>17</v>
      </c>
      <c r="F28" s="85">
        <f>0.5*SUM(C5:C8)</f>
        <v>2600</v>
      </c>
    </row>
    <row r="29" spans="1:6" ht="24" thickBot="1" x14ac:dyDescent="0.6">
      <c r="A29" s="224" t="s">
        <v>48</v>
      </c>
      <c r="B29" s="225"/>
      <c r="C29" s="226"/>
      <c r="D29" s="227"/>
      <c r="E29" s="228"/>
      <c r="F29" s="227"/>
    </row>
  </sheetData>
  <mergeCells count="18">
    <mergeCell ref="A1:F1"/>
    <mergeCell ref="A19:C19"/>
    <mergeCell ref="A13:B14"/>
    <mergeCell ref="A11:D12"/>
    <mergeCell ref="C13:D14"/>
    <mergeCell ref="A17:F18"/>
    <mergeCell ref="A3:F3"/>
    <mergeCell ref="H4:J7"/>
    <mergeCell ref="A25:C25"/>
    <mergeCell ref="A26:C26"/>
    <mergeCell ref="A27:C27"/>
    <mergeCell ref="A28:C28"/>
    <mergeCell ref="A29:C29"/>
    <mergeCell ref="A20:C20"/>
    <mergeCell ref="A21:C21"/>
    <mergeCell ref="A22:C22"/>
    <mergeCell ref="A23:C23"/>
    <mergeCell ref="A24:C2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BF03-A7FC-4391-815E-792836DE275B}">
  <dimension ref="A1:J33"/>
  <sheetViews>
    <sheetView zoomScale="48" zoomScaleNormal="48" workbookViewId="0">
      <selection activeCell="J23" sqref="J23"/>
    </sheetView>
  </sheetViews>
  <sheetFormatPr defaultRowHeight="23.5" x14ac:dyDescent="0.55000000000000004"/>
  <cols>
    <col min="1" max="1" width="46.36328125" style="1" customWidth="1"/>
    <col min="2" max="2" width="8.7265625" style="1"/>
    <col min="3" max="3" width="18.08984375" style="1" customWidth="1"/>
    <col min="4" max="4" width="57.90625" style="1" customWidth="1"/>
    <col min="5" max="5" width="21.08984375" style="1" customWidth="1"/>
    <col min="6" max="6" width="18.81640625" style="1" customWidth="1"/>
    <col min="7" max="7" width="18.6328125" style="1" customWidth="1"/>
    <col min="8" max="8" width="49.7265625" style="1" customWidth="1"/>
    <col min="9" max="16384" width="8.7265625" style="1"/>
  </cols>
  <sheetData>
    <row r="1" spans="1:10" ht="24" customHeight="1" thickBot="1" x14ac:dyDescent="0.6">
      <c r="A1" s="294" t="s">
        <v>0</v>
      </c>
      <c r="B1" s="295"/>
      <c r="C1" s="295"/>
      <c r="D1" s="295"/>
      <c r="E1" s="295"/>
      <c r="F1" s="296"/>
      <c r="G1" s="73"/>
      <c r="H1" s="73"/>
      <c r="I1" s="73"/>
      <c r="J1" s="73"/>
    </row>
    <row r="2" spans="1:10" ht="24" thickBot="1" x14ac:dyDescent="0.6">
      <c r="A2" s="73"/>
      <c r="B2" s="73"/>
      <c r="C2" s="73"/>
      <c r="D2" s="73"/>
      <c r="E2" s="73"/>
      <c r="F2" s="73"/>
      <c r="G2" s="73"/>
      <c r="H2" s="73"/>
      <c r="I2" s="73"/>
      <c r="J2" s="73"/>
    </row>
    <row r="3" spans="1:10" ht="24" thickBot="1" x14ac:dyDescent="0.6">
      <c r="A3" s="179" t="s">
        <v>1</v>
      </c>
      <c r="B3" s="180"/>
      <c r="C3" s="180"/>
      <c r="D3" s="180"/>
      <c r="E3" s="180"/>
      <c r="F3" s="181"/>
      <c r="G3" s="73"/>
      <c r="H3" s="73"/>
      <c r="I3" s="73"/>
      <c r="J3" s="73"/>
    </row>
    <row r="4" spans="1:10" ht="31.5" thickBot="1" x14ac:dyDescent="0.6">
      <c r="A4" s="235"/>
      <c r="B4" s="78"/>
      <c r="C4" s="79"/>
      <c r="D4" s="236" t="s">
        <v>33</v>
      </c>
      <c r="E4" s="236" t="s">
        <v>34</v>
      </c>
      <c r="F4" s="257" t="s">
        <v>35</v>
      </c>
      <c r="G4" s="73"/>
      <c r="H4" s="274" t="s">
        <v>106</v>
      </c>
      <c r="I4" s="275"/>
      <c r="J4" s="276"/>
    </row>
    <row r="5" spans="1:10" x14ac:dyDescent="0.55000000000000004">
      <c r="A5" s="74" t="s">
        <v>2</v>
      </c>
      <c r="B5" s="238" t="s">
        <v>3</v>
      </c>
      <c r="C5" s="239">
        <v>2600</v>
      </c>
      <c r="D5" s="82">
        <v>0.99</v>
      </c>
      <c r="E5" s="82">
        <v>0.95</v>
      </c>
      <c r="F5" s="83">
        <v>15</v>
      </c>
      <c r="G5" s="73"/>
      <c r="H5" s="277"/>
      <c r="I5" s="278"/>
      <c r="J5" s="279"/>
    </row>
    <row r="6" spans="1:10" x14ac:dyDescent="0.55000000000000004">
      <c r="A6" s="75" t="s">
        <v>10</v>
      </c>
      <c r="B6" s="240" t="s">
        <v>7</v>
      </c>
      <c r="C6" s="241">
        <v>1300</v>
      </c>
      <c r="D6" s="85">
        <v>0.9</v>
      </c>
      <c r="E6" s="293">
        <v>0.8</v>
      </c>
      <c r="F6" s="86">
        <v>12.3</v>
      </c>
      <c r="G6" s="73"/>
      <c r="H6" s="277"/>
      <c r="I6" s="278"/>
      <c r="J6" s="279"/>
    </row>
    <row r="7" spans="1:10" ht="24" thickBot="1" x14ac:dyDescent="0.6">
      <c r="A7" s="75" t="s">
        <v>11</v>
      </c>
      <c r="B7" s="240" t="s">
        <v>8</v>
      </c>
      <c r="C7" s="241">
        <v>390</v>
      </c>
      <c r="D7" s="85">
        <v>0.95</v>
      </c>
      <c r="E7" s="85">
        <v>0.9</v>
      </c>
      <c r="F7" s="86">
        <v>14.5</v>
      </c>
      <c r="G7" s="73"/>
      <c r="H7" s="280"/>
      <c r="I7" s="281"/>
      <c r="J7" s="282"/>
    </row>
    <row r="8" spans="1:10" x14ac:dyDescent="0.55000000000000004">
      <c r="A8" s="285" t="s">
        <v>12</v>
      </c>
      <c r="B8" s="289" t="s">
        <v>9</v>
      </c>
      <c r="C8" s="287">
        <v>0</v>
      </c>
      <c r="D8" s="283">
        <v>0.9</v>
      </c>
      <c r="E8" s="283">
        <v>0.94</v>
      </c>
      <c r="F8" s="291">
        <v>13.9</v>
      </c>
      <c r="G8" s="73"/>
      <c r="H8" s="73"/>
      <c r="I8" s="73"/>
      <c r="J8" s="73"/>
    </row>
    <row r="9" spans="1:10" ht="24" thickBot="1" x14ac:dyDescent="0.6">
      <c r="A9" s="286" t="s">
        <v>77</v>
      </c>
      <c r="B9" s="290" t="s">
        <v>54</v>
      </c>
      <c r="C9" s="288">
        <v>910</v>
      </c>
      <c r="D9" s="284">
        <v>0.85</v>
      </c>
      <c r="E9" s="284">
        <v>0.9</v>
      </c>
      <c r="F9" s="292">
        <v>11</v>
      </c>
      <c r="G9" s="73"/>
      <c r="H9" s="73"/>
      <c r="I9" s="73"/>
      <c r="J9" s="73"/>
    </row>
    <row r="10" spans="1:10" ht="24" thickBot="1" x14ac:dyDescent="0.6">
      <c r="A10" s="73"/>
      <c r="B10" s="73"/>
      <c r="C10" s="73"/>
      <c r="D10" s="73"/>
      <c r="E10" s="248"/>
      <c r="F10" s="73"/>
      <c r="G10" s="73"/>
      <c r="H10" s="73"/>
      <c r="I10" s="73"/>
      <c r="J10" s="73"/>
    </row>
    <row r="11" spans="1:10" x14ac:dyDescent="0.55000000000000004">
      <c r="A11" s="91" t="s">
        <v>13</v>
      </c>
      <c r="B11" s="92"/>
      <c r="C11" s="92"/>
      <c r="D11" s="93"/>
      <c r="E11" s="248"/>
      <c r="F11" s="73"/>
      <c r="G11" s="73"/>
      <c r="H11" s="73"/>
      <c r="I11" s="73"/>
      <c r="J11" s="73"/>
    </row>
    <row r="12" spans="1:10" ht="24" thickBot="1" x14ac:dyDescent="0.6">
      <c r="A12" s="94"/>
      <c r="B12" s="95"/>
      <c r="C12" s="95"/>
      <c r="D12" s="96"/>
      <c r="E12" s="248"/>
      <c r="F12" s="73"/>
      <c r="G12" s="73"/>
      <c r="H12" s="73"/>
      <c r="I12" s="73"/>
      <c r="J12" s="73"/>
    </row>
    <row r="13" spans="1:10" x14ac:dyDescent="0.55000000000000004">
      <c r="A13" s="249" t="s">
        <v>36</v>
      </c>
      <c r="B13" s="250"/>
      <c r="C13" s="251">
        <f>SUMPRODUCT(C5:C9,F5:F9)</f>
        <v>70655</v>
      </c>
      <c r="D13" s="252"/>
      <c r="E13" s="248"/>
      <c r="F13" s="73"/>
      <c r="G13" s="73"/>
      <c r="H13" s="73"/>
      <c r="I13" s="73"/>
      <c r="J13" s="73"/>
    </row>
    <row r="14" spans="1:10" ht="24" thickBot="1" x14ac:dyDescent="0.6">
      <c r="A14" s="253"/>
      <c r="B14" s="254"/>
      <c r="C14" s="255"/>
      <c r="D14" s="256"/>
      <c r="E14" s="248"/>
      <c r="F14" s="73"/>
      <c r="G14" s="73"/>
      <c r="H14" s="73"/>
      <c r="I14" s="73"/>
      <c r="J14" s="73"/>
    </row>
    <row r="15" spans="1:10" ht="24" thickBot="1" x14ac:dyDescent="0.6">
      <c r="A15" s="73"/>
      <c r="B15" s="73"/>
      <c r="C15" s="73"/>
      <c r="D15" s="73"/>
      <c r="E15" s="73"/>
      <c r="F15" s="73"/>
      <c r="G15" s="73"/>
      <c r="H15" s="73"/>
      <c r="I15" s="73"/>
      <c r="J15" s="73"/>
    </row>
    <row r="16" spans="1:10" x14ac:dyDescent="0.55000000000000004">
      <c r="A16" s="210" t="s">
        <v>37</v>
      </c>
      <c r="B16" s="211"/>
      <c r="C16" s="211"/>
      <c r="D16" s="211"/>
      <c r="E16" s="211"/>
      <c r="F16" s="212"/>
      <c r="G16" s="73"/>
      <c r="H16" s="73"/>
      <c r="I16" s="73"/>
      <c r="J16" s="73"/>
    </row>
    <row r="17" spans="1:10" ht="24" thickBot="1" x14ac:dyDescent="0.6">
      <c r="A17" s="262"/>
      <c r="B17" s="263"/>
      <c r="C17" s="263"/>
      <c r="D17" s="263"/>
      <c r="E17" s="263"/>
      <c r="F17" s="264"/>
      <c r="G17" s="73"/>
      <c r="H17" s="73"/>
      <c r="I17" s="73"/>
      <c r="J17" s="73"/>
    </row>
    <row r="18" spans="1:10" ht="24" thickBot="1" x14ac:dyDescent="0.6">
      <c r="A18" s="265"/>
      <c r="B18" s="266"/>
      <c r="C18" s="301"/>
      <c r="D18" s="79" t="s">
        <v>46</v>
      </c>
      <c r="E18" s="78"/>
      <c r="F18" s="80" t="s">
        <v>47</v>
      </c>
      <c r="G18" s="73"/>
      <c r="H18" s="73"/>
      <c r="I18" s="73"/>
      <c r="J18" s="73"/>
    </row>
    <row r="19" spans="1:10" x14ac:dyDescent="0.55000000000000004">
      <c r="A19" s="298" t="s">
        <v>16</v>
      </c>
      <c r="B19" s="299"/>
      <c r="C19" s="300"/>
      <c r="D19" s="81">
        <f>SUM(C5:C9)</f>
        <v>5200</v>
      </c>
      <c r="E19" s="297" t="s">
        <v>20</v>
      </c>
      <c r="F19" s="83">
        <v>5200</v>
      </c>
      <c r="G19" s="73"/>
      <c r="H19" s="73"/>
      <c r="I19" s="73"/>
      <c r="J19" s="73"/>
    </row>
    <row r="20" spans="1:10" x14ac:dyDescent="0.55000000000000004">
      <c r="A20" s="325" t="s">
        <v>19</v>
      </c>
      <c r="B20" s="326"/>
      <c r="C20" s="327"/>
      <c r="D20" s="328">
        <f>SUMPRODUCT(C5:C9,D5:D9)</f>
        <v>4888</v>
      </c>
      <c r="E20" s="240" t="s">
        <v>20</v>
      </c>
      <c r="F20" s="329">
        <f>0.94*SUM(C5:C9)</f>
        <v>4888</v>
      </c>
      <c r="G20" s="73"/>
      <c r="H20" s="73"/>
      <c r="I20" s="73"/>
      <c r="J20" s="73"/>
    </row>
    <row r="21" spans="1:10" x14ac:dyDescent="0.55000000000000004">
      <c r="A21" s="99" t="s">
        <v>27</v>
      </c>
      <c r="B21" s="100"/>
      <c r="C21" s="101"/>
      <c r="D21" s="84">
        <f>SUMPRODUCT(C5:C9,E5:E9)</f>
        <v>4680</v>
      </c>
      <c r="E21" s="76" t="s">
        <v>20</v>
      </c>
      <c r="F21" s="86">
        <f>0.9*SUM(C5:C9)</f>
        <v>4680</v>
      </c>
      <c r="G21" s="73"/>
      <c r="H21" s="73"/>
      <c r="I21" s="73"/>
      <c r="J21" s="73"/>
    </row>
    <row r="22" spans="1:10" x14ac:dyDescent="0.55000000000000004">
      <c r="A22" s="325" t="s">
        <v>53</v>
      </c>
      <c r="B22" s="326"/>
      <c r="C22" s="327"/>
      <c r="D22" s="330">
        <f>C5+C7</f>
        <v>2990</v>
      </c>
      <c r="E22" s="240" t="s">
        <v>20</v>
      </c>
      <c r="F22" s="331">
        <f>0.5*SUM(C5:C9)</f>
        <v>2600</v>
      </c>
      <c r="G22" s="73"/>
      <c r="H22" s="73"/>
      <c r="I22" s="73"/>
      <c r="J22" s="73"/>
    </row>
    <row r="23" spans="1:10" x14ac:dyDescent="0.55000000000000004">
      <c r="A23" s="99" t="s">
        <v>31</v>
      </c>
      <c r="B23" s="100"/>
      <c r="C23" s="101"/>
      <c r="D23" s="84">
        <f>SUMPRODUCT(C5:C9,F5:F9)</f>
        <v>70655</v>
      </c>
      <c r="E23" s="76" t="s">
        <v>17</v>
      </c>
      <c r="F23" s="86">
        <f>14*SUM(C5:C9)</f>
        <v>72800</v>
      </c>
      <c r="G23" s="73"/>
      <c r="H23" s="73"/>
      <c r="I23" s="73"/>
      <c r="J23" s="73"/>
    </row>
    <row r="24" spans="1:10" x14ac:dyDescent="0.55000000000000004">
      <c r="A24" s="99" t="s">
        <v>38</v>
      </c>
      <c r="B24" s="100"/>
      <c r="C24" s="101"/>
      <c r="D24" s="84">
        <f>C5</f>
        <v>2600</v>
      </c>
      <c r="E24" s="76" t="s">
        <v>17</v>
      </c>
      <c r="F24" s="86">
        <f>0.5*SUM(C5:C9)</f>
        <v>2600</v>
      </c>
      <c r="G24" s="73"/>
      <c r="H24" s="73"/>
      <c r="I24" s="73"/>
      <c r="J24" s="73"/>
    </row>
    <row r="25" spans="1:10" x14ac:dyDescent="0.55000000000000004">
      <c r="A25" s="99" t="s">
        <v>40</v>
      </c>
      <c r="B25" s="100"/>
      <c r="C25" s="101"/>
      <c r="D25" s="84">
        <f>C6</f>
        <v>1300</v>
      </c>
      <c r="E25" s="76" t="s">
        <v>17</v>
      </c>
      <c r="F25" s="86">
        <f>0.5*SUM(C5:C9)</f>
        <v>2600</v>
      </c>
      <c r="G25" s="73"/>
      <c r="H25" s="73"/>
      <c r="I25" s="73"/>
      <c r="J25" s="73"/>
    </row>
    <row r="26" spans="1:10" x14ac:dyDescent="0.55000000000000004">
      <c r="A26" s="99" t="s">
        <v>41</v>
      </c>
      <c r="B26" s="100"/>
      <c r="C26" s="101"/>
      <c r="D26" s="84">
        <f>C7</f>
        <v>390</v>
      </c>
      <c r="E26" s="76" t="s">
        <v>17</v>
      </c>
      <c r="F26" s="86">
        <f>0.5*SUM(C5:C9)</f>
        <v>2600</v>
      </c>
      <c r="G26" s="73"/>
      <c r="H26" s="73"/>
      <c r="I26" s="73"/>
      <c r="J26" s="73"/>
    </row>
    <row r="27" spans="1:10" x14ac:dyDescent="0.55000000000000004">
      <c r="A27" s="99" t="s">
        <v>42</v>
      </c>
      <c r="B27" s="100"/>
      <c r="C27" s="101"/>
      <c r="D27" s="84">
        <f>C8</f>
        <v>0</v>
      </c>
      <c r="E27" s="76" t="s">
        <v>17</v>
      </c>
      <c r="F27" s="86">
        <f>0.5*SUM(C5:C9)</f>
        <v>2600</v>
      </c>
      <c r="G27" s="73"/>
      <c r="H27" s="73"/>
      <c r="I27" s="73"/>
      <c r="J27" s="73"/>
    </row>
    <row r="28" spans="1:10" x14ac:dyDescent="0.55000000000000004">
      <c r="A28" s="99" t="s">
        <v>55</v>
      </c>
      <c r="B28" s="100"/>
      <c r="C28" s="101"/>
      <c r="D28" s="84">
        <f>C9</f>
        <v>910</v>
      </c>
      <c r="E28" s="76" t="s">
        <v>17</v>
      </c>
      <c r="F28" s="86">
        <f>0.5*SUM(C5:C9)</f>
        <v>2600</v>
      </c>
      <c r="G28" s="73"/>
      <c r="H28" s="73"/>
      <c r="I28" s="73"/>
      <c r="J28" s="73"/>
    </row>
    <row r="29" spans="1:10" ht="24" thickBot="1" x14ac:dyDescent="0.6">
      <c r="A29" s="224" t="s">
        <v>48</v>
      </c>
      <c r="B29" s="225"/>
      <c r="C29" s="343"/>
      <c r="D29" s="228"/>
      <c r="E29" s="227"/>
      <c r="F29" s="102"/>
      <c r="G29" s="73"/>
      <c r="H29" s="73"/>
      <c r="I29" s="73"/>
      <c r="J29" s="73"/>
    </row>
    <row r="30" spans="1:10" ht="24" thickBot="1" x14ac:dyDescent="0.6">
      <c r="A30" s="334"/>
      <c r="B30" s="334"/>
      <c r="C30" s="334"/>
      <c r="D30" s="335"/>
      <c r="E30" s="335"/>
      <c r="F30" s="335"/>
      <c r="G30" s="73"/>
      <c r="H30" s="73"/>
      <c r="I30" s="73"/>
      <c r="J30" s="73"/>
    </row>
    <row r="31" spans="1:10" ht="24" thickBot="1" x14ac:dyDescent="0.6">
      <c r="A31" s="336" t="s">
        <v>123</v>
      </c>
      <c r="B31" s="337"/>
      <c r="C31" s="338"/>
      <c r="G31" s="73"/>
      <c r="H31" s="73"/>
      <c r="I31" s="73"/>
      <c r="J31" s="73"/>
    </row>
    <row r="32" spans="1:10" x14ac:dyDescent="0.55000000000000004">
      <c r="A32" s="332" t="s">
        <v>56</v>
      </c>
      <c r="B32" s="341"/>
      <c r="C32" s="339">
        <v>0.93999999761581421</v>
      </c>
      <c r="G32" s="73"/>
      <c r="H32" s="73"/>
      <c r="I32" s="73"/>
      <c r="J32" s="73"/>
    </row>
    <row r="33" spans="1:3" ht="24" thickBot="1" x14ac:dyDescent="0.6">
      <c r="A33" s="333" t="s">
        <v>62</v>
      </c>
      <c r="B33" s="342"/>
      <c r="C33" s="340">
        <v>0.5</v>
      </c>
    </row>
  </sheetData>
  <mergeCells count="22">
    <mergeCell ref="A32:B32"/>
    <mergeCell ref="A33:B33"/>
    <mergeCell ref="A31:C31"/>
    <mergeCell ref="A21:C21"/>
    <mergeCell ref="A22:C22"/>
    <mergeCell ref="A3:F3"/>
    <mergeCell ref="H4:J7"/>
    <mergeCell ref="A1:F1"/>
    <mergeCell ref="A13:B14"/>
    <mergeCell ref="A11:D12"/>
    <mergeCell ref="A16:F17"/>
    <mergeCell ref="C13:D14"/>
    <mergeCell ref="A28:C28"/>
    <mergeCell ref="A23:C23"/>
    <mergeCell ref="A24:C24"/>
    <mergeCell ref="A25:C25"/>
    <mergeCell ref="A26:C26"/>
    <mergeCell ref="A27:C27"/>
    <mergeCell ref="A29:C29"/>
    <mergeCell ref="A18:C18"/>
    <mergeCell ref="A19:C19"/>
    <mergeCell ref="A20:C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F20F-8B1D-4497-A43D-688FB767C3F0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83</v>
      </c>
    </row>
    <row r="3" spans="1:2" x14ac:dyDescent="0.35">
      <c r="A3">
        <v>1</v>
      </c>
    </row>
    <row r="4" spans="1:2" x14ac:dyDescent="0.35">
      <c r="A4">
        <v>4400</v>
      </c>
    </row>
    <row r="5" spans="1:2" x14ac:dyDescent="0.35">
      <c r="A5">
        <v>6000</v>
      </c>
    </row>
    <row r="6" spans="1:2" x14ac:dyDescent="0.35">
      <c r="A6">
        <v>50</v>
      </c>
    </row>
    <row r="8" spans="1:2" x14ac:dyDescent="0.35">
      <c r="A8" s="2"/>
      <c r="B8" s="2"/>
    </row>
    <row r="9" spans="1:2" x14ac:dyDescent="0.35">
      <c r="A9" t="s">
        <v>84</v>
      </c>
    </row>
    <row r="10" spans="1:2" x14ac:dyDescent="0.35">
      <c r="A10" t="s">
        <v>85</v>
      </c>
    </row>
    <row r="15" spans="1:2" x14ac:dyDescent="0.35">
      <c r="B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C80F-DE1C-424E-81D3-8606FF99022F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57</v>
      </c>
    </row>
    <row r="3" spans="1:2" x14ac:dyDescent="0.35">
      <c r="A3">
        <v>1</v>
      </c>
    </row>
    <row r="4" spans="1:2" x14ac:dyDescent="0.35">
      <c r="A4">
        <v>0.4</v>
      </c>
    </row>
    <row r="5" spans="1:2" x14ac:dyDescent="0.35">
      <c r="A5">
        <v>1</v>
      </c>
    </row>
    <row r="6" spans="1:2" x14ac:dyDescent="0.35">
      <c r="A6">
        <v>0.01</v>
      </c>
    </row>
    <row r="8" spans="1:2" x14ac:dyDescent="0.35">
      <c r="A8" s="2"/>
      <c r="B8" s="2"/>
    </row>
    <row r="9" spans="1:2" x14ac:dyDescent="0.35">
      <c r="A9" t="s">
        <v>63</v>
      </c>
    </row>
    <row r="10" spans="1:2" x14ac:dyDescent="0.35">
      <c r="A10" t="s">
        <v>64</v>
      </c>
    </row>
    <row r="15" spans="1:2" x14ac:dyDescent="0.35">
      <c r="B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LP Model Formulation</vt:lpstr>
      <vt:lpstr>Case1</vt:lpstr>
      <vt:lpstr>Case2</vt:lpstr>
      <vt:lpstr>Case2_Sensitivity_Qty_lmt</vt:lpstr>
      <vt:lpstr>Case3</vt:lpstr>
      <vt:lpstr>Case4</vt:lpstr>
      <vt:lpstr>STS_2</vt:lpstr>
      <vt:lpstr>STS_1</vt:lpstr>
      <vt:lpstr>Sheet22</vt:lpstr>
      <vt:lpstr>Case2_Sensitivity_Qty_lmt!ChartData</vt:lpstr>
      <vt:lpstr>STS_1!ChartData</vt:lpstr>
      <vt:lpstr>STS_2!ChartData</vt:lpstr>
      <vt:lpstr>Case2_Sensitivity_Qty_lmt!InputValues</vt:lpstr>
      <vt:lpstr>STS_1!InputValues</vt:lpstr>
      <vt:lpstr>STS_2!InputValues</vt:lpstr>
      <vt:lpstr>Case2_Sensitivity_Qty_lmt!OutputAddresses</vt:lpstr>
      <vt:lpstr>STS_1!OutputAddresses</vt:lpstr>
      <vt:lpstr>STS_2!OutputAddresses</vt:lpstr>
      <vt:lpstr>Case2_Sensitivity_Qty_lmt!OutputValues</vt:lpstr>
      <vt:lpstr>STS_1!OutputValues</vt:lpstr>
      <vt:lpstr>STS_2!OutputValues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STSC</dc:creator>
  <cp:lastModifiedBy>STSC</cp:lastModifiedBy>
  <dcterms:created xsi:type="dcterms:W3CDTF">2023-03-08T22:41:44Z</dcterms:created>
  <dcterms:modified xsi:type="dcterms:W3CDTF">2023-03-13T05:40:40Z</dcterms:modified>
</cp:coreProperties>
</file>