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BFF64D84-D1E9-4293-AB6B-8BFE5A0E7704}" xr6:coauthVersionLast="47" xr6:coauthVersionMax="47" xr10:uidLastSave="{00000000-0000-0000-0000-000000000000}"/>
  <bookViews>
    <workbookView xWindow="-120" yWindow="-120" windowWidth="20730" windowHeight="11160" tabRatio="744" firstSheet="167" activeTab="174" xr2:uid="{C5E1A72F-14CB-4EED-B701-9C3C3E76683F}"/>
  </bookViews>
  <sheets>
    <sheet name="AUGUST 2025" sheetId="128" r:id="rId1"/>
    <sheet name="FOR CV" sheetId="127" r:id="rId2"/>
    <sheet name="PCV20843" sheetId="318" r:id="rId3"/>
    <sheet name="PCV20844" sheetId="334" r:id="rId4"/>
    <sheet name="PCV20845" sheetId="335" r:id="rId5"/>
    <sheet name="PCV20846" sheetId="336" r:id="rId6"/>
    <sheet name="PCV20847" sheetId="338" r:id="rId7"/>
    <sheet name="PCV20848" sheetId="340" r:id="rId8"/>
    <sheet name="PCV20849" sheetId="341" r:id="rId9"/>
    <sheet name="PCV20850" sheetId="342" r:id="rId10"/>
    <sheet name="PCV20851" sheetId="343" r:id="rId11"/>
    <sheet name="PCV20852" sheetId="344" r:id="rId12"/>
    <sheet name="PCV20853" sheetId="345" r:id="rId13"/>
    <sheet name="PCV20854" sheetId="346" r:id="rId14"/>
    <sheet name="PCV20855" sheetId="347" r:id="rId15"/>
    <sheet name="PCV20856" sheetId="348" r:id="rId16"/>
    <sheet name="PCV20857" sheetId="349" r:id="rId17"/>
    <sheet name="PCV20858" sheetId="350" r:id="rId18"/>
    <sheet name="PCV20859" sheetId="232" r:id="rId19"/>
    <sheet name="PCV20860" sheetId="233" r:id="rId20"/>
    <sheet name="PCV20861" sheetId="234" r:id="rId21"/>
    <sheet name="PCV20862" sheetId="235" r:id="rId22"/>
    <sheet name="PCV20863" sheetId="236" r:id="rId23"/>
    <sheet name="PCV20864" sheetId="237" r:id="rId24"/>
    <sheet name="PCV20865" sheetId="238" r:id="rId25"/>
    <sheet name="PCV20866" sheetId="240" r:id="rId26"/>
    <sheet name="PCV20867" sheetId="239" r:id="rId27"/>
    <sheet name="PCV20868" sheetId="241" r:id="rId28"/>
    <sheet name="PCV20869" sheetId="242" r:id="rId29"/>
    <sheet name="PCV20870" sheetId="243" r:id="rId30"/>
    <sheet name="PCV20871" sheetId="244" r:id="rId31"/>
    <sheet name="PCV20872" sheetId="245" r:id="rId32"/>
    <sheet name="PCV20873" sheetId="246" r:id="rId33"/>
    <sheet name="PCV20874" sheetId="330" r:id="rId34"/>
    <sheet name="PCV20875" sheetId="332" r:id="rId35"/>
    <sheet name="PCV20876" sheetId="333" r:id="rId36"/>
    <sheet name="PCV20877" sheetId="247" r:id="rId37"/>
    <sheet name="PCV20878" sheetId="248" r:id="rId38"/>
    <sheet name="PCV20879" sheetId="361" r:id="rId39"/>
    <sheet name="PCV20880" sheetId="250" r:id="rId40"/>
    <sheet name="PCV20881" sheetId="251" r:id="rId41"/>
    <sheet name="PCV20882" sheetId="252" r:id="rId42"/>
    <sheet name="PCV20883" sheetId="269" r:id="rId43"/>
    <sheet name="PCV20884" sheetId="270" r:id="rId44"/>
    <sheet name="PCV20885" sheetId="271" r:id="rId45"/>
    <sheet name="PCV20886" sheetId="272" r:id="rId46"/>
    <sheet name="PCV20887" sheetId="273" r:id="rId47"/>
    <sheet name="PCV20888" sheetId="274" r:id="rId48"/>
    <sheet name="PCV20889" sheetId="275" r:id="rId49"/>
    <sheet name="PCV20890" sheetId="284" r:id="rId50"/>
    <sheet name="PCV20891" sheetId="287" r:id="rId51"/>
    <sheet name="PCV20892" sheetId="288" r:id="rId52"/>
    <sheet name="PCV20893" sheetId="362" r:id="rId53"/>
    <sheet name="PCV20894" sheetId="277" r:id="rId54"/>
    <sheet name="PCV20895" sheetId="278" r:id="rId55"/>
    <sheet name="PCV20896" sheetId="279" r:id="rId56"/>
    <sheet name="PCV20897" sheetId="280" r:id="rId57"/>
    <sheet name="PCV20898" sheetId="281" r:id="rId58"/>
    <sheet name="PCV20899" sheetId="282" r:id="rId59"/>
    <sheet name="PCV20900" sheetId="283" r:id="rId60"/>
    <sheet name="PCV20901" sheetId="291" r:id="rId61"/>
    <sheet name="PCV20902" sheetId="292" r:id="rId62"/>
    <sheet name="PCV20903" sheetId="293" r:id="rId63"/>
    <sheet name="PCV20904" sheetId="295" r:id="rId64"/>
    <sheet name="PCV20905" sheetId="294" r:id="rId65"/>
    <sheet name="PCV20906" sheetId="296" r:id="rId66"/>
    <sheet name="PCV20907" sheetId="297" r:id="rId67"/>
    <sheet name="PCV20908" sheetId="298" r:id="rId68"/>
    <sheet name="PCV20909" sheetId="299" r:id="rId69"/>
    <sheet name="PCV20910" sheetId="300" r:id="rId70"/>
    <sheet name="PCV20911" sheetId="351" r:id="rId71"/>
    <sheet name="PCV20912" sheetId="352" r:id="rId72"/>
    <sheet name="PCV20913" sheetId="353" r:id="rId73"/>
    <sheet name="PCV20914" sheetId="354" r:id="rId74"/>
    <sheet name="PCV20915" sheetId="355" r:id="rId75"/>
    <sheet name="PCV20916" sheetId="356" r:id="rId76"/>
    <sheet name="PCV20917" sheetId="357" r:id="rId77"/>
    <sheet name="PCV20918" sheetId="276" r:id="rId78"/>
    <sheet name="PCV20919" sheetId="358" r:id="rId79"/>
    <sheet name="PCV20920" sheetId="359" r:id="rId80"/>
    <sheet name="PCV20921" sheetId="290" r:id="rId81"/>
    <sheet name="PCV20922" sheetId="301" r:id="rId82"/>
    <sheet name="PCV20923" sheetId="360" r:id="rId83"/>
    <sheet name="PCV20924" sheetId="303" r:id="rId84"/>
    <sheet name="PCV20925" sheetId="304" r:id="rId85"/>
    <sheet name="PCV20926" sheetId="305" r:id="rId86"/>
    <sheet name="PCV20927" sheetId="321" r:id="rId87"/>
    <sheet name="PCV20928" sheetId="322" r:id="rId88"/>
    <sheet name="PCV20929" sheetId="323" r:id="rId89"/>
    <sheet name="PCV20930" sheetId="387" r:id="rId90"/>
    <sheet name="PCV20931" sheetId="392" r:id="rId91"/>
    <sheet name="PCV20932" sheetId="391" r:id="rId92"/>
    <sheet name="PCV20933" sheetId="260" r:id="rId93"/>
    <sheet name="PCV20934" sheetId="261" r:id="rId94"/>
    <sheet name="PCV20935" sheetId="262" r:id="rId95"/>
    <sheet name="PCV20936" sheetId="263" r:id="rId96"/>
    <sheet name="PCV20937" sheetId="365" r:id="rId97"/>
    <sheet name="PCV20938" sheetId="366" r:id="rId98"/>
    <sheet name="PCV20939" sheetId="367" r:id="rId99"/>
    <sheet name="PCV20940" sheetId="368" r:id="rId100"/>
    <sheet name="PCV20941" sheetId="369" r:id="rId101"/>
    <sheet name="PCV20942" sheetId="264" r:id="rId102"/>
    <sheet name="PCV20943" sheetId="265" r:id="rId103"/>
    <sheet name="PCV20944" sheetId="266" r:id="rId104"/>
    <sheet name="PCV20945" sheetId="371" r:id="rId105"/>
    <sheet name="PCV20946" sheetId="372" r:id="rId106"/>
    <sheet name="PCV20947" sheetId="373" r:id="rId107"/>
    <sheet name="PCV20948" sheetId="374" r:id="rId108"/>
    <sheet name="PCV20949" sheetId="375" r:id="rId109"/>
    <sheet name="PCV20950" sheetId="379" r:id="rId110"/>
    <sheet name="PCV20951" sheetId="381" r:id="rId111"/>
    <sheet name="PCV20952" sheetId="377" r:id="rId112"/>
    <sheet name="PCV20953" sheetId="378" r:id="rId113"/>
    <sheet name="PCV20954" sheetId="430" r:id="rId114"/>
    <sheet name="PCV20955" sheetId="435" r:id="rId115"/>
    <sheet name="PCV20956" sheetId="436" r:id="rId116"/>
    <sheet name="PCV20957" sheetId="437" r:id="rId117"/>
    <sheet name="PCV20958" sheetId="438" r:id="rId118"/>
    <sheet name="PCV20959" sheetId="385" r:id="rId119"/>
    <sheet name="PCV20960" sheetId="384" r:id="rId120"/>
    <sheet name="PCV20961" sheetId="386" r:id="rId121"/>
    <sheet name="PCV20962" sheetId="394" r:id="rId122"/>
    <sheet name="PCV20963" sheetId="395" r:id="rId123"/>
    <sheet name="PCV20964" sheetId="428" r:id="rId124"/>
    <sheet name="PCV20965" sheetId="429" r:id="rId125"/>
    <sheet name="PCV20966" sheetId="431" r:id="rId126"/>
    <sheet name="PCV20967" sheetId="393" r:id="rId127"/>
    <sheet name="PCV20968" sheetId="433" r:id="rId128"/>
    <sheet name="PCV20969" sheetId="432" r:id="rId129"/>
    <sheet name="PCV20970" sheetId="324" r:id="rId130"/>
    <sheet name="PCV20971" sheetId="325" r:id="rId131"/>
    <sheet name="PCV20972" sheetId="326" r:id="rId132"/>
    <sheet name="PCV20973" sheetId="327" r:id="rId133"/>
    <sheet name="PCV20974" sheetId="328" r:id="rId134"/>
    <sheet name="PCV20975" sheetId="329" r:id="rId135"/>
    <sheet name="PCV20976" sheetId="253" r:id="rId136"/>
    <sheet name="PCV20977" sheetId="254" r:id="rId137"/>
    <sheet name="PCV20978" sheetId="255" r:id="rId138"/>
    <sheet name="PCV20979" sheetId="256" r:id="rId139"/>
    <sheet name="PCV20980" sheetId="257" r:id="rId140"/>
    <sheet name="PCV20981- NO RR" sheetId="259" r:id="rId141"/>
    <sheet name="PCV20982" sheetId="396" r:id="rId142"/>
    <sheet name="PCV20983" sheetId="397" r:id="rId143"/>
    <sheet name="PCV20984" sheetId="398" r:id="rId144"/>
    <sheet name="PCV20985" sheetId="400" r:id="rId145"/>
    <sheet name="PCV20986" sheetId="399" r:id="rId146"/>
    <sheet name="PCV20987" sheetId="388" r:id="rId147"/>
    <sheet name="PCV20988" sheetId="401" r:id="rId148"/>
    <sheet name="PCV20989" sheetId="402" r:id="rId149"/>
    <sheet name="PCV20990" sheetId="403" r:id="rId150"/>
    <sheet name="PCV20991" sheetId="404" r:id="rId151"/>
    <sheet name="PCV20992" sheetId="405" r:id="rId152"/>
    <sheet name="PCV20993" sheetId="406" r:id="rId153"/>
    <sheet name="PCV20994" sheetId="407" r:id="rId154"/>
    <sheet name="PCV20995" sheetId="408" r:id="rId155"/>
    <sheet name="PCV20996" sheetId="409" r:id="rId156"/>
    <sheet name="PCV20997" sheetId="410" r:id="rId157"/>
    <sheet name="PCV20998" sheetId="411" r:id="rId158"/>
    <sheet name="PCV20999" sheetId="412" r:id="rId159"/>
    <sheet name="PCV21000" sheetId="413" r:id="rId160"/>
    <sheet name="PCV21001" sheetId="414" r:id="rId161"/>
    <sheet name="PCV21002" sheetId="415" r:id="rId162"/>
    <sheet name="PCV21003" sheetId="416" r:id="rId163"/>
    <sheet name="PCV21004" sheetId="417" r:id="rId164"/>
    <sheet name="PCV21005" sheetId="418" r:id="rId165"/>
    <sheet name="PCV21006" sheetId="419" r:id="rId166"/>
    <sheet name="PCV21007" sheetId="420" r:id="rId167"/>
    <sheet name="PCV21008" sheetId="421" r:id="rId168"/>
    <sheet name="PCV21009" sheetId="422" r:id="rId169"/>
    <sheet name="PCV21010" sheetId="423" r:id="rId170"/>
    <sheet name="PCV21011" sheetId="424" r:id="rId171"/>
    <sheet name="PCV21012" sheetId="425" r:id="rId172"/>
    <sheet name="PCV21013" sheetId="426" r:id="rId173"/>
    <sheet name="PCV21014" sheetId="427" r:id="rId174"/>
    <sheet name="PCV21015" sheetId="389" r:id="rId175"/>
    <sheet name="--------LAST-------" sheetId="390" r:id="rId176"/>
  </sheets>
  <definedNames>
    <definedName name="_xlnm.Print_Area" localSheetId="0">'AUGUST 2025'!#REF!</definedName>
    <definedName name="_xlnm.Print_Area" localSheetId="1">'FOR CV'!$A$1:$N$149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7" i="425" l="1"/>
  <c r="N7" i="425" s="1"/>
  <c r="D12" i="412"/>
  <c r="F12" i="412"/>
  <c r="F11" i="412"/>
  <c r="S7" i="412"/>
  <c r="T7" i="412"/>
  <c r="U7" i="412"/>
  <c r="V7" i="412"/>
  <c r="W7" i="412"/>
  <c r="X7" i="412"/>
  <c r="Y7" i="412"/>
  <c r="Z7" i="412"/>
  <c r="AA7" i="412"/>
  <c r="AB7" i="412"/>
  <c r="AC7" i="412"/>
  <c r="AD7" i="412"/>
  <c r="AE7" i="412"/>
  <c r="AF7" i="412"/>
  <c r="AG7" i="412"/>
  <c r="AH7" i="412"/>
  <c r="AI7" i="412"/>
  <c r="AJ7" i="412"/>
  <c r="AK7" i="412"/>
  <c r="AL7" i="412"/>
  <c r="AM7" i="412"/>
  <c r="AN7" i="412"/>
  <c r="AO7" i="412"/>
  <c r="AP7" i="412"/>
  <c r="AQ7" i="412"/>
  <c r="AR7" i="412"/>
  <c r="AS7" i="412"/>
  <c r="AT7" i="412"/>
  <c r="BA488" i="128"/>
  <c r="AG488" i="128"/>
  <c r="AE488" i="128"/>
  <c r="CT487" i="128"/>
  <c r="CS487" i="128"/>
  <c r="CR487" i="128"/>
  <c r="CQ487" i="128"/>
  <c r="CP487" i="128"/>
  <c r="CO487" i="128"/>
  <c r="CN487" i="128"/>
  <c r="CM487" i="128"/>
  <c r="CL487" i="128"/>
  <c r="CK487" i="128"/>
  <c r="CJ487" i="128"/>
  <c r="CI487" i="128"/>
  <c r="CH487" i="128"/>
  <c r="CG487" i="128"/>
  <c r="CF487" i="128"/>
  <c r="CE487" i="128"/>
  <c r="CD487" i="128"/>
  <c r="CC487" i="128"/>
  <c r="CB487" i="128"/>
  <c r="CA487" i="128"/>
  <c r="BZ487" i="128"/>
  <c r="BY487" i="128"/>
  <c r="BX487" i="128"/>
  <c r="BW487" i="128"/>
  <c r="BV487" i="128"/>
  <c r="BU487" i="128"/>
  <c r="BT487" i="128"/>
  <c r="BS487" i="128"/>
  <c r="BR487" i="128"/>
  <c r="BQ487" i="128"/>
  <c r="BP487" i="128"/>
  <c r="BO487" i="128"/>
  <c r="BN487" i="128"/>
  <c r="BM487" i="128"/>
  <c r="BL487" i="128"/>
  <c r="BK487" i="128"/>
  <c r="BJ487" i="128"/>
  <c r="BI487" i="128"/>
  <c r="BH487" i="128"/>
  <c r="BG487" i="128"/>
  <c r="BF487" i="128"/>
  <c r="BE487" i="128"/>
  <c r="BD487" i="128"/>
  <c r="BC487" i="128"/>
  <c r="BB487" i="128"/>
  <c r="AZ487" i="128"/>
  <c r="AY487" i="128"/>
  <c r="AX487" i="128"/>
  <c r="AW487" i="128"/>
  <c r="AV487" i="128"/>
  <c r="AU487" i="128"/>
  <c r="AT487" i="128"/>
  <c r="AS487" i="128"/>
  <c r="AR487" i="128"/>
  <c r="AQ487" i="128"/>
  <c r="AP487" i="128"/>
  <c r="AO487" i="128"/>
  <c r="AN487" i="128"/>
  <c r="AM487" i="128"/>
  <c r="AL487" i="128"/>
  <c r="AK487" i="128"/>
  <c r="AJ487" i="128"/>
  <c r="AI487" i="128"/>
  <c r="AH487" i="128"/>
  <c r="AF487" i="128"/>
  <c r="AD487" i="128"/>
  <c r="AC487" i="128"/>
  <c r="AB487" i="128"/>
  <c r="AA487" i="128"/>
  <c r="Z487" i="128"/>
  <c r="Y487" i="128"/>
  <c r="X487" i="128"/>
  <c r="W487" i="128"/>
  <c r="V487" i="128"/>
  <c r="U487" i="128"/>
  <c r="T487" i="128"/>
  <c r="S487" i="128"/>
  <c r="M487" i="128"/>
  <c r="N487" i="128" s="1"/>
  <c r="M486" i="128"/>
  <c r="CT485" i="128"/>
  <c r="CS485" i="128"/>
  <c r="CR485" i="128"/>
  <c r="CQ485" i="128"/>
  <c r="CP485" i="128"/>
  <c r="CO485" i="128"/>
  <c r="CN485" i="128"/>
  <c r="CM485" i="128"/>
  <c r="CL485" i="128"/>
  <c r="CK485" i="128"/>
  <c r="CJ485" i="128"/>
  <c r="CI485" i="128"/>
  <c r="CH485" i="128"/>
  <c r="CG485" i="128"/>
  <c r="CF485" i="128"/>
  <c r="CE485" i="128"/>
  <c r="CD485" i="128"/>
  <c r="CC485" i="128"/>
  <c r="CB485" i="128"/>
  <c r="CA485" i="128"/>
  <c r="BZ485" i="128"/>
  <c r="BY485" i="128"/>
  <c r="BX485" i="128"/>
  <c r="BW485" i="128"/>
  <c r="BV485" i="128"/>
  <c r="BU485" i="128"/>
  <c r="BT485" i="128"/>
  <c r="BS485" i="128"/>
  <c r="BR485" i="128"/>
  <c r="BQ485" i="128"/>
  <c r="BP485" i="128"/>
  <c r="BO485" i="128"/>
  <c r="BN485" i="128"/>
  <c r="BM485" i="128"/>
  <c r="BL485" i="128"/>
  <c r="BK485" i="128"/>
  <c r="BJ485" i="128"/>
  <c r="BI485" i="128"/>
  <c r="BH485" i="128"/>
  <c r="BG485" i="128"/>
  <c r="BF485" i="128"/>
  <c r="BE485" i="128"/>
  <c r="BD485" i="128"/>
  <c r="BC485" i="128"/>
  <c r="BB485" i="128"/>
  <c r="AZ485" i="128"/>
  <c r="AY485" i="128"/>
  <c r="AX485" i="128"/>
  <c r="AW485" i="128"/>
  <c r="AV485" i="128"/>
  <c r="AU485" i="128"/>
  <c r="AT485" i="128"/>
  <c r="AS485" i="128"/>
  <c r="AR485" i="128"/>
  <c r="AQ485" i="128"/>
  <c r="AP485" i="128"/>
  <c r="AO485" i="128"/>
  <c r="AN485" i="128"/>
  <c r="AM485" i="128"/>
  <c r="AL485" i="128"/>
  <c r="AK485" i="128"/>
  <c r="AJ485" i="128"/>
  <c r="AI485" i="128"/>
  <c r="AH485" i="128"/>
  <c r="AF485" i="128"/>
  <c r="AD485" i="128"/>
  <c r="AC485" i="128"/>
  <c r="AB485" i="128"/>
  <c r="AA485" i="128"/>
  <c r="Z485" i="128"/>
  <c r="Y485" i="128"/>
  <c r="X485" i="128"/>
  <c r="W485" i="128"/>
  <c r="V485" i="128"/>
  <c r="U485" i="128"/>
  <c r="T485" i="128"/>
  <c r="S485" i="128"/>
  <c r="M484" i="128"/>
  <c r="M485" i="128" s="1"/>
  <c r="CT483" i="128"/>
  <c r="CS483" i="128"/>
  <c r="CR483" i="128"/>
  <c r="CQ483" i="128"/>
  <c r="CP483" i="128"/>
  <c r="CO483" i="128"/>
  <c r="CN483" i="128"/>
  <c r="CM483" i="128"/>
  <c r="CL483" i="128"/>
  <c r="CK483" i="128"/>
  <c r="CJ483" i="128"/>
  <c r="CI483" i="128"/>
  <c r="CH483" i="128"/>
  <c r="CG483" i="128"/>
  <c r="CF483" i="128"/>
  <c r="CE483" i="128"/>
  <c r="CD483" i="128"/>
  <c r="CC483" i="128"/>
  <c r="CB483" i="128"/>
  <c r="CA483" i="128"/>
  <c r="BZ483" i="128"/>
  <c r="BY483" i="128"/>
  <c r="BX483" i="128"/>
  <c r="BW483" i="128"/>
  <c r="BV483" i="128"/>
  <c r="BU483" i="128"/>
  <c r="BT483" i="128"/>
  <c r="BS483" i="128"/>
  <c r="BR483" i="128"/>
  <c r="BQ483" i="128"/>
  <c r="BP483" i="128"/>
  <c r="BO483" i="128"/>
  <c r="BN483" i="128"/>
  <c r="BM483" i="128"/>
  <c r="BL483" i="128"/>
  <c r="BK483" i="128"/>
  <c r="BJ483" i="128"/>
  <c r="BI483" i="128"/>
  <c r="BH483" i="128"/>
  <c r="BG483" i="128"/>
  <c r="BF483" i="128"/>
  <c r="BE483" i="128"/>
  <c r="BD483" i="128"/>
  <c r="BC483" i="128"/>
  <c r="BB483" i="128"/>
  <c r="AZ483" i="128"/>
  <c r="AY483" i="128"/>
  <c r="AX483" i="128"/>
  <c r="AW483" i="128"/>
  <c r="AV483" i="128"/>
  <c r="AU483" i="128"/>
  <c r="AT483" i="128"/>
  <c r="AS483" i="128"/>
  <c r="AR483" i="128"/>
  <c r="AQ483" i="128"/>
  <c r="AP483" i="128"/>
  <c r="AO483" i="128"/>
  <c r="AN483" i="128"/>
  <c r="AM483" i="128"/>
  <c r="AL483" i="128"/>
  <c r="AK483" i="128"/>
  <c r="AJ483" i="128"/>
  <c r="AI483" i="128"/>
  <c r="AH483" i="128"/>
  <c r="AF483" i="128"/>
  <c r="AD483" i="128"/>
  <c r="AC483" i="128"/>
  <c r="AB483" i="128"/>
  <c r="AA483" i="128"/>
  <c r="Z483" i="128"/>
  <c r="Y483" i="128"/>
  <c r="X483" i="128"/>
  <c r="W483" i="128"/>
  <c r="V483" i="128"/>
  <c r="U483" i="128"/>
  <c r="T483" i="128"/>
  <c r="S483" i="128"/>
  <c r="R482" i="128"/>
  <c r="CU482" i="128" s="1"/>
  <c r="CV482" i="128" s="1"/>
  <c r="M482" i="128"/>
  <c r="M481" i="128"/>
  <c r="R481" i="128" s="1"/>
  <c r="CU481" i="128" s="1"/>
  <c r="CV481" i="128" s="1"/>
  <c r="M480" i="128"/>
  <c r="CT479" i="128"/>
  <c r="CS479" i="128"/>
  <c r="CR479" i="128"/>
  <c r="CQ479" i="128"/>
  <c r="CP479" i="128"/>
  <c r="CO479" i="128"/>
  <c r="CN479" i="128"/>
  <c r="CM479" i="128"/>
  <c r="CL479" i="128"/>
  <c r="CK479" i="128"/>
  <c r="CJ479" i="128"/>
  <c r="CI479" i="128"/>
  <c r="CH479" i="128"/>
  <c r="CG479" i="128"/>
  <c r="CF479" i="128"/>
  <c r="CE479" i="128"/>
  <c r="CD479" i="128"/>
  <c r="CC479" i="128"/>
  <c r="CB479" i="128"/>
  <c r="CA479" i="128"/>
  <c r="BZ479" i="128"/>
  <c r="BY479" i="128"/>
  <c r="BX479" i="128"/>
  <c r="BW479" i="128"/>
  <c r="BV479" i="128"/>
  <c r="BU479" i="128"/>
  <c r="BT479" i="128"/>
  <c r="BS479" i="128"/>
  <c r="BR479" i="128"/>
  <c r="BQ479" i="128"/>
  <c r="BP479" i="128"/>
  <c r="BO479" i="128"/>
  <c r="BN479" i="128"/>
  <c r="BM479" i="128"/>
  <c r="BL479" i="128"/>
  <c r="BK479" i="128"/>
  <c r="BJ479" i="128"/>
  <c r="BI479" i="128"/>
  <c r="BH479" i="128"/>
  <c r="BG479" i="128"/>
  <c r="BF479" i="128"/>
  <c r="BE479" i="128"/>
  <c r="BD479" i="128"/>
  <c r="BC479" i="128"/>
  <c r="BB479" i="128"/>
  <c r="AZ479" i="128"/>
  <c r="AY479" i="128"/>
  <c r="AX479" i="128"/>
  <c r="AW479" i="128"/>
  <c r="AV479" i="128"/>
  <c r="AU479" i="128"/>
  <c r="AT479" i="128"/>
  <c r="AS479" i="128"/>
  <c r="AR479" i="128"/>
  <c r="AQ479" i="128"/>
  <c r="AP479" i="128"/>
  <c r="AO479" i="128"/>
  <c r="AN479" i="128"/>
  <c r="AM479" i="128"/>
  <c r="AL479" i="128"/>
  <c r="AK479" i="128"/>
  <c r="AJ479" i="128"/>
  <c r="AI479" i="128"/>
  <c r="AH479" i="128"/>
  <c r="AF479" i="128"/>
  <c r="AD479" i="128"/>
  <c r="AC479" i="128"/>
  <c r="AB479" i="128"/>
  <c r="AA479" i="128"/>
  <c r="Z479" i="128"/>
  <c r="Y479" i="128"/>
  <c r="X479" i="128"/>
  <c r="W479" i="128"/>
  <c r="V479" i="128"/>
  <c r="U479" i="128"/>
  <c r="T479" i="128"/>
  <c r="S479" i="128"/>
  <c r="M479" i="128"/>
  <c r="CU478" i="128"/>
  <c r="CV478" i="128" s="1"/>
  <c r="R478" i="128"/>
  <c r="K478" i="128"/>
  <c r="R477" i="128"/>
  <c r="CU477" i="128" s="1"/>
  <c r="CV477" i="128" s="1"/>
  <c r="K477" i="128"/>
  <c r="CT476" i="128"/>
  <c r="CS476" i="128"/>
  <c r="CR476" i="128"/>
  <c r="CQ476" i="128"/>
  <c r="CP476" i="128"/>
  <c r="CO476" i="128"/>
  <c r="CN476" i="128"/>
  <c r="CM476" i="128"/>
  <c r="CL476" i="128"/>
  <c r="CK476" i="128"/>
  <c r="CJ476" i="128"/>
  <c r="CI476" i="128"/>
  <c r="CH476" i="128"/>
  <c r="CG476" i="128"/>
  <c r="CF476" i="128"/>
  <c r="CE476" i="128"/>
  <c r="CD476" i="128"/>
  <c r="CC476" i="128"/>
  <c r="CB476" i="128"/>
  <c r="CA476" i="128"/>
  <c r="BZ476" i="128"/>
  <c r="BY476" i="128"/>
  <c r="BX476" i="128"/>
  <c r="BW476" i="128"/>
  <c r="BV476" i="128"/>
  <c r="BU476" i="128"/>
  <c r="BT476" i="128"/>
  <c r="BS476" i="128"/>
  <c r="BR476" i="128"/>
  <c r="BQ476" i="128"/>
  <c r="BP476" i="128"/>
  <c r="BO476" i="128"/>
  <c r="BN476" i="128"/>
  <c r="BM476" i="128"/>
  <c r="BL476" i="128"/>
  <c r="BK476" i="128"/>
  <c r="BJ476" i="128"/>
  <c r="BI476" i="128"/>
  <c r="BH476" i="128"/>
  <c r="BG476" i="128"/>
  <c r="BF476" i="128"/>
  <c r="BE476" i="128"/>
  <c r="BD476" i="128"/>
  <c r="BC476" i="128"/>
  <c r="BB476" i="128"/>
  <c r="AZ476" i="128"/>
  <c r="AY476" i="128"/>
  <c r="AX476" i="128"/>
  <c r="AW476" i="128"/>
  <c r="AV476" i="128"/>
  <c r="AU476" i="128"/>
  <c r="AT476" i="128"/>
  <c r="AS476" i="128"/>
  <c r="AR476" i="128"/>
  <c r="AQ476" i="128"/>
  <c r="AP476" i="128"/>
  <c r="AO476" i="128"/>
  <c r="AN476" i="128"/>
  <c r="AM476" i="128"/>
  <c r="AL476" i="128"/>
  <c r="AK476" i="128"/>
  <c r="AJ476" i="128"/>
  <c r="AI476" i="128"/>
  <c r="AH476" i="128"/>
  <c r="AF476" i="128"/>
  <c r="AD476" i="128"/>
  <c r="AC476" i="128"/>
  <c r="AB476" i="128"/>
  <c r="AA476" i="128"/>
  <c r="Z476" i="128"/>
  <c r="Y476" i="128"/>
  <c r="X476" i="128"/>
  <c r="W476" i="128"/>
  <c r="V476" i="128"/>
  <c r="U476" i="128"/>
  <c r="T476" i="128"/>
  <c r="S476" i="128"/>
  <c r="M475" i="128"/>
  <c r="R475" i="128" s="1"/>
  <c r="P474" i="128"/>
  <c r="M474" i="128"/>
  <c r="Q474" i="128" s="1"/>
  <c r="M473" i="128"/>
  <c r="P473" i="128" s="1"/>
  <c r="P472" i="128"/>
  <c r="M472" i="128"/>
  <c r="Q472" i="128" s="1"/>
  <c r="M471" i="128"/>
  <c r="P471" i="128" s="1"/>
  <c r="M470" i="128"/>
  <c r="Q470" i="128" s="1"/>
  <c r="M469" i="128"/>
  <c r="P469" i="128" s="1"/>
  <c r="M468" i="128"/>
  <c r="P468" i="128" s="1"/>
  <c r="CT467" i="128"/>
  <c r="CS467" i="128"/>
  <c r="CR467" i="128"/>
  <c r="CQ467" i="128"/>
  <c r="CP467" i="128"/>
  <c r="CO467" i="128"/>
  <c r="CN467" i="128"/>
  <c r="CM467" i="128"/>
  <c r="CL467" i="128"/>
  <c r="CK467" i="128"/>
  <c r="CJ467" i="128"/>
  <c r="CI467" i="128"/>
  <c r="CH467" i="128"/>
  <c r="CG467" i="128"/>
  <c r="CF467" i="128"/>
  <c r="CE467" i="128"/>
  <c r="CD467" i="128"/>
  <c r="CC467" i="128"/>
  <c r="CB467" i="128"/>
  <c r="CA467" i="128"/>
  <c r="BZ467" i="128"/>
  <c r="BY467" i="128"/>
  <c r="BX467" i="128"/>
  <c r="BW467" i="128"/>
  <c r="BV467" i="128"/>
  <c r="BU467" i="128"/>
  <c r="BT467" i="128"/>
  <c r="BS467" i="128"/>
  <c r="BR467" i="128"/>
  <c r="BQ467" i="128"/>
  <c r="BP467" i="128"/>
  <c r="BO467" i="128"/>
  <c r="BN467" i="128"/>
  <c r="BM467" i="128"/>
  <c r="BL467" i="128"/>
  <c r="BK467" i="128"/>
  <c r="BJ467" i="128"/>
  <c r="BI467" i="128"/>
  <c r="BH467" i="128"/>
  <c r="BG467" i="128"/>
  <c r="BF467" i="128"/>
  <c r="BE467" i="128"/>
  <c r="BD467" i="128"/>
  <c r="BC467" i="128"/>
  <c r="BB467" i="128"/>
  <c r="AZ467" i="128"/>
  <c r="AY467" i="128"/>
  <c r="AX467" i="128"/>
  <c r="AW467" i="128"/>
  <c r="AV467" i="128"/>
  <c r="AU467" i="128"/>
  <c r="AT467" i="128"/>
  <c r="AS467" i="128"/>
  <c r="AR467" i="128"/>
  <c r="AQ467" i="128"/>
  <c r="AP467" i="128"/>
  <c r="AO467" i="128"/>
  <c r="AN467" i="128"/>
  <c r="AM467" i="128"/>
  <c r="AL467" i="128"/>
  <c r="AK467" i="128"/>
  <c r="AJ467" i="128"/>
  <c r="AI467" i="128"/>
  <c r="AH467" i="128"/>
  <c r="AF467" i="128"/>
  <c r="AD467" i="128"/>
  <c r="AC467" i="128"/>
  <c r="AB467" i="128"/>
  <c r="AA467" i="128"/>
  <c r="Z467" i="128"/>
  <c r="Y467" i="128"/>
  <c r="X467" i="128"/>
  <c r="W467" i="128"/>
  <c r="V467" i="128"/>
  <c r="U467" i="128"/>
  <c r="T467" i="128"/>
  <c r="S467" i="128"/>
  <c r="M467" i="128"/>
  <c r="R466" i="128"/>
  <c r="CU466" i="128" s="1"/>
  <c r="CV466" i="128" s="1"/>
  <c r="R465" i="128"/>
  <c r="CT464" i="128"/>
  <c r="CS464" i="128"/>
  <c r="CR464" i="128"/>
  <c r="CQ464" i="128"/>
  <c r="CP464" i="128"/>
  <c r="CO464" i="128"/>
  <c r="CN464" i="128"/>
  <c r="CM464" i="128"/>
  <c r="CL464" i="128"/>
  <c r="CK464" i="128"/>
  <c r="CJ464" i="128"/>
  <c r="CI464" i="128"/>
  <c r="CH464" i="128"/>
  <c r="CG464" i="128"/>
  <c r="CF464" i="128"/>
  <c r="CE464" i="128"/>
  <c r="CD464" i="128"/>
  <c r="CC464" i="128"/>
  <c r="CB464" i="128"/>
  <c r="CA464" i="128"/>
  <c r="BZ464" i="128"/>
  <c r="BY464" i="128"/>
  <c r="BX464" i="128"/>
  <c r="BW464" i="128"/>
  <c r="BV464" i="128"/>
  <c r="BU464" i="128"/>
  <c r="BT464" i="128"/>
  <c r="BS464" i="128"/>
  <c r="BR464" i="128"/>
  <c r="BQ464" i="128"/>
  <c r="BP464" i="128"/>
  <c r="BO464" i="128"/>
  <c r="BN464" i="128"/>
  <c r="BM464" i="128"/>
  <c r="BL464" i="128"/>
  <c r="BK464" i="128"/>
  <c r="BJ464" i="128"/>
  <c r="BI464" i="128"/>
  <c r="BH464" i="128"/>
  <c r="BG464" i="128"/>
  <c r="BF464" i="128"/>
  <c r="BE464" i="128"/>
  <c r="BD464" i="128"/>
  <c r="BC464" i="128"/>
  <c r="BB464" i="128"/>
  <c r="AZ464" i="128"/>
  <c r="AY464" i="128"/>
  <c r="AX464" i="128"/>
  <c r="AW464" i="128"/>
  <c r="AV464" i="128"/>
  <c r="AU464" i="128"/>
  <c r="AT464" i="128"/>
  <c r="AS464" i="128"/>
  <c r="AR464" i="128"/>
  <c r="AQ464" i="128"/>
  <c r="AP464" i="128"/>
  <c r="AO464" i="128"/>
  <c r="AN464" i="128"/>
  <c r="AM464" i="128"/>
  <c r="AL464" i="128"/>
  <c r="AK464" i="128"/>
  <c r="AJ464" i="128"/>
  <c r="AI464" i="128"/>
  <c r="AH464" i="128"/>
  <c r="AF464" i="128"/>
  <c r="AD464" i="128"/>
  <c r="AC464" i="128"/>
  <c r="AB464" i="128"/>
  <c r="AA464" i="128"/>
  <c r="Z464" i="128"/>
  <c r="Y464" i="128"/>
  <c r="X464" i="128"/>
  <c r="W464" i="128"/>
  <c r="V464" i="128"/>
  <c r="U464" i="128"/>
  <c r="T464" i="128"/>
  <c r="S464" i="128"/>
  <c r="M463" i="128"/>
  <c r="R463" i="128" s="1"/>
  <c r="CU463" i="128" s="1"/>
  <c r="CV463" i="128" s="1"/>
  <c r="M462" i="128"/>
  <c r="R462" i="128" s="1"/>
  <c r="CU462" i="128" s="1"/>
  <c r="CV462" i="128" s="1"/>
  <c r="M461" i="128"/>
  <c r="R461" i="128" s="1"/>
  <c r="CT460" i="128"/>
  <c r="CS460" i="128"/>
  <c r="CR460" i="128"/>
  <c r="CQ460" i="128"/>
  <c r="CP460" i="128"/>
  <c r="CO460" i="128"/>
  <c r="CN460" i="128"/>
  <c r="CM460" i="128"/>
  <c r="CL460" i="128"/>
  <c r="CK460" i="128"/>
  <c r="CJ460" i="128"/>
  <c r="CI460" i="128"/>
  <c r="CH460" i="128"/>
  <c r="CG460" i="128"/>
  <c r="CF460" i="128"/>
  <c r="CE460" i="128"/>
  <c r="CD460" i="128"/>
  <c r="CC460" i="128"/>
  <c r="CB460" i="128"/>
  <c r="CA460" i="128"/>
  <c r="BZ460" i="128"/>
  <c r="BY460" i="128"/>
  <c r="BX460" i="128"/>
  <c r="BW460" i="128"/>
  <c r="BV460" i="128"/>
  <c r="BU460" i="128"/>
  <c r="BT460" i="128"/>
  <c r="BS460" i="128"/>
  <c r="BR460" i="128"/>
  <c r="BQ460" i="128"/>
  <c r="BP460" i="128"/>
  <c r="BO460" i="128"/>
  <c r="BN460" i="128"/>
  <c r="BM460" i="128"/>
  <c r="BL460" i="128"/>
  <c r="BK460" i="128"/>
  <c r="BJ460" i="128"/>
  <c r="BI460" i="128"/>
  <c r="BH460" i="128"/>
  <c r="BG460" i="128"/>
  <c r="BF460" i="128"/>
  <c r="BE460" i="128"/>
  <c r="BD460" i="128"/>
  <c r="BC460" i="128"/>
  <c r="BB460" i="128"/>
  <c r="AZ460" i="128"/>
  <c r="AY460" i="128"/>
  <c r="AX460" i="128"/>
  <c r="AW460" i="128"/>
  <c r="AV460" i="128"/>
  <c r="AU460" i="128"/>
  <c r="AT460" i="128"/>
  <c r="AS460" i="128"/>
  <c r="AR460" i="128"/>
  <c r="AQ460" i="128"/>
  <c r="AP460" i="128"/>
  <c r="AO460" i="128"/>
  <c r="AN460" i="128"/>
  <c r="AM460" i="128"/>
  <c r="AL460" i="128"/>
  <c r="AK460" i="128"/>
  <c r="AJ460" i="128"/>
  <c r="AI460" i="128"/>
  <c r="AH460" i="128"/>
  <c r="AF460" i="128"/>
  <c r="AD460" i="128"/>
  <c r="AC460" i="128"/>
  <c r="AB460" i="128"/>
  <c r="AA460" i="128"/>
  <c r="Z460" i="128"/>
  <c r="Y460" i="128"/>
  <c r="X460" i="128"/>
  <c r="W460" i="128"/>
  <c r="V460" i="128"/>
  <c r="U460" i="128"/>
  <c r="T460" i="128"/>
  <c r="S460" i="128"/>
  <c r="M459" i="128"/>
  <c r="R459" i="128" s="1"/>
  <c r="CU459" i="128" s="1"/>
  <c r="CV459" i="128" s="1"/>
  <c r="M458" i="128"/>
  <c r="M460" i="128" s="1"/>
  <c r="CT457" i="128"/>
  <c r="CS457" i="128"/>
  <c r="CR457" i="128"/>
  <c r="CQ457" i="128"/>
  <c r="CP457" i="128"/>
  <c r="CO457" i="128"/>
  <c r="CN457" i="128"/>
  <c r="CM457" i="128"/>
  <c r="CL457" i="128"/>
  <c r="CK457" i="128"/>
  <c r="CJ457" i="128"/>
  <c r="CI457" i="128"/>
  <c r="CH457" i="128"/>
  <c r="CG457" i="128"/>
  <c r="CF457" i="128"/>
  <c r="CE457" i="128"/>
  <c r="CD457" i="128"/>
  <c r="CC457" i="128"/>
  <c r="CB457" i="128"/>
  <c r="CA457" i="128"/>
  <c r="BZ457" i="128"/>
  <c r="BY457" i="128"/>
  <c r="BX457" i="128"/>
  <c r="BW457" i="128"/>
  <c r="BV457" i="128"/>
  <c r="BU457" i="128"/>
  <c r="BT457" i="128"/>
  <c r="BS457" i="128"/>
  <c r="BR457" i="128"/>
  <c r="BQ457" i="128"/>
  <c r="BP457" i="128"/>
  <c r="BO457" i="128"/>
  <c r="BN457" i="128"/>
  <c r="BM457" i="128"/>
  <c r="BL457" i="128"/>
  <c r="BK457" i="128"/>
  <c r="BJ457" i="128"/>
  <c r="BI457" i="128"/>
  <c r="BH457" i="128"/>
  <c r="BG457" i="128"/>
  <c r="BF457" i="128"/>
  <c r="BE457" i="128"/>
  <c r="BD457" i="128"/>
  <c r="BC457" i="128"/>
  <c r="BB457" i="128"/>
  <c r="AZ457" i="128"/>
  <c r="AY457" i="128"/>
  <c r="AX457" i="128"/>
  <c r="AW457" i="128"/>
  <c r="AV457" i="128"/>
  <c r="AU457" i="128"/>
  <c r="AT457" i="128"/>
  <c r="AS457" i="128"/>
  <c r="AR457" i="128"/>
  <c r="AQ457" i="128"/>
  <c r="AO457" i="128"/>
  <c r="AM457" i="128"/>
  <c r="AL457" i="128"/>
  <c r="AK457" i="128"/>
  <c r="AJ457" i="128"/>
  <c r="AI457" i="128"/>
  <c r="AH457" i="128"/>
  <c r="AF457" i="128"/>
  <c r="AD457" i="128"/>
  <c r="AC457" i="128"/>
  <c r="AB457" i="128"/>
  <c r="AA457" i="128"/>
  <c r="Z457" i="128"/>
  <c r="Y457" i="128"/>
  <c r="X457" i="128"/>
  <c r="W457" i="128"/>
  <c r="V457" i="128"/>
  <c r="U457" i="128"/>
  <c r="T457" i="128"/>
  <c r="S457" i="128"/>
  <c r="M456" i="128"/>
  <c r="M457" i="128" s="1"/>
  <c r="CT455" i="128"/>
  <c r="CS455" i="128"/>
  <c r="CR455" i="128"/>
  <c r="CQ455" i="128"/>
  <c r="CP455" i="128"/>
  <c r="CO455" i="128"/>
  <c r="CN455" i="128"/>
  <c r="CM455" i="128"/>
  <c r="CL455" i="128"/>
  <c r="CK455" i="128"/>
  <c r="CJ455" i="128"/>
  <c r="CI455" i="128"/>
  <c r="CH455" i="128"/>
  <c r="CG455" i="128"/>
  <c r="CF455" i="128"/>
  <c r="CE455" i="128"/>
  <c r="CD455" i="128"/>
  <c r="CC455" i="128"/>
  <c r="CB455" i="128"/>
  <c r="CA455" i="128"/>
  <c r="BZ455" i="128"/>
  <c r="BY455" i="128"/>
  <c r="BX455" i="128"/>
  <c r="BW455" i="128"/>
  <c r="BV455" i="128"/>
  <c r="BU455" i="128"/>
  <c r="BT455" i="128"/>
  <c r="BS455" i="128"/>
  <c r="BR455" i="128"/>
  <c r="BQ455" i="128"/>
  <c r="BP455" i="128"/>
  <c r="BO455" i="128"/>
  <c r="BN455" i="128"/>
  <c r="BM455" i="128"/>
  <c r="BL455" i="128"/>
  <c r="BK455" i="128"/>
  <c r="BJ455" i="128"/>
  <c r="BI455" i="128"/>
  <c r="BH455" i="128"/>
  <c r="BG455" i="128"/>
  <c r="BF455" i="128"/>
  <c r="BE455" i="128"/>
  <c r="BD455" i="128"/>
  <c r="BC455" i="128"/>
  <c r="BB455" i="128"/>
  <c r="AZ455" i="128"/>
  <c r="AY455" i="128"/>
  <c r="AX455" i="128"/>
  <c r="AW455" i="128"/>
  <c r="AV455" i="128"/>
  <c r="AU455" i="128"/>
  <c r="AT455" i="128"/>
  <c r="AS455" i="128"/>
  <c r="AR455" i="128"/>
  <c r="AQ455" i="128"/>
  <c r="AP455" i="128"/>
  <c r="AO455" i="128"/>
  <c r="AN455" i="128"/>
  <c r="AM455" i="128"/>
  <c r="AL455" i="128"/>
  <c r="AK455" i="128"/>
  <c r="AJ455" i="128"/>
  <c r="AI455" i="128"/>
  <c r="AH455" i="128"/>
  <c r="AF455" i="128"/>
  <c r="AD455" i="128"/>
  <c r="AC455" i="128"/>
  <c r="AB455" i="128"/>
  <c r="AA455" i="128"/>
  <c r="Z455" i="128"/>
  <c r="Y455" i="128"/>
  <c r="X455" i="128"/>
  <c r="W455" i="128"/>
  <c r="V455" i="128"/>
  <c r="U455" i="128"/>
  <c r="T455" i="128"/>
  <c r="S455" i="128"/>
  <c r="M454" i="128"/>
  <c r="M455" i="128" s="1"/>
  <c r="CT453" i="128"/>
  <c r="CS453" i="128"/>
  <c r="CR453" i="128"/>
  <c r="CQ453" i="128"/>
  <c r="CP453" i="128"/>
  <c r="CO453" i="128"/>
  <c r="CN453" i="128"/>
  <c r="CM453" i="128"/>
  <c r="CL453" i="128"/>
  <c r="CK453" i="128"/>
  <c r="CJ453" i="128"/>
  <c r="CI453" i="128"/>
  <c r="CH453" i="128"/>
  <c r="CG453" i="128"/>
  <c r="CF453" i="128"/>
  <c r="CE453" i="128"/>
  <c r="CD453" i="128"/>
  <c r="CC453" i="128"/>
  <c r="CB453" i="128"/>
  <c r="CA453" i="128"/>
  <c r="BZ453" i="128"/>
  <c r="BY453" i="128"/>
  <c r="BX453" i="128"/>
  <c r="BW453" i="128"/>
  <c r="BV453" i="128"/>
  <c r="BU453" i="128"/>
  <c r="BT453" i="128"/>
  <c r="BS453" i="128"/>
  <c r="BR453" i="128"/>
  <c r="BQ453" i="128"/>
  <c r="BP453" i="128"/>
  <c r="BO453" i="128"/>
  <c r="BN453" i="128"/>
  <c r="BM453" i="128"/>
  <c r="BL453" i="128"/>
  <c r="BK453" i="128"/>
  <c r="BJ453" i="128"/>
  <c r="BI453" i="128"/>
  <c r="BH453" i="128"/>
  <c r="BG453" i="128"/>
  <c r="BF453" i="128"/>
  <c r="BE453" i="128"/>
  <c r="BD453" i="128"/>
  <c r="BC453" i="128"/>
  <c r="BB453" i="128"/>
  <c r="AZ453" i="128"/>
  <c r="AY453" i="128"/>
  <c r="AX453" i="128"/>
  <c r="AW453" i="128"/>
  <c r="AV453" i="128"/>
  <c r="AU453" i="128"/>
  <c r="AT453" i="128"/>
  <c r="AS453" i="128"/>
  <c r="AR453" i="128"/>
  <c r="AQ453" i="128"/>
  <c r="AP453" i="128"/>
  <c r="AO453" i="128"/>
  <c r="AN453" i="128"/>
  <c r="AM453" i="128"/>
  <c r="AL453" i="128"/>
  <c r="AK453" i="128"/>
  <c r="AJ453" i="128"/>
  <c r="AI453" i="128"/>
  <c r="AH453" i="128"/>
  <c r="AF453" i="128"/>
  <c r="AD453" i="128"/>
  <c r="AC453" i="128"/>
  <c r="AB453" i="128"/>
  <c r="AA453" i="128"/>
  <c r="Z453" i="128"/>
  <c r="Y453" i="128"/>
  <c r="X453" i="128"/>
  <c r="W453" i="128"/>
  <c r="V453" i="128"/>
  <c r="U453" i="128"/>
  <c r="T453" i="128"/>
  <c r="S453" i="128"/>
  <c r="M452" i="128"/>
  <c r="M453" i="128" s="1"/>
  <c r="N453" i="128" s="1"/>
  <c r="CT451" i="128"/>
  <c r="CS451" i="128"/>
  <c r="CR451" i="128"/>
  <c r="CQ451" i="128"/>
  <c r="CP451" i="128"/>
  <c r="CO451" i="128"/>
  <c r="CN451" i="128"/>
  <c r="CM451" i="128"/>
  <c r="CL451" i="128"/>
  <c r="CK451" i="128"/>
  <c r="CJ451" i="128"/>
  <c r="CI451" i="128"/>
  <c r="CH451" i="128"/>
  <c r="CG451" i="128"/>
  <c r="CF451" i="128"/>
  <c r="CE451" i="128"/>
  <c r="CD451" i="128"/>
  <c r="CC451" i="128"/>
  <c r="CB451" i="128"/>
  <c r="CA451" i="128"/>
  <c r="BZ451" i="128"/>
  <c r="BY451" i="128"/>
  <c r="BX451" i="128"/>
  <c r="BW451" i="128"/>
  <c r="BV451" i="128"/>
  <c r="BU451" i="128"/>
  <c r="BT451" i="128"/>
  <c r="BS451" i="128"/>
  <c r="BR451" i="128"/>
  <c r="BQ451" i="128"/>
  <c r="BP451" i="128"/>
  <c r="BO451" i="128"/>
  <c r="BN451" i="128"/>
  <c r="BM451" i="128"/>
  <c r="BL451" i="128"/>
  <c r="BK451" i="128"/>
  <c r="BJ451" i="128"/>
  <c r="BI451" i="128"/>
  <c r="BH451" i="128"/>
  <c r="BG451" i="128"/>
  <c r="BF451" i="128"/>
  <c r="BE451" i="128"/>
  <c r="BD451" i="128"/>
  <c r="BB451" i="128"/>
  <c r="AZ451" i="128"/>
  <c r="AY451" i="128"/>
  <c r="AX451" i="128"/>
  <c r="AW451" i="128"/>
  <c r="AV451" i="128"/>
  <c r="AU451" i="128"/>
  <c r="AT451" i="128"/>
  <c r="AS451" i="128"/>
  <c r="AR451" i="128"/>
  <c r="AQ451" i="128"/>
  <c r="AP451" i="128"/>
  <c r="AO451" i="128"/>
  <c r="AN451" i="128"/>
  <c r="AM451" i="128"/>
  <c r="AL451" i="128"/>
  <c r="AK451" i="128"/>
  <c r="AJ451" i="128"/>
  <c r="AI451" i="128"/>
  <c r="AH451" i="128"/>
  <c r="AF451" i="128"/>
  <c r="AD451" i="128"/>
  <c r="AC451" i="128"/>
  <c r="AB451" i="128"/>
  <c r="AA451" i="128"/>
  <c r="Z451" i="128"/>
  <c r="Y451" i="128"/>
  <c r="X451" i="128"/>
  <c r="W451" i="128"/>
  <c r="V451" i="128"/>
  <c r="U451" i="128"/>
  <c r="T451" i="128"/>
  <c r="S451" i="128"/>
  <c r="M450" i="128"/>
  <c r="M451" i="128" s="1"/>
  <c r="CT449" i="128"/>
  <c r="CS449" i="128"/>
  <c r="CR449" i="128"/>
  <c r="CQ449" i="128"/>
  <c r="CP449" i="128"/>
  <c r="CO449" i="128"/>
  <c r="CN449" i="128"/>
  <c r="CM449" i="128"/>
  <c r="CL449" i="128"/>
  <c r="CK449" i="128"/>
  <c r="CJ449" i="128"/>
  <c r="CI449" i="128"/>
  <c r="CH449" i="128"/>
  <c r="CG449" i="128"/>
  <c r="CF449" i="128"/>
  <c r="CE449" i="128"/>
  <c r="CD449" i="128"/>
  <c r="CC449" i="128"/>
  <c r="CB449" i="128"/>
  <c r="CA449" i="128"/>
  <c r="BZ449" i="128"/>
  <c r="BY449" i="128"/>
  <c r="BX449" i="128"/>
  <c r="BW449" i="128"/>
  <c r="BV449" i="128"/>
  <c r="BU449" i="128"/>
  <c r="BT449" i="128"/>
  <c r="BS449" i="128"/>
  <c r="BR449" i="128"/>
  <c r="BQ449" i="128"/>
  <c r="BP449" i="128"/>
  <c r="BO449" i="128"/>
  <c r="BN449" i="128"/>
  <c r="BM449" i="128"/>
  <c r="BL449" i="128"/>
  <c r="BK449" i="128"/>
  <c r="BJ449" i="128"/>
  <c r="BI449" i="128"/>
  <c r="BH449" i="128"/>
  <c r="BG449" i="128"/>
  <c r="BF449" i="128"/>
  <c r="BE449" i="128"/>
  <c r="BD449" i="128"/>
  <c r="BC449" i="128"/>
  <c r="BB449" i="128"/>
  <c r="AZ449" i="128"/>
  <c r="AY449" i="128"/>
  <c r="AX449" i="128"/>
  <c r="AW449" i="128"/>
  <c r="AV449" i="128"/>
  <c r="AU449" i="128"/>
  <c r="AT449" i="128"/>
  <c r="AS449" i="128"/>
  <c r="AR449" i="128"/>
  <c r="AQ449" i="128"/>
  <c r="AP449" i="128"/>
  <c r="AO449" i="128"/>
  <c r="AN449" i="128"/>
  <c r="AM449" i="128"/>
  <c r="AL449" i="128"/>
  <c r="AK449" i="128"/>
  <c r="AJ449" i="128"/>
  <c r="AI449" i="128"/>
  <c r="AH449" i="128"/>
  <c r="AF449" i="128"/>
  <c r="AD449" i="128"/>
  <c r="AC449" i="128"/>
  <c r="AB449" i="128"/>
  <c r="AA449" i="128"/>
  <c r="Z449" i="128"/>
  <c r="Y449" i="128"/>
  <c r="X449" i="128"/>
  <c r="V449" i="128"/>
  <c r="U449" i="128"/>
  <c r="T449" i="128"/>
  <c r="S449" i="128"/>
  <c r="M448" i="128"/>
  <c r="P448" i="128" s="1"/>
  <c r="CT447" i="128"/>
  <c r="CS447" i="128"/>
  <c r="CR447" i="128"/>
  <c r="CQ447" i="128"/>
  <c r="CP447" i="128"/>
  <c r="CO447" i="128"/>
  <c r="CN447" i="128"/>
  <c r="CM447" i="128"/>
  <c r="CL447" i="128"/>
  <c r="CK447" i="128"/>
  <c r="CJ447" i="128"/>
  <c r="CI447" i="128"/>
  <c r="CH447" i="128"/>
  <c r="CG447" i="128"/>
  <c r="CF447" i="128"/>
  <c r="CE447" i="128"/>
  <c r="CD447" i="128"/>
  <c r="CC447" i="128"/>
  <c r="CB447" i="128"/>
  <c r="CA447" i="128"/>
  <c r="BZ447" i="128"/>
  <c r="BY447" i="128"/>
  <c r="BX447" i="128"/>
  <c r="BW447" i="128"/>
  <c r="BV447" i="128"/>
  <c r="BU447" i="128"/>
  <c r="BT447" i="128"/>
  <c r="BS447" i="128"/>
  <c r="BR447" i="128"/>
  <c r="BQ447" i="128"/>
  <c r="BP447" i="128"/>
  <c r="BO447" i="128"/>
  <c r="BN447" i="128"/>
  <c r="BM447" i="128"/>
  <c r="BL447" i="128"/>
  <c r="BK447" i="128"/>
  <c r="BJ447" i="128"/>
  <c r="BI447" i="128"/>
  <c r="BH447" i="128"/>
  <c r="BG447" i="128"/>
  <c r="BF447" i="128"/>
  <c r="BE447" i="128"/>
  <c r="BD447" i="128"/>
  <c r="BC447" i="128"/>
  <c r="BB447" i="128"/>
  <c r="AZ447" i="128"/>
  <c r="AY447" i="128"/>
  <c r="AX447" i="128"/>
  <c r="AW447" i="128"/>
  <c r="AV447" i="128"/>
  <c r="AU447" i="128"/>
  <c r="AT447" i="128"/>
  <c r="AS447" i="128"/>
  <c r="AR447" i="128"/>
  <c r="AQ447" i="128"/>
  <c r="AP447" i="128"/>
  <c r="AO447" i="128"/>
  <c r="AN447" i="128"/>
  <c r="AM447" i="128"/>
  <c r="AL447" i="128"/>
  <c r="AK447" i="128"/>
  <c r="AJ447" i="128"/>
  <c r="AI447" i="128"/>
  <c r="AH447" i="128"/>
  <c r="AF447" i="128"/>
  <c r="AD447" i="128"/>
  <c r="AC447" i="128"/>
  <c r="AB447" i="128"/>
  <c r="AA447" i="128"/>
  <c r="Z447" i="128"/>
  <c r="Y447" i="128"/>
  <c r="X447" i="128"/>
  <c r="W447" i="128"/>
  <c r="V447" i="128"/>
  <c r="U447" i="128"/>
  <c r="T447" i="128"/>
  <c r="S447" i="128"/>
  <c r="M446" i="128"/>
  <c r="M445" i="128"/>
  <c r="CT444" i="128"/>
  <c r="CS444" i="128"/>
  <c r="CR444" i="128"/>
  <c r="CQ444" i="128"/>
  <c r="CP444" i="128"/>
  <c r="CO444" i="128"/>
  <c r="CN444" i="128"/>
  <c r="CM444" i="128"/>
  <c r="CL444" i="128"/>
  <c r="CK444" i="128"/>
  <c r="CJ444" i="128"/>
  <c r="CI444" i="128"/>
  <c r="CH444" i="128"/>
  <c r="CG444" i="128"/>
  <c r="CF444" i="128"/>
  <c r="CE444" i="128"/>
  <c r="CD444" i="128"/>
  <c r="CC444" i="128"/>
  <c r="CB444" i="128"/>
  <c r="CA444" i="128"/>
  <c r="BZ444" i="128"/>
  <c r="BY444" i="128"/>
  <c r="BX444" i="128"/>
  <c r="BW444" i="128"/>
  <c r="BV444" i="128"/>
  <c r="BU444" i="128"/>
  <c r="BT444" i="128"/>
  <c r="BS444" i="128"/>
  <c r="BR444" i="128"/>
  <c r="BQ444" i="128"/>
  <c r="BP444" i="128"/>
  <c r="BO444" i="128"/>
  <c r="BN444" i="128"/>
  <c r="BM444" i="128"/>
  <c r="BL444" i="128"/>
  <c r="BK444" i="128"/>
  <c r="BJ444" i="128"/>
  <c r="BI444" i="128"/>
  <c r="BH444" i="128"/>
  <c r="BG444" i="128"/>
  <c r="BF444" i="128"/>
  <c r="BE444" i="128"/>
  <c r="BD444" i="128"/>
  <c r="BC444" i="128"/>
  <c r="BB444" i="128"/>
  <c r="AZ444" i="128"/>
  <c r="AY444" i="128"/>
  <c r="AX444" i="128"/>
  <c r="AW444" i="128"/>
  <c r="AV444" i="128"/>
  <c r="AU444" i="128"/>
  <c r="AT444" i="128"/>
  <c r="AS444" i="128"/>
  <c r="AR444" i="128"/>
  <c r="AQ444" i="128"/>
  <c r="AP444" i="128"/>
  <c r="AO444" i="128"/>
  <c r="AN444" i="128"/>
  <c r="AM444" i="128"/>
  <c r="AL444" i="128"/>
  <c r="AK444" i="128"/>
  <c r="AJ444" i="128"/>
  <c r="AI444" i="128"/>
  <c r="AH444" i="128"/>
  <c r="AF444" i="128"/>
  <c r="AD444" i="128"/>
  <c r="AC444" i="128"/>
  <c r="AB444" i="128"/>
  <c r="AA444" i="128"/>
  <c r="Z444" i="128"/>
  <c r="Y444" i="128"/>
  <c r="X444" i="128"/>
  <c r="W444" i="128"/>
  <c r="V444" i="128"/>
  <c r="U444" i="128"/>
  <c r="T444" i="128"/>
  <c r="S444" i="128"/>
  <c r="M443" i="128"/>
  <c r="Q442" i="128"/>
  <c r="M442" i="128"/>
  <c r="P442" i="128" s="1"/>
  <c r="M441" i="128"/>
  <c r="CT440" i="128"/>
  <c r="CS440" i="128"/>
  <c r="CR440" i="128"/>
  <c r="CQ440" i="128"/>
  <c r="CP440" i="128"/>
  <c r="CO440" i="128"/>
  <c r="CN440" i="128"/>
  <c r="CM440" i="128"/>
  <c r="CL440" i="128"/>
  <c r="CK440" i="128"/>
  <c r="CJ440" i="128"/>
  <c r="CI440" i="128"/>
  <c r="CH440" i="128"/>
  <c r="CG440" i="128"/>
  <c r="CF440" i="128"/>
  <c r="CE440" i="128"/>
  <c r="CD440" i="128"/>
  <c r="CC440" i="128"/>
  <c r="CB440" i="128"/>
  <c r="CA440" i="128"/>
  <c r="BZ440" i="128"/>
  <c r="BY440" i="128"/>
  <c r="BX440" i="128"/>
  <c r="BW440" i="128"/>
  <c r="BV440" i="128"/>
  <c r="BU440" i="128"/>
  <c r="BT440" i="128"/>
  <c r="BS440" i="128"/>
  <c r="BR440" i="128"/>
  <c r="BQ440" i="128"/>
  <c r="BP440" i="128"/>
  <c r="BO440" i="128"/>
  <c r="BN440" i="128"/>
  <c r="BM440" i="128"/>
  <c r="BL440" i="128"/>
  <c r="BK440" i="128"/>
  <c r="BJ440" i="128"/>
  <c r="BI440" i="128"/>
  <c r="BH440" i="128"/>
  <c r="BG440" i="128"/>
  <c r="BF440" i="128"/>
  <c r="BE440" i="128"/>
  <c r="BD440" i="128"/>
  <c r="BC440" i="128"/>
  <c r="BB440" i="128"/>
  <c r="AZ440" i="128"/>
  <c r="AY440" i="128"/>
  <c r="AX440" i="128"/>
  <c r="AW440" i="128"/>
  <c r="AV440" i="128"/>
  <c r="AU440" i="128"/>
  <c r="AT440" i="128"/>
  <c r="AS440" i="128"/>
  <c r="AR440" i="128"/>
  <c r="AQ440" i="128"/>
  <c r="AP440" i="128"/>
  <c r="AO440" i="128"/>
  <c r="AN440" i="128"/>
  <c r="AM440" i="128"/>
  <c r="AL440" i="128"/>
  <c r="AK440" i="128"/>
  <c r="AJ440" i="128"/>
  <c r="AI440" i="128"/>
  <c r="AH440" i="128"/>
  <c r="AF440" i="128"/>
  <c r="AD440" i="128"/>
  <c r="AC440" i="128"/>
  <c r="AB440" i="128"/>
  <c r="AA440" i="128"/>
  <c r="Z440" i="128"/>
  <c r="Y440" i="128"/>
  <c r="X440" i="128"/>
  <c r="W440" i="128"/>
  <c r="V440" i="128"/>
  <c r="U440" i="128"/>
  <c r="T440" i="128"/>
  <c r="S440" i="128"/>
  <c r="M439" i="128"/>
  <c r="P439" i="128" s="1"/>
  <c r="M438" i="128"/>
  <c r="CT437" i="128"/>
  <c r="CS437" i="128"/>
  <c r="CR437" i="128"/>
  <c r="CQ437" i="128"/>
  <c r="CP437" i="128"/>
  <c r="CO437" i="128"/>
  <c r="CN437" i="128"/>
  <c r="CM437" i="128"/>
  <c r="CL437" i="128"/>
  <c r="CK437" i="128"/>
  <c r="CJ437" i="128"/>
  <c r="CI437" i="128"/>
  <c r="CH437" i="128"/>
  <c r="CG437" i="128"/>
  <c r="CF437" i="128"/>
  <c r="CE437" i="128"/>
  <c r="CD437" i="128"/>
  <c r="CC437" i="128"/>
  <c r="CB437" i="128"/>
  <c r="CA437" i="128"/>
  <c r="BZ437" i="128"/>
  <c r="BY437" i="128"/>
  <c r="BX437" i="128"/>
  <c r="BW437" i="128"/>
  <c r="BV437" i="128"/>
  <c r="BU437" i="128"/>
  <c r="BT437" i="128"/>
  <c r="BS437" i="128"/>
  <c r="BR437" i="128"/>
  <c r="BQ437" i="128"/>
  <c r="BP437" i="128"/>
  <c r="BO437" i="128"/>
  <c r="BN437" i="128"/>
  <c r="BM437" i="128"/>
  <c r="BL437" i="128"/>
  <c r="BK437" i="128"/>
  <c r="BJ437" i="128"/>
  <c r="BI437" i="128"/>
  <c r="BH437" i="128"/>
  <c r="BG437" i="128"/>
  <c r="BF437" i="128"/>
  <c r="BE437" i="128"/>
  <c r="BD437" i="128"/>
  <c r="BC437" i="128"/>
  <c r="BB437" i="128"/>
  <c r="AZ437" i="128"/>
  <c r="AY437" i="128"/>
  <c r="AX437" i="128"/>
  <c r="AW437" i="128"/>
  <c r="AV437" i="128"/>
  <c r="AU437" i="128"/>
  <c r="AT437" i="128"/>
  <c r="AS437" i="128"/>
  <c r="AR437" i="128"/>
  <c r="AQ437" i="128"/>
  <c r="AP437" i="128"/>
  <c r="AO437" i="128"/>
  <c r="AN437" i="128"/>
  <c r="AM437" i="128"/>
  <c r="AL437" i="128"/>
  <c r="AK437" i="128"/>
  <c r="AJ437" i="128"/>
  <c r="AI437" i="128"/>
  <c r="AH437" i="128"/>
  <c r="AF437" i="128"/>
  <c r="AD437" i="128"/>
  <c r="AC437" i="128"/>
  <c r="AB437" i="128"/>
  <c r="AA437" i="128"/>
  <c r="Z437" i="128"/>
  <c r="Y437" i="128"/>
  <c r="X437" i="128"/>
  <c r="W437" i="128"/>
  <c r="V437" i="128"/>
  <c r="U437" i="128"/>
  <c r="T437" i="128"/>
  <c r="S437" i="128"/>
  <c r="M436" i="128"/>
  <c r="P436" i="128" s="1"/>
  <c r="CT435" i="128"/>
  <c r="CS435" i="128"/>
  <c r="CR435" i="128"/>
  <c r="CQ435" i="128"/>
  <c r="CP435" i="128"/>
  <c r="CO435" i="128"/>
  <c r="CN435" i="128"/>
  <c r="CM435" i="128"/>
  <c r="CL435" i="128"/>
  <c r="CK435" i="128"/>
  <c r="CJ435" i="128"/>
  <c r="CI435" i="128"/>
  <c r="CH435" i="128"/>
  <c r="CG435" i="128"/>
  <c r="CF435" i="128"/>
  <c r="CE435" i="128"/>
  <c r="CD435" i="128"/>
  <c r="CC435" i="128"/>
  <c r="CB435" i="128"/>
  <c r="CA435" i="128"/>
  <c r="BZ435" i="128"/>
  <c r="BY435" i="128"/>
  <c r="BX435" i="128"/>
  <c r="BW435" i="128"/>
  <c r="BV435" i="128"/>
  <c r="BU435" i="128"/>
  <c r="BT435" i="128"/>
  <c r="BS435" i="128"/>
  <c r="BR435" i="128"/>
  <c r="BQ435" i="128"/>
  <c r="BP435" i="128"/>
  <c r="BO435" i="128"/>
  <c r="BN435" i="128"/>
  <c r="BM435" i="128"/>
  <c r="BL435" i="128"/>
  <c r="BK435" i="128"/>
  <c r="BJ435" i="128"/>
  <c r="BI435" i="128"/>
  <c r="BH435" i="128"/>
  <c r="BG435" i="128"/>
  <c r="BF435" i="128"/>
  <c r="BE435" i="128"/>
  <c r="BD435" i="128"/>
  <c r="BC435" i="128"/>
  <c r="BB435" i="128"/>
  <c r="AZ435" i="128"/>
  <c r="AY435" i="128"/>
  <c r="AX435" i="128"/>
  <c r="AW435" i="128"/>
  <c r="AV435" i="128"/>
  <c r="AU435" i="128"/>
  <c r="AT435" i="128"/>
  <c r="AS435" i="128"/>
  <c r="AR435" i="128"/>
  <c r="AQ435" i="128"/>
  <c r="AP435" i="128"/>
  <c r="AO435" i="128"/>
  <c r="AN435" i="128"/>
  <c r="AM435" i="128"/>
  <c r="AL435" i="128"/>
  <c r="AK435" i="128"/>
  <c r="AJ435" i="128"/>
  <c r="AI435" i="128"/>
  <c r="AH435" i="128"/>
  <c r="AF435" i="128"/>
  <c r="AD435" i="128"/>
  <c r="AC435" i="128"/>
  <c r="AB435" i="128"/>
  <c r="AA435" i="128"/>
  <c r="Z435" i="128"/>
  <c r="Y435" i="128"/>
  <c r="X435" i="128"/>
  <c r="W435" i="128"/>
  <c r="U435" i="128"/>
  <c r="T435" i="128"/>
  <c r="S435" i="128"/>
  <c r="M434" i="128"/>
  <c r="M435" i="128" s="1"/>
  <c r="N435" i="128" s="1"/>
  <c r="CT433" i="128"/>
  <c r="CS433" i="128"/>
  <c r="CR433" i="128"/>
  <c r="CQ433" i="128"/>
  <c r="CP433" i="128"/>
  <c r="CO433" i="128"/>
  <c r="CN433" i="128"/>
  <c r="CM433" i="128"/>
  <c r="CL433" i="128"/>
  <c r="CK433" i="128"/>
  <c r="CJ433" i="128"/>
  <c r="CI433" i="128"/>
  <c r="CH433" i="128"/>
  <c r="CG433" i="128"/>
  <c r="CF433" i="128"/>
  <c r="CE433" i="128"/>
  <c r="CD433" i="128"/>
  <c r="CC433" i="128"/>
  <c r="CB433" i="128"/>
  <c r="CA433" i="128"/>
  <c r="BZ433" i="128"/>
  <c r="BY433" i="128"/>
  <c r="BX433" i="128"/>
  <c r="BW433" i="128"/>
  <c r="BV433" i="128"/>
  <c r="BU433" i="128"/>
  <c r="BT433" i="128"/>
  <c r="BS433" i="128"/>
  <c r="BR433" i="128"/>
  <c r="BQ433" i="128"/>
  <c r="BP433" i="128"/>
  <c r="BO433" i="128"/>
  <c r="BN433" i="128"/>
  <c r="BM433" i="128"/>
  <c r="BL433" i="128"/>
  <c r="BK433" i="128"/>
  <c r="BJ433" i="128"/>
  <c r="BI433" i="128"/>
  <c r="BH433" i="128"/>
  <c r="BG433" i="128"/>
  <c r="BF433" i="128"/>
  <c r="BE433" i="128"/>
  <c r="BD433" i="128"/>
  <c r="BC433" i="128"/>
  <c r="BB433" i="128"/>
  <c r="AZ433" i="128"/>
  <c r="AY433" i="128"/>
  <c r="AX433" i="128"/>
  <c r="AW433" i="128"/>
  <c r="AV433" i="128"/>
  <c r="AU433" i="128"/>
  <c r="AT433" i="128"/>
  <c r="AS433" i="128"/>
  <c r="AR433" i="128"/>
  <c r="AQ433" i="128"/>
  <c r="AO433" i="128"/>
  <c r="AN433" i="128"/>
  <c r="AM433" i="128"/>
  <c r="AL433" i="128"/>
  <c r="AK433" i="128"/>
  <c r="AJ433" i="128"/>
  <c r="AI433" i="128"/>
  <c r="AF433" i="128"/>
  <c r="AD433" i="128"/>
  <c r="AC433" i="128"/>
  <c r="AB433" i="128"/>
  <c r="AA433" i="128"/>
  <c r="Z433" i="128"/>
  <c r="Y433" i="128"/>
  <c r="X433" i="128"/>
  <c r="W433" i="128"/>
  <c r="V433" i="128"/>
  <c r="U433" i="128"/>
  <c r="T433" i="128"/>
  <c r="S433" i="128"/>
  <c r="M432" i="128"/>
  <c r="CT431" i="128"/>
  <c r="CS431" i="128"/>
  <c r="CR431" i="128"/>
  <c r="CQ431" i="128"/>
  <c r="CP431" i="128"/>
  <c r="CO431" i="128"/>
  <c r="CN431" i="128"/>
  <c r="CM431" i="128"/>
  <c r="CL431" i="128"/>
  <c r="CK431" i="128"/>
  <c r="CJ431" i="128"/>
  <c r="CI431" i="128"/>
  <c r="CH431" i="128"/>
  <c r="CG431" i="128"/>
  <c r="CF431" i="128"/>
  <c r="CE431" i="128"/>
  <c r="CD431" i="128"/>
  <c r="CC431" i="128"/>
  <c r="CB431" i="128"/>
  <c r="CA431" i="128"/>
  <c r="BZ431" i="128"/>
  <c r="BY431" i="128"/>
  <c r="BX431" i="128"/>
  <c r="BW431" i="128"/>
  <c r="BV431" i="128"/>
  <c r="BU431" i="128"/>
  <c r="BT431" i="128"/>
  <c r="BS431" i="128"/>
  <c r="BR431" i="128"/>
  <c r="BQ431" i="128"/>
  <c r="BP431" i="128"/>
  <c r="BO431" i="128"/>
  <c r="BN431" i="128"/>
  <c r="BM431" i="128"/>
  <c r="BL431" i="128"/>
  <c r="BK431" i="128"/>
  <c r="BJ431" i="128"/>
  <c r="BI431" i="128"/>
  <c r="BH431" i="128"/>
  <c r="BG431" i="128"/>
  <c r="BF431" i="128"/>
  <c r="BE431" i="128"/>
  <c r="BD431" i="128"/>
  <c r="BC431" i="128"/>
  <c r="BB431" i="128"/>
  <c r="AZ431" i="128"/>
  <c r="AY431" i="128"/>
  <c r="AX431" i="128"/>
  <c r="AW431" i="128"/>
  <c r="AV431" i="128"/>
  <c r="AU431" i="128"/>
  <c r="AT431" i="128"/>
  <c r="AS431" i="128"/>
  <c r="AR431" i="128"/>
  <c r="AQ431" i="128"/>
  <c r="AO431" i="128"/>
  <c r="AN431" i="128"/>
  <c r="AM431" i="128"/>
  <c r="AL431" i="128"/>
  <c r="AK431" i="128"/>
  <c r="AJ431" i="128"/>
  <c r="AI431" i="128"/>
  <c r="AF431" i="128"/>
  <c r="AD431" i="128"/>
  <c r="AC431" i="128"/>
  <c r="AB431" i="128"/>
  <c r="AA431" i="128"/>
  <c r="Z431" i="128"/>
  <c r="Y431" i="128"/>
  <c r="X431" i="128"/>
  <c r="W431" i="128"/>
  <c r="V431" i="128"/>
  <c r="U431" i="128"/>
  <c r="T431" i="128"/>
  <c r="S431" i="128"/>
  <c r="M430" i="128"/>
  <c r="Q430" i="128" s="1"/>
  <c r="M429" i="128"/>
  <c r="Q429" i="128" s="1"/>
  <c r="M428" i="128"/>
  <c r="Q428" i="128" s="1"/>
  <c r="CT427" i="128"/>
  <c r="CS427" i="128"/>
  <c r="CR427" i="128"/>
  <c r="CQ427" i="128"/>
  <c r="CP427" i="128"/>
  <c r="CO427" i="128"/>
  <c r="CN427" i="128"/>
  <c r="CM427" i="128"/>
  <c r="CL427" i="128"/>
  <c r="CK427" i="128"/>
  <c r="CJ427" i="128"/>
  <c r="CI427" i="128"/>
  <c r="CH427" i="128"/>
  <c r="CG427" i="128"/>
  <c r="CF427" i="128"/>
  <c r="CE427" i="128"/>
  <c r="CD427" i="128"/>
  <c r="CC427" i="128"/>
  <c r="CB427" i="128"/>
  <c r="CA427" i="128"/>
  <c r="BZ427" i="128"/>
  <c r="BY427" i="128"/>
  <c r="BX427" i="128"/>
  <c r="BW427" i="128"/>
  <c r="BV427" i="128"/>
  <c r="BU427" i="128"/>
  <c r="BT427" i="128"/>
  <c r="BS427" i="128"/>
  <c r="BR427" i="128"/>
  <c r="BQ427" i="128"/>
  <c r="BP427" i="128"/>
  <c r="BO427" i="128"/>
  <c r="BN427" i="128"/>
  <c r="BM427" i="128"/>
  <c r="BL427" i="128"/>
  <c r="BK427" i="128"/>
  <c r="BJ427" i="128"/>
  <c r="BI427" i="128"/>
  <c r="BH427" i="128"/>
  <c r="BG427" i="128"/>
  <c r="BF427" i="128"/>
  <c r="BE427" i="128"/>
  <c r="BD427" i="128"/>
  <c r="BC427" i="128"/>
  <c r="BB427" i="128"/>
  <c r="AZ427" i="128"/>
  <c r="AY427" i="128"/>
  <c r="AX427" i="128"/>
  <c r="AW427" i="128"/>
  <c r="AV427" i="128"/>
  <c r="AU427" i="128"/>
  <c r="AT427" i="128"/>
  <c r="AS427" i="128"/>
  <c r="AR427" i="128"/>
  <c r="AQ427" i="128"/>
  <c r="AO427" i="128"/>
  <c r="AN427" i="128"/>
  <c r="AM427" i="128"/>
  <c r="AL427" i="128"/>
  <c r="AK427" i="128"/>
  <c r="AJ427" i="128"/>
  <c r="AI427" i="128"/>
  <c r="AF427" i="128"/>
  <c r="AD427" i="128"/>
  <c r="AC427" i="128"/>
  <c r="AB427" i="128"/>
  <c r="AA427" i="128"/>
  <c r="Z427" i="128"/>
  <c r="Y427" i="128"/>
  <c r="X427" i="128"/>
  <c r="W427" i="128"/>
  <c r="V427" i="128"/>
  <c r="U427" i="128"/>
  <c r="T427" i="128"/>
  <c r="S427" i="128"/>
  <c r="M426" i="128"/>
  <c r="P425" i="128"/>
  <c r="M425" i="128"/>
  <c r="CT424" i="128"/>
  <c r="CS424" i="128"/>
  <c r="CR424" i="128"/>
  <c r="CQ424" i="128"/>
  <c r="CP424" i="128"/>
  <c r="CO424" i="128"/>
  <c r="CN424" i="128"/>
  <c r="CM424" i="128"/>
  <c r="CL424" i="128"/>
  <c r="CK424" i="128"/>
  <c r="CJ424" i="128"/>
  <c r="CI424" i="128"/>
  <c r="CH424" i="128"/>
  <c r="CG424" i="128"/>
  <c r="CF424" i="128"/>
  <c r="CE424" i="128"/>
  <c r="CD424" i="128"/>
  <c r="CC424" i="128"/>
  <c r="CB424" i="128"/>
  <c r="CA424" i="128"/>
  <c r="BZ424" i="128"/>
  <c r="BY424" i="128"/>
  <c r="BX424" i="128"/>
  <c r="BW424" i="128"/>
  <c r="BV424" i="128"/>
  <c r="BU424" i="128"/>
  <c r="BT424" i="128"/>
  <c r="BS424" i="128"/>
  <c r="BR424" i="128"/>
  <c r="BQ424" i="128"/>
  <c r="BP424" i="128"/>
  <c r="BO424" i="128"/>
  <c r="BN424" i="128"/>
  <c r="BM424" i="128"/>
  <c r="BL424" i="128"/>
  <c r="BK424" i="128"/>
  <c r="BJ424" i="128"/>
  <c r="BI424" i="128"/>
  <c r="BH424" i="128"/>
  <c r="BG424" i="128"/>
  <c r="BF424" i="128"/>
  <c r="BE424" i="128"/>
  <c r="BD424" i="128"/>
  <c r="BB424" i="128"/>
  <c r="AZ424" i="128"/>
  <c r="AY424" i="128"/>
  <c r="AX424" i="128"/>
  <c r="AW424" i="128"/>
  <c r="AV424" i="128"/>
  <c r="AU424" i="128"/>
  <c r="AT424" i="128"/>
  <c r="AS424" i="128"/>
  <c r="AR424" i="128"/>
  <c r="AQ424" i="128"/>
  <c r="AP424" i="128"/>
  <c r="AO424" i="128"/>
  <c r="AN424" i="128"/>
  <c r="AM424" i="128"/>
  <c r="AL424" i="128"/>
  <c r="AK424" i="128"/>
  <c r="AJ424" i="128"/>
  <c r="AI424" i="128"/>
  <c r="AH424" i="128"/>
  <c r="AF424" i="128"/>
  <c r="AD424" i="128"/>
  <c r="AC424" i="128"/>
  <c r="AB424" i="128"/>
  <c r="AA424" i="128"/>
  <c r="Z424" i="128"/>
  <c r="Y424" i="128"/>
  <c r="X424" i="128"/>
  <c r="W424" i="128"/>
  <c r="V424" i="128"/>
  <c r="U424" i="128"/>
  <c r="T424" i="128"/>
  <c r="S424" i="128"/>
  <c r="M423" i="128"/>
  <c r="BC423" i="128" s="1"/>
  <c r="CT422" i="128"/>
  <c r="CS422" i="128"/>
  <c r="CR422" i="128"/>
  <c r="CQ422" i="128"/>
  <c r="CP422" i="128"/>
  <c r="CO422" i="128"/>
  <c r="CN422" i="128"/>
  <c r="CM422" i="128"/>
  <c r="CL422" i="128"/>
  <c r="CK422" i="128"/>
  <c r="CJ422" i="128"/>
  <c r="CI422" i="128"/>
  <c r="CH422" i="128"/>
  <c r="CG422" i="128"/>
  <c r="CF422" i="128"/>
  <c r="CE422" i="128"/>
  <c r="CD422" i="128"/>
  <c r="CC422" i="128"/>
  <c r="CB422" i="128"/>
  <c r="CA422" i="128"/>
  <c r="BZ422" i="128"/>
  <c r="BY422" i="128"/>
  <c r="BX422" i="128"/>
  <c r="BW422" i="128"/>
  <c r="BV422" i="128"/>
  <c r="BU422" i="128"/>
  <c r="BT422" i="128"/>
  <c r="BS422" i="128"/>
  <c r="BR422" i="128"/>
  <c r="BQ422" i="128"/>
  <c r="BP422" i="128"/>
  <c r="BO422" i="128"/>
  <c r="BN422" i="128"/>
  <c r="BM422" i="128"/>
  <c r="BL422" i="128"/>
  <c r="BK422" i="128"/>
  <c r="BJ422" i="128"/>
  <c r="BI422" i="128"/>
  <c r="BH422" i="128"/>
  <c r="BG422" i="128"/>
  <c r="BF422" i="128"/>
  <c r="BE422" i="128"/>
  <c r="BD422" i="128"/>
  <c r="BC422" i="128"/>
  <c r="BB422" i="128"/>
  <c r="AZ422" i="128"/>
  <c r="AY422" i="128"/>
  <c r="AX422" i="128"/>
  <c r="AW422" i="128"/>
  <c r="AV422" i="128"/>
  <c r="AU422" i="128"/>
  <c r="AT422" i="128"/>
  <c r="AS422" i="128"/>
  <c r="AR422" i="128"/>
  <c r="AQ422" i="128"/>
  <c r="AP422" i="128"/>
  <c r="AO422" i="128"/>
  <c r="AN422" i="128"/>
  <c r="AM422" i="128"/>
  <c r="AL422" i="128"/>
  <c r="AK422" i="128"/>
  <c r="AJ422" i="128"/>
  <c r="AI422" i="128"/>
  <c r="AH422" i="128"/>
  <c r="AF422" i="128"/>
  <c r="AD422" i="128"/>
  <c r="AC422" i="128"/>
  <c r="AB422" i="128"/>
  <c r="AA422" i="128"/>
  <c r="Z422" i="128"/>
  <c r="Y422" i="128"/>
  <c r="X422" i="128"/>
  <c r="W422" i="128"/>
  <c r="V422" i="128"/>
  <c r="U422" i="128"/>
  <c r="T422" i="128"/>
  <c r="S422" i="128"/>
  <c r="M421" i="128"/>
  <c r="M420" i="128"/>
  <c r="Q420" i="128" s="1"/>
  <c r="M419" i="128"/>
  <c r="M418" i="128"/>
  <c r="Q418" i="128" s="1"/>
  <c r="M417" i="128"/>
  <c r="P417" i="128" s="1"/>
  <c r="M416" i="128"/>
  <c r="CT415" i="128"/>
  <c r="CS415" i="128"/>
  <c r="CR415" i="128"/>
  <c r="CQ415" i="128"/>
  <c r="CP415" i="128"/>
  <c r="CO415" i="128"/>
  <c r="CN415" i="128"/>
  <c r="CM415" i="128"/>
  <c r="CL415" i="128"/>
  <c r="CK415" i="128"/>
  <c r="CJ415" i="128"/>
  <c r="CI415" i="128"/>
  <c r="CH415" i="128"/>
  <c r="CG415" i="128"/>
  <c r="CF415" i="128"/>
  <c r="CE415" i="128"/>
  <c r="CD415" i="128"/>
  <c r="CC415" i="128"/>
  <c r="CB415" i="128"/>
  <c r="CA415" i="128"/>
  <c r="BZ415" i="128"/>
  <c r="BY415" i="128"/>
  <c r="BX415" i="128"/>
  <c r="BW415" i="128"/>
  <c r="BV415" i="128"/>
  <c r="BU415" i="128"/>
  <c r="BT415" i="128"/>
  <c r="BS415" i="128"/>
  <c r="BR415" i="128"/>
  <c r="BQ415" i="128"/>
  <c r="BP415" i="128"/>
  <c r="BO415" i="128"/>
  <c r="BN415" i="128"/>
  <c r="BM415" i="128"/>
  <c r="BL415" i="128"/>
  <c r="BK415" i="128"/>
  <c r="BJ415" i="128"/>
  <c r="BI415" i="128"/>
  <c r="BH415" i="128"/>
  <c r="BG415" i="128"/>
  <c r="BF415" i="128"/>
  <c r="BE415" i="128"/>
  <c r="BD415" i="128"/>
  <c r="BC415" i="128"/>
  <c r="BB415" i="128"/>
  <c r="AZ415" i="128"/>
  <c r="AY415" i="128"/>
  <c r="AX415" i="128"/>
  <c r="AW415" i="128"/>
  <c r="AV415" i="128"/>
  <c r="AU415" i="128"/>
  <c r="AT415" i="128"/>
  <c r="AS415" i="128"/>
  <c r="AR415" i="128"/>
  <c r="AQ415" i="128"/>
  <c r="AP415" i="128"/>
  <c r="AO415" i="128"/>
  <c r="AN415" i="128"/>
  <c r="AM415" i="128"/>
  <c r="AL415" i="128"/>
  <c r="AK415" i="128"/>
  <c r="AJ415" i="128"/>
  <c r="AI415" i="128"/>
  <c r="AH415" i="128"/>
  <c r="AF415" i="128"/>
  <c r="AD415" i="128"/>
  <c r="AC415" i="128"/>
  <c r="AB415" i="128"/>
  <c r="AA415" i="128"/>
  <c r="Z415" i="128"/>
  <c r="Y415" i="128"/>
  <c r="X415" i="128"/>
  <c r="W415" i="128"/>
  <c r="V415" i="128"/>
  <c r="U415" i="128"/>
  <c r="T415" i="128"/>
  <c r="S415" i="128"/>
  <c r="M414" i="128"/>
  <c r="M413" i="128"/>
  <c r="Q413" i="128" s="1"/>
  <c r="M412" i="128"/>
  <c r="CT411" i="128"/>
  <c r="CS411" i="128"/>
  <c r="CR411" i="128"/>
  <c r="CQ411" i="128"/>
  <c r="CP411" i="128"/>
  <c r="CO411" i="128"/>
  <c r="CN411" i="128"/>
  <c r="CM411" i="128"/>
  <c r="CL411" i="128"/>
  <c r="CK411" i="128"/>
  <c r="CJ411" i="128"/>
  <c r="CI411" i="128"/>
  <c r="CH411" i="128"/>
  <c r="CG411" i="128"/>
  <c r="CF411" i="128"/>
  <c r="CE411" i="128"/>
  <c r="CD411" i="128"/>
  <c r="CC411" i="128"/>
  <c r="CB411" i="128"/>
  <c r="CA411" i="128"/>
  <c r="BZ411" i="128"/>
  <c r="BY411" i="128"/>
  <c r="BX411" i="128"/>
  <c r="BW411" i="128"/>
  <c r="BV411" i="128"/>
  <c r="BU411" i="128"/>
  <c r="BT411" i="128"/>
  <c r="BS411" i="128"/>
  <c r="BR411" i="128"/>
  <c r="BQ411" i="128"/>
  <c r="BP411" i="128"/>
  <c r="BO411" i="128"/>
  <c r="BN411" i="128"/>
  <c r="BM411" i="128"/>
  <c r="BL411" i="128"/>
  <c r="BK411" i="128"/>
  <c r="BJ411" i="128"/>
  <c r="BI411" i="128"/>
  <c r="BH411" i="128"/>
  <c r="BG411" i="128"/>
  <c r="BF411" i="128"/>
  <c r="BE411" i="128"/>
  <c r="BD411" i="128"/>
  <c r="BC411" i="128"/>
  <c r="BB411" i="128"/>
  <c r="AZ411" i="128"/>
  <c r="AY411" i="128"/>
  <c r="AX411" i="128"/>
  <c r="AW411" i="128"/>
  <c r="AV411" i="128"/>
  <c r="AU411" i="128"/>
  <c r="AT411" i="128"/>
  <c r="AS411" i="128"/>
  <c r="AR411" i="128"/>
  <c r="AQ411" i="128"/>
  <c r="AP411" i="128"/>
  <c r="AO411" i="128"/>
  <c r="AN411" i="128"/>
  <c r="AM411" i="128"/>
  <c r="AL411" i="128"/>
  <c r="AK411" i="128"/>
  <c r="AJ411" i="128"/>
  <c r="AI411" i="128"/>
  <c r="AH411" i="128"/>
  <c r="AF411" i="128"/>
  <c r="AD411" i="128"/>
  <c r="AC411" i="128"/>
  <c r="AB411" i="128"/>
  <c r="AA411" i="128"/>
  <c r="Z411" i="128"/>
  <c r="Y411" i="128"/>
  <c r="X411" i="128"/>
  <c r="W411" i="128"/>
  <c r="V411" i="128"/>
  <c r="U411" i="128"/>
  <c r="T411" i="128"/>
  <c r="S411" i="128"/>
  <c r="M410" i="128"/>
  <c r="R410" i="128" s="1"/>
  <c r="CT409" i="128"/>
  <c r="CS409" i="128"/>
  <c r="CR409" i="128"/>
  <c r="CQ409" i="128"/>
  <c r="CP409" i="128"/>
  <c r="CO409" i="128"/>
  <c r="CN409" i="128"/>
  <c r="CM409" i="128"/>
  <c r="CL409" i="128"/>
  <c r="CK409" i="128"/>
  <c r="CJ409" i="128"/>
  <c r="CI409" i="128"/>
  <c r="CH409" i="128"/>
  <c r="CG409" i="128"/>
  <c r="CF409" i="128"/>
  <c r="CE409" i="128"/>
  <c r="CD409" i="128"/>
  <c r="CC409" i="128"/>
  <c r="CB409" i="128"/>
  <c r="CA409" i="128"/>
  <c r="BZ409" i="128"/>
  <c r="BY409" i="128"/>
  <c r="BX409" i="128"/>
  <c r="BW409" i="128"/>
  <c r="BV409" i="128"/>
  <c r="BU409" i="128"/>
  <c r="BT409" i="128"/>
  <c r="BS409" i="128"/>
  <c r="BR409" i="128"/>
  <c r="BQ409" i="128"/>
  <c r="BP409" i="128"/>
  <c r="BO409" i="128"/>
  <c r="BN409" i="128"/>
  <c r="BM409" i="128"/>
  <c r="BL409" i="128"/>
  <c r="BK409" i="128"/>
  <c r="BJ409" i="128"/>
  <c r="BI409" i="128"/>
  <c r="BH409" i="128"/>
  <c r="BG409" i="128"/>
  <c r="BF409" i="128"/>
  <c r="BE409" i="128"/>
  <c r="BD409" i="128"/>
  <c r="BC409" i="128"/>
  <c r="BB409" i="128"/>
  <c r="AZ409" i="128"/>
  <c r="AY409" i="128"/>
  <c r="AX409" i="128"/>
  <c r="AW409" i="128"/>
  <c r="AV409" i="128"/>
  <c r="AU409" i="128"/>
  <c r="AT409" i="128"/>
  <c r="AS409" i="128"/>
  <c r="AR409" i="128"/>
  <c r="AQ409" i="128"/>
  <c r="AP409" i="128"/>
  <c r="AO409" i="128"/>
  <c r="AN409" i="128"/>
  <c r="AM409" i="128"/>
  <c r="AL409" i="128"/>
  <c r="AK409" i="128"/>
  <c r="AJ409" i="128"/>
  <c r="AI409" i="128"/>
  <c r="AH409" i="128"/>
  <c r="AF409" i="128"/>
  <c r="AD409" i="128"/>
  <c r="AC409" i="128"/>
  <c r="AB409" i="128"/>
  <c r="AA409" i="128"/>
  <c r="Z409" i="128"/>
  <c r="Y409" i="128"/>
  <c r="X409" i="128"/>
  <c r="W409" i="128"/>
  <c r="V409" i="128"/>
  <c r="U409" i="128"/>
  <c r="T409" i="128"/>
  <c r="S409" i="128"/>
  <c r="M408" i="128"/>
  <c r="R408" i="128" s="1"/>
  <c r="CT407" i="128"/>
  <c r="CS407" i="128"/>
  <c r="CR407" i="128"/>
  <c r="CQ407" i="128"/>
  <c r="CP407" i="128"/>
  <c r="CO407" i="128"/>
  <c r="CN407" i="128"/>
  <c r="CM407" i="128"/>
  <c r="CL407" i="128"/>
  <c r="CK407" i="128"/>
  <c r="CJ407" i="128"/>
  <c r="CI407" i="128"/>
  <c r="CH407" i="128"/>
  <c r="CG407" i="128"/>
  <c r="CF407" i="128"/>
  <c r="CE407" i="128"/>
  <c r="CD407" i="128"/>
  <c r="CC407" i="128"/>
  <c r="CB407" i="128"/>
  <c r="CA407" i="128"/>
  <c r="BZ407" i="128"/>
  <c r="BY407" i="128"/>
  <c r="BX407" i="128"/>
  <c r="BW407" i="128"/>
  <c r="BV407" i="128"/>
  <c r="BU407" i="128"/>
  <c r="BT407" i="128"/>
  <c r="BS407" i="128"/>
  <c r="BR407" i="128"/>
  <c r="BQ407" i="128"/>
  <c r="BP407" i="128"/>
  <c r="BO407" i="128"/>
  <c r="BN407" i="128"/>
  <c r="BM407" i="128"/>
  <c r="BL407" i="128"/>
  <c r="BK407" i="128"/>
  <c r="BJ407" i="128"/>
  <c r="BI407" i="128"/>
  <c r="BH407" i="128"/>
  <c r="BG407" i="128"/>
  <c r="BF407" i="128"/>
  <c r="BE407" i="128"/>
  <c r="BD407" i="128"/>
  <c r="BC407" i="128"/>
  <c r="BB407" i="128"/>
  <c r="AZ407" i="128"/>
  <c r="AY407" i="128"/>
  <c r="AX407" i="128"/>
  <c r="AW407" i="128"/>
  <c r="AV407" i="128"/>
  <c r="AU407" i="128"/>
  <c r="AT407" i="128"/>
  <c r="AS407" i="128"/>
  <c r="AR407" i="128"/>
  <c r="AQ407" i="128"/>
  <c r="AP407" i="128"/>
  <c r="AO407" i="128"/>
  <c r="AN407" i="128"/>
  <c r="AM407" i="128"/>
  <c r="AL407" i="128"/>
  <c r="AK407" i="128"/>
  <c r="AJ407" i="128"/>
  <c r="AI407" i="128"/>
  <c r="AH407" i="128"/>
  <c r="AF407" i="128"/>
  <c r="AD407" i="128"/>
  <c r="AC407" i="128"/>
  <c r="AB407" i="128"/>
  <c r="AA407" i="128"/>
  <c r="Z407" i="128"/>
  <c r="Y407" i="128"/>
  <c r="X407" i="128"/>
  <c r="W407" i="128"/>
  <c r="V407" i="128"/>
  <c r="U407" i="128"/>
  <c r="T407" i="128"/>
  <c r="S407" i="128"/>
  <c r="M406" i="128"/>
  <c r="M407" i="128" s="1"/>
  <c r="CT405" i="128"/>
  <c r="CS405" i="128"/>
  <c r="CR405" i="128"/>
  <c r="CQ405" i="128"/>
  <c r="CP405" i="128"/>
  <c r="CO405" i="128"/>
  <c r="CN405" i="128"/>
  <c r="CM405" i="128"/>
  <c r="CL405" i="128"/>
  <c r="CK405" i="128"/>
  <c r="CJ405" i="128"/>
  <c r="CI405" i="128"/>
  <c r="CH405" i="128"/>
  <c r="CG405" i="128"/>
  <c r="CF405" i="128"/>
  <c r="CE405" i="128"/>
  <c r="CD405" i="128"/>
  <c r="CC405" i="128"/>
  <c r="CB405" i="128"/>
  <c r="CA405" i="128"/>
  <c r="BZ405" i="128"/>
  <c r="BY405" i="128"/>
  <c r="BX405" i="128"/>
  <c r="BW405" i="128"/>
  <c r="BV405" i="128"/>
  <c r="BU405" i="128"/>
  <c r="BT405" i="128"/>
  <c r="BS405" i="128"/>
  <c r="BR405" i="128"/>
  <c r="BQ405" i="128"/>
  <c r="BP405" i="128"/>
  <c r="BO405" i="128"/>
  <c r="BN405" i="128"/>
  <c r="BM405" i="128"/>
  <c r="BL405" i="128"/>
  <c r="BK405" i="128"/>
  <c r="BJ405" i="128"/>
  <c r="BI405" i="128"/>
  <c r="BH405" i="128"/>
  <c r="BG405" i="128"/>
  <c r="BF405" i="128"/>
  <c r="BE405" i="128"/>
  <c r="BD405" i="128"/>
  <c r="BC405" i="128"/>
  <c r="BB405" i="128"/>
  <c r="AZ405" i="128"/>
  <c r="AY405" i="128"/>
  <c r="AX405" i="128"/>
  <c r="AW405" i="128"/>
  <c r="AV405" i="128"/>
  <c r="AU405" i="128"/>
  <c r="AT405" i="128"/>
  <c r="AS405" i="128"/>
  <c r="AR405" i="128"/>
  <c r="AQ405" i="128"/>
  <c r="AP405" i="128"/>
  <c r="AO405" i="128"/>
  <c r="AN405" i="128"/>
  <c r="AM405" i="128"/>
  <c r="AL405" i="128"/>
  <c r="AK405" i="128"/>
  <c r="AJ405" i="128"/>
  <c r="AI405" i="128"/>
  <c r="AH405" i="128"/>
  <c r="AF405" i="128"/>
  <c r="AD405" i="128"/>
  <c r="AC405" i="128"/>
  <c r="AB405" i="128"/>
  <c r="AA405" i="128"/>
  <c r="Z405" i="128"/>
  <c r="Y405" i="128"/>
  <c r="X405" i="128"/>
  <c r="W405" i="128"/>
  <c r="V405" i="128"/>
  <c r="U405" i="128"/>
  <c r="T405" i="128"/>
  <c r="S405" i="128"/>
  <c r="M404" i="128"/>
  <c r="M403" i="128"/>
  <c r="M402" i="128"/>
  <c r="M401" i="128"/>
  <c r="Q401" i="128" s="1"/>
  <c r="M400" i="128"/>
  <c r="M399" i="128"/>
  <c r="Q399" i="128" s="1"/>
  <c r="M398" i="128"/>
  <c r="M397" i="128"/>
  <c r="P397" i="128" s="1"/>
  <c r="M396" i="128"/>
  <c r="P396" i="128" s="1"/>
  <c r="M395" i="128"/>
  <c r="M394" i="128"/>
  <c r="M393" i="128"/>
  <c r="P393" i="128" s="1"/>
  <c r="M392" i="128"/>
  <c r="M391" i="128"/>
  <c r="M390" i="128"/>
  <c r="P390" i="128" s="1"/>
  <c r="M389" i="128"/>
  <c r="P389" i="128" s="1"/>
  <c r="M388" i="128"/>
  <c r="M387" i="128"/>
  <c r="M386" i="128"/>
  <c r="P386" i="128" s="1"/>
  <c r="M385" i="128"/>
  <c r="P385" i="128" s="1"/>
  <c r="M384" i="128"/>
  <c r="CT383" i="128"/>
  <c r="CS383" i="128"/>
  <c r="CR383" i="128"/>
  <c r="CQ383" i="128"/>
  <c r="CP383" i="128"/>
  <c r="CO383" i="128"/>
  <c r="CN383" i="128"/>
  <c r="CM383" i="128"/>
  <c r="CL383" i="128"/>
  <c r="CK383" i="128"/>
  <c r="CJ383" i="128"/>
  <c r="CI383" i="128"/>
  <c r="CH383" i="128"/>
  <c r="CG383" i="128"/>
  <c r="CF383" i="128"/>
  <c r="CE383" i="128"/>
  <c r="CD383" i="128"/>
  <c r="CC383" i="128"/>
  <c r="CB383" i="128"/>
  <c r="CA383" i="128"/>
  <c r="BZ383" i="128"/>
  <c r="BY383" i="128"/>
  <c r="BX383" i="128"/>
  <c r="BW383" i="128"/>
  <c r="BV383" i="128"/>
  <c r="BU383" i="128"/>
  <c r="BT383" i="128"/>
  <c r="BS383" i="128"/>
  <c r="BR383" i="128"/>
  <c r="BQ383" i="128"/>
  <c r="BP383" i="128"/>
  <c r="BN383" i="128"/>
  <c r="BM383" i="128"/>
  <c r="BL383" i="128"/>
  <c r="BK383" i="128"/>
  <c r="BJ383" i="128"/>
  <c r="BI383" i="128"/>
  <c r="BH383" i="128"/>
  <c r="BG383" i="128"/>
  <c r="BF383" i="128"/>
  <c r="BE383" i="128"/>
  <c r="BD383" i="128"/>
  <c r="BC383" i="128"/>
  <c r="BB383" i="128"/>
  <c r="AZ383" i="128"/>
  <c r="AY383" i="128"/>
  <c r="AX383" i="128"/>
  <c r="AW383" i="128"/>
  <c r="AV383" i="128"/>
  <c r="AU383" i="128"/>
  <c r="AT383" i="128"/>
  <c r="AS383" i="128"/>
  <c r="AR383" i="128"/>
  <c r="AQ383" i="128"/>
  <c r="AP383" i="128"/>
  <c r="AO383" i="128"/>
  <c r="AN383" i="128"/>
  <c r="AM383" i="128"/>
  <c r="AL383" i="128"/>
  <c r="AK383" i="128"/>
  <c r="AJ383" i="128"/>
  <c r="AI383" i="128"/>
  <c r="AH383" i="128"/>
  <c r="AF383" i="128"/>
  <c r="AD383" i="128"/>
  <c r="AC383" i="128"/>
  <c r="AB383" i="128"/>
  <c r="AA383" i="128"/>
  <c r="Z383" i="128"/>
  <c r="Y383" i="128"/>
  <c r="X383" i="128"/>
  <c r="W383" i="128"/>
  <c r="V383" i="128"/>
  <c r="U383" i="128"/>
  <c r="T383" i="128"/>
  <c r="S383" i="128"/>
  <c r="BO382" i="128"/>
  <c r="BO383" i="128" s="1"/>
  <c r="M382" i="128"/>
  <c r="M383" i="128" s="1"/>
  <c r="CT381" i="128"/>
  <c r="CS381" i="128"/>
  <c r="CR381" i="128"/>
  <c r="CQ381" i="128"/>
  <c r="CP381" i="128"/>
  <c r="CO381" i="128"/>
  <c r="CN381" i="128"/>
  <c r="CM381" i="128"/>
  <c r="CL381" i="128"/>
  <c r="CK381" i="128"/>
  <c r="CJ381" i="128"/>
  <c r="CI381" i="128"/>
  <c r="CH381" i="128"/>
  <c r="CG381" i="128"/>
  <c r="CF381" i="128"/>
  <c r="CE381" i="128"/>
  <c r="CD381" i="128"/>
  <c r="CC381" i="128"/>
  <c r="CB381" i="128"/>
  <c r="CA381" i="128"/>
  <c r="BZ381" i="128"/>
  <c r="BY381" i="128"/>
  <c r="BX381" i="128"/>
  <c r="BW381" i="128"/>
  <c r="BV381" i="128"/>
  <c r="BU381" i="128"/>
  <c r="BT381" i="128"/>
  <c r="BS381" i="128"/>
  <c r="BR381" i="128"/>
  <c r="BQ381" i="128"/>
  <c r="BP381" i="128"/>
  <c r="BO381" i="128"/>
  <c r="BN381" i="128"/>
  <c r="BM381" i="128"/>
  <c r="BL381" i="128"/>
  <c r="BK381" i="128"/>
  <c r="BJ381" i="128"/>
  <c r="BI381" i="128"/>
  <c r="BH381" i="128"/>
  <c r="BG381" i="128"/>
  <c r="BF381" i="128"/>
  <c r="BE381" i="128"/>
  <c r="BD381" i="128"/>
  <c r="BC381" i="128"/>
  <c r="BB381" i="128"/>
  <c r="AZ381" i="128"/>
  <c r="AY381" i="128"/>
  <c r="AX381" i="128"/>
  <c r="AW381" i="128"/>
  <c r="AV381" i="128"/>
  <c r="AU381" i="128"/>
  <c r="AT381" i="128"/>
  <c r="AS381" i="128"/>
  <c r="AR381" i="128"/>
  <c r="AQ381" i="128"/>
  <c r="AP381" i="128"/>
  <c r="AO381" i="128"/>
  <c r="AN381" i="128"/>
  <c r="AM381" i="128"/>
  <c r="AL381" i="128"/>
  <c r="AK381" i="128"/>
  <c r="AJ381" i="128"/>
  <c r="AI381" i="128"/>
  <c r="AH381" i="128"/>
  <c r="AF381" i="128"/>
  <c r="AD381" i="128"/>
  <c r="AC381" i="128"/>
  <c r="AB381" i="128"/>
  <c r="AA381" i="128"/>
  <c r="Z381" i="128"/>
  <c r="Y381" i="128"/>
  <c r="X381" i="128"/>
  <c r="W381" i="128"/>
  <c r="V381" i="128"/>
  <c r="U381" i="128"/>
  <c r="T381" i="128"/>
  <c r="S381" i="128"/>
  <c r="M380" i="128"/>
  <c r="M381" i="128" s="1"/>
  <c r="CT379" i="128"/>
  <c r="CS379" i="128"/>
  <c r="CR379" i="128"/>
  <c r="CQ379" i="128"/>
  <c r="CP379" i="128"/>
  <c r="CO379" i="128"/>
  <c r="CN379" i="128"/>
  <c r="CM379" i="128"/>
  <c r="CL379" i="128"/>
  <c r="CK379" i="128"/>
  <c r="CJ379" i="128"/>
  <c r="CI379" i="128"/>
  <c r="CH379" i="128"/>
  <c r="CG379" i="128"/>
  <c r="CF379" i="128"/>
  <c r="CE379" i="128"/>
  <c r="CD379" i="128"/>
  <c r="CC379" i="128"/>
  <c r="CB379" i="128"/>
  <c r="CA379" i="128"/>
  <c r="BZ379" i="128"/>
  <c r="BY379" i="128"/>
  <c r="BX379" i="128"/>
  <c r="BW379" i="128"/>
  <c r="BV379" i="128"/>
  <c r="BU379" i="128"/>
  <c r="BT379" i="128"/>
  <c r="BS379" i="128"/>
  <c r="BR379" i="128"/>
  <c r="BQ379" i="128"/>
  <c r="BP379" i="128"/>
  <c r="BO379" i="128"/>
  <c r="BN379" i="128"/>
  <c r="BM379" i="128"/>
  <c r="BL379" i="128"/>
  <c r="BK379" i="128"/>
  <c r="BJ379" i="128"/>
  <c r="BI379" i="128"/>
  <c r="BH379" i="128"/>
  <c r="BG379" i="128"/>
  <c r="BF379" i="128"/>
  <c r="BE379" i="128"/>
  <c r="BD379" i="128"/>
  <c r="BC379" i="128"/>
  <c r="BB379" i="128"/>
  <c r="AZ379" i="128"/>
  <c r="AY379" i="128"/>
  <c r="AX379" i="128"/>
  <c r="AW379" i="128"/>
  <c r="AV379" i="128"/>
  <c r="AU379" i="128"/>
  <c r="AT379" i="128"/>
  <c r="AS379" i="128"/>
  <c r="AR379" i="128"/>
  <c r="AQ379" i="128"/>
  <c r="AP379" i="128"/>
  <c r="AO379" i="128"/>
  <c r="AN379" i="128"/>
  <c r="AM379" i="128"/>
  <c r="AL379" i="128"/>
  <c r="AK379" i="128"/>
  <c r="AJ379" i="128"/>
  <c r="AI379" i="128"/>
  <c r="AH379" i="128"/>
  <c r="AF379" i="128"/>
  <c r="AD379" i="128"/>
  <c r="AC379" i="128"/>
  <c r="AB379" i="128"/>
  <c r="AA379" i="128"/>
  <c r="Z379" i="128"/>
  <c r="Y379" i="128"/>
  <c r="X379" i="128"/>
  <c r="W379" i="128"/>
  <c r="V379" i="128"/>
  <c r="U379" i="128"/>
  <c r="T379" i="128"/>
  <c r="S379" i="128"/>
  <c r="M378" i="128"/>
  <c r="Q378" i="128" s="1"/>
  <c r="M377" i="128"/>
  <c r="Q377" i="128" s="1"/>
  <c r="M376" i="128"/>
  <c r="Q376" i="128" s="1"/>
  <c r="M375" i="128"/>
  <c r="Q375" i="128" s="1"/>
  <c r="M374" i="128"/>
  <c r="Q374" i="128" s="1"/>
  <c r="M373" i="128"/>
  <c r="Q373" i="128" s="1"/>
  <c r="CT372" i="128"/>
  <c r="CS372" i="128"/>
  <c r="CR372" i="128"/>
  <c r="CQ372" i="128"/>
  <c r="CP372" i="128"/>
  <c r="CO372" i="128"/>
  <c r="CN372" i="128"/>
  <c r="CM372" i="128"/>
  <c r="CL372" i="128"/>
  <c r="CK372" i="128"/>
  <c r="CJ372" i="128"/>
  <c r="CI372" i="128"/>
  <c r="CH372" i="128"/>
  <c r="CG372" i="128"/>
  <c r="CF372" i="128"/>
  <c r="CE372" i="128"/>
  <c r="CD372" i="128"/>
  <c r="CC372" i="128"/>
  <c r="CB372" i="128"/>
  <c r="CA372" i="128"/>
  <c r="BZ372" i="128"/>
  <c r="BY372" i="128"/>
  <c r="BX372" i="128"/>
  <c r="BW372" i="128"/>
  <c r="BV372" i="128"/>
  <c r="BU372" i="128"/>
  <c r="BT372" i="128"/>
  <c r="BS372" i="128"/>
  <c r="BR372" i="128"/>
  <c r="BQ372" i="128"/>
  <c r="BP372" i="128"/>
  <c r="BN372" i="128"/>
  <c r="BM372" i="128"/>
  <c r="BL372" i="128"/>
  <c r="BK372" i="128"/>
  <c r="BJ372" i="128"/>
  <c r="BI372" i="128"/>
  <c r="BH372" i="128"/>
  <c r="BG372" i="128"/>
  <c r="BF372" i="128"/>
  <c r="BE372" i="128"/>
  <c r="BD372" i="128"/>
  <c r="BC372" i="128"/>
  <c r="BB372" i="128"/>
  <c r="AZ372" i="128"/>
  <c r="AY372" i="128"/>
  <c r="AX372" i="128"/>
  <c r="AW372" i="128"/>
  <c r="AV372" i="128"/>
  <c r="AU372" i="128"/>
  <c r="AT372" i="128"/>
  <c r="AS372" i="128"/>
  <c r="AR372" i="128"/>
  <c r="AQ372" i="128"/>
  <c r="AP372" i="128"/>
  <c r="AO372" i="128"/>
  <c r="AN372" i="128"/>
  <c r="AM372" i="128"/>
  <c r="AL372" i="128"/>
  <c r="AK372" i="128"/>
  <c r="AJ372" i="128"/>
  <c r="AI372" i="128"/>
  <c r="AH372" i="128"/>
  <c r="AF372" i="128"/>
  <c r="AD372" i="128"/>
  <c r="AC372" i="128"/>
  <c r="AB372" i="128"/>
  <c r="AA372" i="128"/>
  <c r="Z372" i="128"/>
  <c r="Y372" i="128"/>
  <c r="X372" i="128"/>
  <c r="W372" i="128"/>
  <c r="V372" i="128"/>
  <c r="U372" i="128"/>
  <c r="T372" i="128"/>
  <c r="S372" i="128"/>
  <c r="M371" i="128"/>
  <c r="P371" i="128" s="1"/>
  <c r="CT370" i="128"/>
  <c r="CS370" i="128"/>
  <c r="CR370" i="128"/>
  <c r="CQ370" i="128"/>
  <c r="CP370" i="128"/>
  <c r="CO370" i="128"/>
  <c r="CN370" i="128"/>
  <c r="CM370" i="128"/>
  <c r="CL370" i="128"/>
  <c r="CK370" i="128"/>
  <c r="CJ370" i="128"/>
  <c r="CI370" i="128"/>
  <c r="CH370" i="128"/>
  <c r="CG370" i="128"/>
  <c r="CF370" i="128"/>
  <c r="CE370" i="128"/>
  <c r="CD370" i="128"/>
  <c r="CC370" i="128"/>
  <c r="CB370" i="128"/>
  <c r="CA370" i="128"/>
  <c r="BZ370" i="128"/>
  <c r="BY370" i="128"/>
  <c r="BX370" i="128"/>
  <c r="BW370" i="128"/>
  <c r="BV370" i="128"/>
  <c r="BU370" i="128"/>
  <c r="BT370" i="128"/>
  <c r="BS370" i="128"/>
  <c r="BR370" i="128"/>
  <c r="BQ370" i="128"/>
  <c r="BP370" i="128"/>
  <c r="BO370" i="128"/>
  <c r="BN370" i="128"/>
  <c r="BM370" i="128"/>
  <c r="BL370" i="128"/>
  <c r="BK370" i="128"/>
  <c r="BJ370" i="128"/>
  <c r="BI370" i="128"/>
  <c r="BH370" i="128"/>
  <c r="BG370" i="128"/>
  <c r="BF370" i="128"/>
  <c r="BE370" i="128"/>
  <c r="BD370" i="128"/>
  <c r="BC370" i="128"/>
  <c r="BB370" i="128"/>
  <c r="AZ370" i="128"/>
  <c r="AY370" i="128"/>
  <c r="AX370" i="128"/>
  <c r="AW370" i="128"/>
  <c r="AV370" i="128"/>
  <c r="AU370" i="128"/>
  <c r="AT370" i="128"/>
  <c r="AS370" i="128"/>
  <c r="AR370" i="128"/>
  <c r="AQ370" i="128"/>
  <c r="AP370" i="128"/>
  <c r="AO370" i="128"/>
  <c r="AN370" i="128"/>
  <c r="AM370" i="128"/>
  <c r="AL370" i="128"/>
  <c r="AK370" i="128"/>
  <c r="AJ370" i="128"/>
  <c r="AI370" i="128"/>
  <c r="AH370" i="128"/>
  <c r="AF370" i="128"/>
  <c r="AD370" i="128"/>
  <c r="AC370" i="128"/>
  <c r="AB370" i="128"/>
  <c r="AA370" i="128"/>
  <c r="Z370" i="128"/>
  <c r="Y370" i="128"/>
  <c r="X370" i="128"/>
  <c r="W370" i="128"/>
  <c r="V370" i="128"/>
  <c r="U370" i="128"/>
  <c r="T370" i="128"/>
  <c r="S370" i="128"/>
  <c r="M369" i="128"/>
  <c r="M370" i="128" s="1"/>
  <c r="CT368" i="128"/>
  <c r="CS368" i="128"/>
  <c r="CR368" i="128"/>
  <c r="CQ368" i="128"/>
  <c r="CP368" i="128"/>
  <c r="CO368" i="128"/>
  <c r="CN368" i="128"/>
  <c r="CM368" i="128"/>
  <c r="CL368" i="128"/>
  <c r="CK368" i="128"/>
  <c r="CJ368" i="128"/>
  <c r="CI368" i="128"/>
  <c r="CH368" i="128"/>
  <c r="CG368" i="128"/>
  <c r="CF368" i="128"/>
  <c r="CE368" i="128"/>
  <c r="CD368" i="128"/>
  <c r="CC368" i="128"/>
  <c r="CB368" i="128"/>
  <c r="CA368" i="128"/>
  <c r="BZ368" i="128"/>
  <c r="BY368" i="128"/>
  <c r="BX368" i="128"/>
  <c r="BW368" i="128"/>
  <c r="BV368" i="128"/>
  <c r="BU368" i="128"/>
  <c r="BT368" i="128"/>
  <c r="BS368" i="128"/>
  <c r="BR368" i="128"/>
  <c r="BQ368" i="128"/>
  <c r="BP368" i="128"/>
  <c r="BO368" i="128"/>
  <c r="BN368" i="128"/>
  <c r="BM368" i="128"/>
  <c r="BL368" i="128"/>
  <c r="BK368" i="128"/>
  <c r="BJ368" i="128"/>
  <c r="BI368" i="128"/>
  <c r="BH368" i="128"/>
  <c r="BG368" i="128"/>
  <c r="BF368" i="128"/>
  <c r="BE368" i="128"/>
  <c r="BD368" i="128"/>
  <c r="BC368" i="128"/>
  <c r="BB368" i="128"/>
  <c r="AZ368" i="128"/>
  <c r="AY368" i="128"/>
  <c r="AX368" i="128"/>
  <c r="AW368" i="128"/>
  <c r="AV368" i="128"/>
  <c r="AU368" i="128"/>
  <c r="AT368" i="128"/>
  <c r="AS368" i="128"/>
  <c r="AR368" i="128"/>
  <c r="AQ368" i="128"/>
  <c r="AP368" i="128"/>
  <c r="AO368" i="128"/>
  <c r="AN368" i="128"/>
  <c r="AM368" i="128"/>
  <c r="AL368" i="128"/>
  <c r="AK368" i="128"/>
  <c r="AJ368" i="128"/>
  <c r="AI368" i="128"/>
  <c r="AH368" i="128"/>
  <c r="AF368" i="128"/>
  <c r="AD368" i="128"/>
  <c r="AC368" i="128"/>
  <c r="AB368" i="128"/>
  <c r="AA368" i="128"/>
  <c r="Z368" i="128"/>
  <c r="Y368" i="128"/>
  <c r="X368" i="128"/>
  <c r="W368" i="128"/>
  <c r="V368" i="128"/>
  <c r="U368" i="128"/>
  <c r="T368" i="128"/>
  <c r="S368" i="128"/>
  <c r="M367" i="128"/>
  <c r="M368" i="128" s="1"/>
  <c r="CT366" i="128"/>
  <c r="CS366" i="128"/>
  <c r="CR366" i="128"/>
  <c r="CQ366" i="128"/>
  <c r="CP366" i="128"/>
  <c r="CO366" i="128"/>
  <c r="CN366" i="128"/>
  <c r="CM366" i="128"/>
  <c r="CL366" i="128"/>
  <c r="CK366" i="128"/>
  <c r="CJ366" i="128"/>
  <c r="CI366" i="128"/>
  <c r="CH366" i="128"/>
  <c r="CG366" i="128"/>
  <c r="CF366" i="128"/>
  <c r="CE366" i="128"/>
  <c r="CD366" i="128"/>
  <c r="CC366" i="128"/>
  <c r="CB366" i="128"/>
  <c r="CA366" i="128"/>
  <c r="BZ366" i="128"/>
  <c r="BY366" i="128"/>
  <c r="BX366" i="128"/>
  <c r="BW366" i="128"/>
  <c r="BV366" i="128"/>
  <c r="BU366" i="128"/>
  <c r="BT366" i="128"/>
  <c r="BS366" i="128"/>
  <c r="BR366" i="128"/>
  <c r="BQ366" i="128"/>
  <c r="BP366" i="128"/>
  <c r="BO366" i="128"/>
  <c r="BN366" i="128"/>
  <c r="BM366" i="128"/>
  <c r="BL366" i="128"/>
  <c r="BK366" i="128"/>
  <c r="BJ366" i="128"/>
  <c r="BI366" i="128"/>
  <c r="BH366" i="128"/>
  <c r="BG366" i="128"/>
  <c r="BF366" i="128"/>
  <c r="BE366" i="128"/>
  <c r="BD366" i="128"/>
  <c r="BC366" i="128"/>
  <c r="BB366" i="128"/>
  <c r="AZ366" i="128"/>
  <c r="AY366" i="128"/>
  <c r="AX366" i="128"/>
  <c r="AW366" i="128"/>
  <c r="AV366" i="128"/>
  <c r="AU366" i="128"/>
  <c r="AT366" i="128"/>
  <c r="AS366" i="128"/>
  <c r="AR366" i="128"/>
  <c r="AQ366" i="128"/>
  <c r="AP366" i="128"/>
  <c r="AO366" i="128"/>
  <c r="AN366" i="128"/>
  <c r="AM366" i="128"/>
  <c r="AL366" i="128"/>
  <c r="AK366" i="128"/>
  <c r="AJ366" i="128"/>
  <c r="AI366" i="128"/>
  <c r="AH366" i="128"/>
  <c r="AF366" i="128"/>
  <c r="AD366" i="128"/>
  <c r="AC366" i="128"/>
  <c r="AB366" i="128"/>
  <c r="AA366" i="128"/>
  <c r="Z366" i="128"/>
  <c r="Y366" i="128"/>
  <c r="X366" i="128"/>
  <c r="W366" i="128"/>
  <c r="V366" i="128"/>
  <c r="U366" i="128"/>
  <c r="T366" i="128"/>
  <c r="S366" i="128"/>
  <c r="M365" i="128"/>
  <c r="CT364" i="128"/>
  <c r="CS364" i="128"/>
  <c r="CR364" i="128"/>
  <c r="CQ364" i="128"/>
  <c r="CP364" i="128"/>
  <c r="CO364" i="128"/>
  <c r="CN364" i="128"/>
  <c r="CM364" i="128"/>
  <c r="CL364" i="128"/>
  <c r="CK364" i="128"/>
  <c r="CJ364" i="128"/>
  <c r="CI364" i="128"/>
  <c r="CH364" i="128"/>
  <c r="CG364" i="128"/>
  <c r="CF364" i="128"/>
  <c r="CE364" i="128"/>
  <c r="CD364" i="128"/>
  <c r="CC364" i="128"/>
  <c r="CB364" i="128"/>
  <c r="CA364" i="128"/>
  <c r="BZ364" i="128"/>
  <c r="BY364" i="128"/>
  <c r="BX364" i="128"/>
  <c r="BW364" i="128"/>
  <c r="BV364" i="128"/>
  <c r="BU364" i="128"/>
  <c r="BT364" i="128"/>
  <c r="BS364" i="128"/>
  <c r="BR364" i="128"/>
  <c r="BQ364" i="128"/>
  <c r="BP364" i="128"/>
  <c r="BO364" i="128"/>
  <c r="BN364" i="128"/>
  <c r="BM364" i="128"/>
  <c r="BL364" i="128"/>
  <c r="BK364" i="128"/>
  <c r="BJ364" i="128"/>
  <c r="BI364" i="128"/>
  <c r="BH364" i="128"/>
  <c r="BG364" i="128"/>
  <c r="BF364" i="128"/>
  <c r="BE364" i="128"/>
  <c r="BD364" i="128"/>
  <c r="BC364" i="128"/>
  <c r="BB364" i="128"/>
  <c r="AZ364" i="128"/>
  <c r="AY364" i="128"/>
  <c r="AX364" i="128"/>
  <c r="AV364" i="128"/>
  <c r="AU364" i="128"/>
  <c r="AT364" i="128"/>
  <c r="AS364" i="128"/>
  <c r="AR364" i="128"/>
  <c r="AQ364" i="128"/>
  <c r="AP364" i="128"/>
  <c r="AO364" i="128"/>
  <c r="AN364" i="128"/>
  <c r="AM364" i="128"/>
  <c r="AL364" i="128"/>
  <c r="AK364" i="128"/>
  <c r="AJ364" i="128"/>
  <c r="AI364" i="128"/>
  <c r="AH364" i="128"/>
  <c r="AF364" i="128"/>
  <c r="AD364" i="128"/>
  <c r="AC364" i="128"/>
  <c r="AB364" i="128"/>
  <c r="AA364" i="128"/>
  <c r="Z364" i="128"/>
  <c r="Y364" i="128"/>
  <c r="X364" i="128"/>
  <c r="W364" i="128"/>
  <c r="V364" i="128"/>
  <c r="U364" i="128"/>
  <c r="T364" i="128"/>
  <c r="S364" i="128"/>
  <c r="M363" i="128"/>
  <c r="M364" i="128" s="1"/>
  <c r="CT362" i="128"/>
  <c r="CS362" i="128"/>
  <c r="CR362" i="128"/>
  <c r="CQ362" i="128"/>
  <c r="CP362" i="128"/>
  <c r="CO362" i="128"/>
  <c r="CN362" i="128"/>
  <c r="CM362" i="128"/>
  <c r="CL362" i="128"/>
  <c r="CK362" i="128"/>
  <c r="CJ362" i="128"/>
  <c r="CI362" i="128"/>
  <c r="CH362" i="128"/>
  <c r="CG362" i="128"/>
  <c r="CF362" i="128"/>
  <c r="CE362" i="128"/>
  <c r="CD362" i="128"/>
  <c r="CC362" i="128"/>
  <c r="CB362" i="128"/>
  <c r="CA362" i="128"/>
  <c r="BZ362" i="128"/>
  <c r="BY362" i="128"/>
  <c r="BX362" i="128"/>
  <c r="BW362" i="128"/>
  <c r="BV362" i="128"/>
  <c r="BU362" i="128"/>
  <c r="BT362" i="128"/>
  <c r="BS362" i="128"/>
  <c r="BR362" i="128"/>
  <c r="BQ362" i="128"/>
  <c r="BP362" i="128"/>
  <c r="BO362" i="128"/>
  <c r="BN362" i="128"/>
  <c r="BM362" i="128"/>
  <c r="BL362" i="128"/>
  <c r="BK362" i="128"/>
  <c r="BJ362" i="128"/>
  <c r="BI362" i="128"/>
  <c r="BH362" i="128"/>
  <c r="BG362" i="128"/>
  <c r="BF362" i="128"/>
  <c r="BE362" i="128"/>
  <c r="BD362" i="128"/>
  <c r="BC362" i="128"/>
  <c r="BB362" i="128"/>
  <c r="AZ362" i="128"/>
  <c r="AY362" i="128"/>
  <c r="AX362" i="128"/>
  <c r="AV362" i="128"/>
  <c r="AU362" i="128"/>
  <c r="AT362" i="128"/>
  <c r="AS362" i="128"/>
  <c r="AR362" i="128"/>
  <c r="AQ362" i="128"/>
  <c r="AP362" i="128"/>
  <c r="AO362" i="128"/>
  <c r="AN362" i="128"/>
  <c r="AM362" i="128"/>
  <c r="AL362" i="128"/>
  <c r="AK362" i="128"/>
  <c r="AJ362" i="128"/>
  <c r="AI362" i="128"/>
  <c r="AH362" i="128"/>
  <c r="AF362" i="128"/>
  <c r="AD362" i="128"/>
  <c r="AC362" i="128"/>
  <c r="AB362" i="128"/>
  <c r="AA362" i="128"/>
  <c r="Z362" i="128"/>
  <c r="Y362" i="128"/>
  <c r="X362" i="128"/>
  <c r="W362" i="128"/>
  <c r="V362" i="128"/>
  <c r="U362" i="128"/>
  <c r="T362" i="128"/>
  <c r="S362" i="128"/>
  <c r="M361" i="128"/>
  <c r="P361" i="128" s="1"/>
  <c r="CT360" i="128"/>
  <c r="CS360" i="128"/>
  <c r="CR360" i="128"/>
  <c r="CQ360" i="128"/>
  <c r="CP360" i="128"/>
  <c r="CO360" i="128"/>
  <c r="CN360" i="128"/>
  <c r="CM360" i="128"/>
  <c r="CL360" i="128"/>
  <c r="CK360" i="128"/>
  <c r="CJ360" i="128"/>
  <c r="CI360" i="128"/>
  <c r="CH360" i="128"/>
  <c r="CG360" i="128"/>
  <c r="CF360" i="128"/>
  <c r="CE360" i="128"/>
  <c r="CD360" i="128"/>
  <c r="CC360" i="128"/>
  <c r="CB360" i="128"/>
  <c r="CA360" i="128"/>
  <c r="BZ360" i="128"/>
  <c r="BY360" i="128"/>
  <c r="BX360" i="128"/>
  <c r="BW360" i="128"/>
  <c r="BV360" i="128"/>
  <c r="BU360" i="128"/>
  <c r="BT360" i="128"/>
  <c r="BS360" i="128"/>
  <c r="BR360" i="128"/>
  <c r="BQ360" i="128"/>
  <c r="BP360" i="128"/>
  <c r="BO360" i="128"/>
  <c r="BN360" i="128"/>
  <c r="BM360" i="128"/>
  <c r="BL360" i="128"/>
  <c r="BK360" i="128"/>
  <c r="BJ360" i="128"/>
  <c r="BI360" i="128"/>
  <c r="BH360" i="128"/>
  <c r="BG360" i="128"/>
  <c r="BF360" i="128"/>
  <c r="BE360" i="128"/>
  <c r="BD360" i="128"/>
  <c r="BC360" i="128"/>
  <c r="BB360" i="128"/>
  <c r="AZ360" i="128"/>
  <c r="AY360" i="128"/>
  <c r="AX360" i="128"/>
  <c r="AV360" i="128"/>
  <c r="AU360" i="128"/>
  <c r="AT360" i="128"/>
  <c r="AS360" i="128"/>
  <c r="AR360" i="128"/>
  <c r="AQ360" i="128"/>
  <c r="AP360" i="128"/>
  <c r="AO360" i="128"/>
  <c r="AN360" i="128"/>
  <c r="AM360" i="128"/>
  <c r="AL360" i="128"/>
  <c r="AK360" i="128"/>
  <c r="AJ360" i="128"/>
  <c r="AI360" i="128"/>
  <c r="AH360" i="128"/>
  <c r="AF360" i="128"/>
  <c r="AD360" i="128"/>
  <c r="AC360" i="128"/>
  <c r="AB360" i="128"/>
  <c r="AA360" i="128"/>
  <c r="Z360" i="128"/>
  <c r="Y360" i="128"/>
  <c r="X360" i="128"/>
  <c r="W360" i="128"/>
  <c r="V360" i="128"/>
  <c r="U360" i="128"/>
  <c r="T360" i="128"/>
  <c r="S360" i="128"/>
  <c r="M359" i="128"/>
  <c r="M360" i="128" s="1"/>
  <c r="CT358" i="128"/>
  <c r="CS358" i="128"/>
  <c r="CR358" i="128"/>
  <c r="CQ358" i="128"/>
  <c r="CP358" i="128"/>
  <c r="CO358" i="128"/>
  <c r="CN358" i="128"/>
  <c r="CM358" i="128"/>
  <c r="CL358" i="128"/>
  <c r="CK358" i="128"/>
  <c r="CJ358" i="128"/>
  <c r="CI358" i="128"/>
  <c r="CH358" i="128"/>
  <c r="CG358" i="128"/>
  <c r="CF358" i="128"/>
  <c r="CE358" i="128"/>
  <c r="CD358" i="128"/>
  <c r="CC358" i="128"/>
  <c r="CB358" i="128"/>
  <c r="CA358" i="128"/>
  <c r="BZ358" i="128"/>
  <c r="BY358" i="128"/>
  <c r="BX358" i="128"/>
  <c r="BW358" i="128"/>
  <c r="BV358" i="128"/>
  <c r="BU358" i="128"/>
  <c r="BT358" i="128"/>
  <c r="BS358" i="128"/>
  <c r="BR358" i="128"/>
  <c r="BQ358" i="128"/>
  <c r="BP358" i="128"/>
  <c r="BO358" i="128"/>
  <c r="BN358" i="128"/>
  <c r="BM358" i="128"/>
  <c r="BL358" i="128"/>
  <c r="BK358" i="128"/>
  <c r="BJ358" i="128"/>
  <c r="BI358" i="128"/>
  <c r="BH358" i="128"/>
  <c r="BG358" i="128"/>
  <c r="BF358" i="128"/>
  <c r="BE358" i="128"/>
  <c r="BD358" i="128"/>
  <c r="BC358" i="128"/>
  <c r="BB358" i="128"/>
  <c r="AZ358" i="128"/>
  <c r="AY358" i="128"/>
  <c r="AX358" i="128"/>
  <c r="AV358" i="128"/>
  <c r="AU358" i="128"/>
  <c r="AT358" i="128"/>
  <c r="AS358" i="128"/>
  <c r="AR358" i="128"/>
  <c r="AQ358" i="128"/>
  <c r="AP358" i="128"/>
  <c r="AO358" i="128"/>
  <c r="AN358" i="128"/>
  <c r="AM358" i="128"/>
  <c r="AL358" i="128"/>
  <c r="AK358" i="128"/>
  <c r="AJ358" i="128"/>
  <c r="AI358" i="128"/>
  <c r="AH358" i="128"/>
  <c r="AF358" i="128"/>
  <c r="AD358" i="128"/>
  <c r="AC358" i="128"/>
  <c r="AB358" i="128"/>
  <c r="AA358" i="128"/>
  <c r="Z358" i="128"/>
  <c r="Y358" i="128"/>
  <c r="X358" i="128"/>
  <c r="W358" i="128"/>
  <c r="V358" i="128"/>
  <c r="U358" i="128"/>
  <c r="T358" i="128"/>
  <c r="S358" i="128"/>
  <c r="M357" i="128"/>
  <c r="P357" i="128" s="1"/>
  <c r="CT356" i="128"/>
  <c r="CS356" i="128"/>
  <c r="CR356" i="128"/>
  <c r="CQ356" i="128"/>
  <c r="CP356" i="128"/>
  <c r="CO356" i="128"/>
  <c r="CN356" i="128"/>
  <c r="CM356" i="128"/>
  <c r="CL356" i="128"/>
  <c r="CK356" i="128"/>
  <c r="CJ356" i="128"/>
  <c r="CI356" i="128"/>
  <c r="CH356" i="128"/>
  <c r="CG356" i="128"/>
  <c r="CF356" i="128"/>
  <c r="CE356" i="128"/>
  <c r="CD356" i="128"/>
  <c r="CC356" i="128"/>
  <c r="CB356" i="128"/>
  <c r="CA356" i="128"/>
  <c r="BZ356" i="128"/>
  <c r="BY356" i="128"/>
  <c r="BX356" i="128"/>
  <c r="BW356" i="128"/>
  <c r="BV356" i="128"/>
  <c r="BU356" i="128"/>
  <c r="BT356" i="128"/>
  <c r="BS356" i="128"/>
  <c r="BR356" i="128"/>
  <c r="BQ356" i="128"/>
  <c r="BP356" i="128"/>
  <c r="BO356" i="128"/>
  <c r="BN356" i="128"/>
  <c r="BM356" i="128"/>
  <c r="BL356" i="128"/>
  <c r="BK356" i="128"/>
  <c r="BJ356" i="128"/>
  <c r="BI356" i="128"/>
  <c r="BH356" i="128"/>
  <c r="BG356" i="128"/>
  <c r="BF356" i="128"/>
  <c r="BE356" i="128"/>
  <c r="BD356" i="128"/>
  <c r="BC356" i="128"/>
  <c r="BB356" i="128"/>
  <c r="AZ356" i="128"/>
  <c r="AY356" i="128"/>
  <c r="AX356" i="128"/>
  <c r="AV356" i="128"/>
  <c r="AU356" i="128"/>
  <c r="AT356" i="128"/>
  <c r="AS356" i="128"/>
  <c r="AR356" i="128"/>
  <c r="AQ356" i="128"/>
  <c r="AP356" i="128"/>
  <c r="AO356" i="128"/>
  <c r="AN356" i="128"/>
  <c r="AM356" i="128"/>
  <c r="AL356" i="128"/>
  <c r="AK356" i="128"/>
  <c r="AJ356" i="128"/>
  <c r="AI356" i="128"/>
  <c r="AH356" i="128"/>
  <c r="AF356" i="128"/>
  <c r="AD356" i="128"/>
  <c r="AC356" i="128"/>
  <c r="AB356" i="128"/>
  <c r="AA356" i="128"/>
  <c r="Z356" i="128"/>
  <c r="Y356" i="128"/>
  <c r="X356" i="128"/>
  <c r="W356" i="128"/>
  <c r="V356" i="128"/>
  <c r="U356" i="128"/>
  <c r="T356" i="128"/>
  <c r="S356" i="128"/>
  <c r="M355" i="128"/>
  <c r="M356" i="128" s="1"/>
  <c r="CT354" i="128"/>
  <c r="CS354" i="128"/>
  <c r="CR354" i="128"/>
  <c r="CQ354" i="128"/>
  <c r="CP354" i="128"/>
  <c r="CO354" i="128"/>
  <c r="CN354" i="128"/>
  <c r="CM354" i="128"/>
  <c r="CL354" i="128"/>
  <c r="CK354" i="128"/>
  <c r="CJ354" i="128"/>
  <c r="CI354" i="128"/>
  <c r="CH354" i="128"/>
  <c r="CG354" i="128"/>
  <c r="CF354" i="128"/>
  <c r="CE354" i="128"/>
  <c r="CD354" i="128"/>
  <c r="CC354" i="128"/>
  <c r="CB354" i="128"/>
  <c r="CA354" i="128"/>
  <c r="BZ354" i="128"/>
  <c r="BY354" i="128"/>
  <c r="BX354" i="128"/>
  <c r="BW354" i="128"/>
  <c r="BV354" i="128"/>
  <c r="BU354" i="128"/>
  <c r="BT354" i="128"/>
  <c r="BS354" i="128"/>
  <c r="BR354" i="128"/>
  <c r="BQ354" i="128"/>
  <c r="BP354" i="128"/>
  <c r="BO354" i="128"/>
  <c r="BN354" i="128"/>
  <c r="BM354" i="128"/>
  <c r="BL354" i="128"/>
  <c r="BK354" i="128"/>
  <c r="BJ354" i="128"/>
  <c r="BI354" i="128"/>
  <c r="BH354" i="128"/>
  <c r="BG354" i="128"/>
  <c r="BF354" i="128"/>
  <c r="BE354" i="128"/>
  <c r="BD354" i="128"/>
  <c r="BC354" i="128"/>
  <c r="BB354" i="128"/>
  <c r="AZ354" i="128"/>
  <c r="AY354" i="128"/>
  <c r="AX354" i="128"/>
  <c r="AV354" i="128"/>
  <c r="AU354" i="128"/>
  <c r="AT354" i="128"/>
  <c r="AS354" i="128"/>
  <c r="AR354" i="128"/>
  <c r="AQ354" i="128"/>
  <c r="AP354" i="128"/>
  <c r="AO354" i="128"/>
  <c r="AN354" i="128"/>
  <c r="AM354" i="128"/>
  <c r="AL354" i="128"/>
  <c r="AK354" i="128"/>
  <c r="AJ354" i="128"/>
  <c r="AI354" i="128"/>
  <c r="AH354" i="128"/>
  <c r="AF354" i="128"/>
  <c r="AD354" i="128"/>
  <c r="AC354" i="128"/>
  <c r="AB354" i="128"/>
  <c r="AA354" i="128"/>
  <c r="Z354" i="128"/>
  <c r="Y354" i="128"/>
  <c r="X354" i="128"/>
  <c r="W354" i="128"/>
  <c r="V354" i="128"/>
  <c r="U354" i="128"/>
  <c r="T354" i="128"/>
  <c r="S354" i="128"/>
  <c r="M353" i="128"/>
  <c r="CT352" i="128"/>
  <c r="CS352" i="128"/>
  <c r="CR352" i="128"/>
  <c r="CQ352" i="128"/>
  <c r="CP352" i="128"/>
  <c r="CO352" i="128"/>
  <c r="CN352" i="128"/>
  <c r="CM352" i="128"/>
  <c r="CL352" i="128"/>
  <c r="CK352" i="128"/>
  <c r="CJ352" i="128"/>
  <c r="CI352" i="128"/>
  <c r="CH352" i="128"/>
  <c r="CG352" i="128"/>
  <c r="CF352" i="128"/>
  <c r="CE352" i="128"/>
  <c r="CD352" i="128"/>
  <c r="CC352" i="128"/>
  <c r="CB352" i="128"/>
  <c r="CA352" i="128"/>
  <c r="BZ352" i="128"/>
  <c r="BY352" i="128"/>
  <c r="BX352" i="128"/>
  <c r="BW352" i="128"/>
  <c r="BV352" i="128"/>
  <c r="BU352" i="128"/>
  <c r="BT352" i="128"/>
  <c r="BS352" i="128"/>
  <c r="BR352" i="128"/>
  <c r="BQ352" i="128"/>
  <c r="BP352" i="128"/>
  <c r="BO352" i="128"/>
  <c r="BN352" i="128"/>
  <c r="BM352" i="128"/>
  <c r="BL352" i="128"/>
  <c r="BK352" i="128"/>
  <c r="BJ352" i="128"/>
  <c r="BI352" i="128"/>
  <c r="BH352" i="128"/>
  <c r="BG352" i="128"/>
  <c r="BF352" i="128"/>
  <c r="BE352" i="128"/>
  <c r="BD352" i="128"/>
  <c r="BC352" i="128"/>
  <c r="BB352" i="128"/>
  <c r="AZ352" i="128"/>
  <c r="AY352" i="128"/>
  <c r="AX352" i="128"/>
  <c r="AV352" i="128"/>
  <c r="AU352" i="128"/>
  <c r="AT352" i="128"/>
  <c r="AS352" i="128"/>
  <c r="AR352" i="128"/>
  <c r="AQ352" i="128"/>
  <c r="AP352" i="128"/>
  <c r="AO352" i="128"/>
  <c r="AN352" i="128"/>
  <c r="AM352" i="128"/>
  <c r="AL352" i="128"/>
  <c r="AK352" i="128"/>
  <c r="AJ352" i="128"/>
  <c r="AI352" i="128"/>
  <c r="AH352" i="128"/>
  <c r="AF352" i="128"/>
  <c r="AD352" i="128"/>
  <c r="AC352" i="128"/>
  <c r="AB352" i="128"/>
  <c r="AA352" i="128"/>
  <c r="Z352" i="128"/>
  <c r="Y352" i="128"/>
  <c r="X352" i="128"/>
  <c r="W352" i="128"/>
  <c r="V352" i="128"/>
  <c r="U352" i="128"/>
  <c r="T352" i="128"/>
  <c r="S352" i="128"/>
  <c r="M351" i="128"/>
  <c r="M352" i="128" s="1"/>
  <c r="CT350" i="128"/>
  <c r="CS350" i="128"/>
  <c r="CR350" i="128"/>
  <c r="CQ350" i="128"/>
  <c r="CP350" i="128"/>
  <c r="CO350" i="128"/>
  <c r="CN350" i="128"/>
  <c r="CM350" i="128"/>
  <c r="CL350" i="128"/>
  <c r="CK350" i="128"/>
  <c r="CJ350" i="128"/>
  <c r="CI350" i="128"/>
  <c r="CH350" i="128"/>
  <c r="CG350" i="128"/>
  <c r="CF350" i="128"/>
  <c r="CE350" i="128"/>
  <c r="CD350" i="128"/>
  <c r="CC350" i="128"/>
  <c r="CB350" i="128"/>
  <c r="CA350" i="128"/>
  <c r="BZ350" i="128"/>
  <c r="BY350" i="128"/>
  <c r="BX350" i="128"/>
  <c r="BW350" i="128"/>
  <c r="BV350" i="128"/>
  <c r="BU350" i="128"/>
  <c r="BT350" i="128"/>
  <c r="BS350" i="128"/>
  <c r="BR350" i="128"/>
  <c r="BQ350" i="128"/>
  <c r="BP350" i="128"/>
  <c r="BO350" i="128"/>
  <c r="BN350" i="128"/>
  <c r="BM350" i="128"/>
  <c r="BL350" i="128"/>
  <c r="BK350" i="128"/>
  <c r="BJ350" i="128"/>
  <c r="BI350" i="128"/>
  <c r="BH350" i="128"/>
  <c r="BG350" i="128"/>
  <c r="BF350" i="128"/>
  <c r="BE350" i="128"/>
  <c r="BD350" i="128"/>
  <c r="BC350" i="128"/>
  <c r="BB350" i="128"/>
  <c r="AZ350" i="128"/>
  <c r="AY350" i="128"/>
  <c r="AX350" i="128"/>
  <c r="AV350" i="128"/>
  <c r="AU350" i="128"/>
  <c r="AT350" i="128"/>
  <c r="AS350" i="128"/>
  <c r="AR350" i="128"/>
  <c r="AQ350" i="128"/>
  <c r="AP350" i="128"/>
  <c r="AO350" i="128"/>
  <c r="AN350" i="128"/>
  <c r="AM350" i="128"/>
  <c r="AL350" i="128"/>
  <c r="AK350" i="128"/>
  <c r="AJ350" i="128"/>
  <c r="AI350" i="128"/>
  <c r="AH350" i="128"/>
  <c r="AF350" i="128"/>
  <c r="AD350" i="128"/>
  <c r="AC350" i="128"/>
  <c r="AB350" i="128"/>
  <c r="AA350" i="128"/>
  <c r="Z350" i="128"/>
  <c r="Y350" i="128"/>
  <c r="X350" i="128"/>
  <c r="W350" i="128"/>
  <c r="V350" i="128"/>
  <c r="U350" i="128"/>
  <c r="T350" i="128"/>
  <c r="S350" i="128"/>
  <c r="M349" i="128"/>
  <c r="P349" i="128" s="1"/>
  <c r="CT348" i="128"/>
  <c r="CS348" i="128"/>
  <c r="CR348" i="128"/>
  <c r="CQ348" i="128"/>
  <c r="CP348" i="128"/>
  <c r="CO348" i="128"/>
  <c r="CN348" i="128"/>
  <c r="CM348" i="128"/>
  <c r="CL348" i="128"/>
  <c r="CK348" i="128"/>
  <c r="CJ348" i="128"/>
  <c r="CI348" i="128"/>
  <c r="CH348" i="128"/>
  <c r="CG348" i="128"/>
  <c r="CF348" i="128"/>
  <c r="CE348" i="128"/>
  <c r="CD348" i="128"/>
  <c r="CC348" i="128"/>
  <c r="CB348" i="128"/>
  <c r="CA348" i="128"/>
  <c r="BZ348" i="128"/>
  <c r="BY348" i="128"/>
  <c r="BX348" i="128"/>
  <c r="BW348" i="128"/>
  <c r="BV348" i="128"/>
  <c r="BU348" i="128"/>
  <c r="BT348" i="128"/>
  <c r="BS348" i="128"/>
  <c r="BR348" i="128"/>
  <c r="BQ348" i="128"/>
  <c r="BP348" i="128"/>
  <c r="BO348" i="128"/>
  <c r="BN348" i="128"/>
  <c r="BM348" i="128"/>
  <c r="BL348" i="128"/>
  <c r="BK348" i="128"/>
  <c r="BJ348" i="128"/>
  <c r="BI348" i="128"/>
  <c r="BH348" i="128"/>
  <c r="BG348" i="128"/>
  <c r="BF348" i="128"/>
  <c r="BE348" i="128"/>
  <c r="BD348" i="128"/>
  <c r="BC348" i="128"/>
  <c r="BB348" i="128"/>
  <c r="AZ348" i="128"/>
  <c r="AY348" i="128"/>
  <c r="AX348" i="128"/>
  <c r="AV348" i="128"/>
  <c r="AU348" i="128"/>
  <c r="AT348" i="128"/>
  <c r="AS348" i="128"/>
  <c r="AR348" i="128"/>
  <c r="AQ348" i="128"/>
  <c r="AP348" i="128"/>
  <c r="AO348" i="128"/>
  <c r="AN348" i="128"/>
  <c r="AM348" i="128"/>
  <c r="AL348" i="128"/>
  <c r="AK348" i="128"/>
  <c r="AJ348" i="128"/>
  <c r="AI348" i="128"/>
  <c r="AH348" i="128"/>
  <c r="AF348" i="128"/>
  <c r="AD348" i="128"/>
  <c r="AC348" i="128"/>
  <c r="AB348" i="128"/>
  <c r="AA348" i="128"/>
  <c r="Z348" i="128"/>
  <c r="Y348" i="128"/>
  <c r="X348" i="128"/>
  <c r="W348" i="128"/>
  <c r="V348" i="128"/>
  <c r="U348" i="128"/>
  <c r="T348" i="128"/>
  <c r="S348" i="128"/>
  <c r="M347" i="128"/>
  <c r="M348" i="128" s="1"/>
  <c r="CT346" i="128"/>
  <c r="CS346" i="128"/>
  <c r="CR346" i="128"/>
  <c r="CQ346" i="128"/>
  <c r="CP346" i="128"/>
  <c r="CO346" i="128"/>
  <c r="CN346" i="128"/>
  <c r="CM346" i="128"/>
  <c r="CL346" i="128"/>
  <c r="CK346" i="128"/>
  <c r="CJ346" i="128"/>
  <c r="CI346" i="128"/>
  <c r="CH346" i="128"/>
  <c r="CG346" i="128"/>
  <c r="CF346" i="128"/>
  <c r="CE346" i="128"/>
  <c r="CD346" i="128"/>
  <c r="CC346" i="128"/>
  <c r="CB346" i="128"/>
  <c r="CA346" i="128"/>
  <c r="BZ346" i="128"/>
  <c r="BY346" i="128"/>
  <c r="BX346" i="128"/>
  <c r="BW346" i="128"/>
  <c r="BV346" i="128"/>
  <c r="BU346" i="128"/>
  <c r="BT346" i="128"/>
  <c r="BS346" i="128"/>
  <c r="BR346" i="128"/>
  <c r="BQ346" i="128"/>
  <c r="BP346" i="128"/>
  <c r="BO346" i="128"/>
  <c r="BN346" i="128"/>
  <c r="BM346" i="128"/>
  <c r="BL346" i="128"/>
  <c r="BK346" i="128"/>
  <c r="BJ346" i="128"/>
  <c r="BI346" i="128"/>
  <c r="BH346" i="128"/>
  <c r="BG346" i="128"/>
  <c r="BF346" i="128"/>
  <c r="BE346" i="128"/>
  <c r="BD346" i="128"/>
  <c r="BC346" i="128"/>
  <c r="BB346" i="128"/>
  <c r="AZ346" i="128"/>
  <c r="AY346" i="128"/>
  <c r="AX346" i="128"/>
  <c r="AV346" i="128"/>
  <c r="AU346" i="128"/>
  <c r="AT346" i="128"/>
  <c r="AS346" i="128"/>
  <c r="AR346" i="128"/>
  <c r="AQ346" i="128"/>
  <c r="AP346" i="128"/>
  <c r="AO346" i="128"/>
  <c r="AN346" i="128"/>
  <c r="AM346" i="128"/>
  <c r="AL346" i="128"/>
  <c r="AK346" i="128"/>
  <c r="AJ346" i="128"/>
  <c r="AI346" i="128"/>
  <c r="AH346" i="128"/>
  <c r="AF346" i="128"/>
  <c r="AD346" i="128"/>
  <c r="AC346" i="128"/>
  <c r="AB346" i="128"/>
  <c r="AA346" i="128"/>
  <c r="Z346" i="128"/>
  <c r="Y346" i="128"/>
  <c r="X346" i="128"/>
  <c r="W346" i="128"/>
  <c r="V346" i="128"/>
  <c r="U346" i="128"/>
  <c r="T346" i="128"/>
  <c r="S346" i="128"/>
  <c r="M345" i="128"/>
  <c r="P345" i="128" s="1"/>
  <c r="CV127" i="127"/>
  <c r="CV143" i="127"/>
  <c r="CU127" i="127"/>
  <c r="CU136" i="127"/>
  <c r="CV136" i="127" s="1"/>
  <c r="CU143" i="127"/>
  <c r="AE149" i="127"/>
  <c r="AG149" i="127"/>
  <c r="BA149" i="127"/>
  <c r="N96" i="127"/>
  <c r="CT148" i="127"/>
  <c r="CT149" i="127" s="1"/>
  <c r="CS148" i="127"/>
  <c r="CR148" i="127"/>
  <c r="CR149" i="127" s="1"/>
  <c r="CQ148" i="127"/>
  <c r="CQ149" i="127" s="1"/>
  <c r="CP148" i="127"/>
  <c r="CP149" i="127" s="1"/>
  <c r="CO148" i="127"/>
  <c r="CN148" i="127"/>
  <c r="CN149" i="127" s="1"/>
  <c r="CM148" i="127"/>
  <c r="CM149" i="127" s="1"/>
  <c r="CL148" i="127"/>
  <c r="CL149" i="127" s="1"/>
  <c r="CK148" i="127"/>
  <c r="CJ148" i="127"/>
  <c r="CJ149" i="127" s="1"/>
  <c r="CI148" i="127"/>
  <c r="CI149" i="127" s="1"/>
  <c r="CH148" i="127"/>
  <c r="CH149" i="127" s="1"/>
  <c r="CG148" i="127"/>
  <c r="CF148" i="127"/>
  <c r="CF149" i="127" s="1"/>
  <c r="CE148" i="127"/>
  <c r="CE149" i="127" s="1"/>
  <c r="CD148" i="127"/>
  <c r="CD149" i="127" s="1"/>
  <c r="CC148" i="127"/>
  <c r="CB148" i="127"/>
  <c r="CB149" i="127" s="1"/>
  <c r="CA148" i="127"/>
  <c r="CA149" i="127" s="1"/>
  <c r="BZ148" i="127"/>
  <c r="BZ149" i="127" s="1"/>
  <c r="BY148" i="127"/>
  <c r="BX148" i="127"/>
  <c r="BX149" i="127" s="1"/>
  <c r="BW148" i="127"/>
  <c r="BW149" i="127" s="1"/>
  <c r="BV148" i="127"/>
  <c r="BV149" i="127" s="1"/>
  <c r="BU148" i="127"/>
  <c r="BT148" i="127"/>
  <c r="BT149" i="127" s="1"/>
  <c r="BS148" i="127"/>
  <c r="BS149" i="127" s="1"/>
  <c r="BR148" i="127"/>
  <c r="BR149" i="127" s="1"/>
  <c r="BQ148" i="127"/>
  <c r="BP148" i="127"/>
  <c r="BP149" i="127" s="1"/>
  <c r="BO148" i="127"/>
  <c r="BN148" i="127"/>
  <c r="BN149" i="127" s="1"/>
  <c r="BM148" i="127"/>
  <c r="BL148" i="127"/>
  <c r="BL149" i="127" s="1"/>
  <c r="BK148" i="127"/>
  <c r="BK149" i="127" s="1"/>
  <c r="BJ148" i="127"/>
  <c r="BJ149" i="127" s="1"/>
  <c r="BI148" i="127"/>
  <c r="BH148" i="127"/>
  <c r="BH149" i="127" s="1"/>
  <c r="BG148" i="127"/>
  <c r="BG149" i="127" s="1"/>
  <c r="BF148" i="127"/>
  <c r="BF149" i="127" s="1"/>
  <c r="BE148" i="127"/>
  <c r="BD148" i="127"/>
  <c r="BD149" i="127" s="1"/>
  <c r="BC148" i="127"/>
  <c r="BB148" i="127"/>
  <c r="BB149" i="127" s="1"/>
  <c r="AZ148" i="127"/>
  <c r="AY148" i="127"/>
  <c r="AY149" i="127" s="1"/>
  <c r="AX148" i="127"/>
  <c r="AW148" i="127"/>
  <c r="AV148" i="127"/>
  <c r="AU148" i="127"/>
  <c r="AU149" i="127" s="1"/>
  <c r="AT148" i="127"/>
  <c r="AT149" i="127" s="1"/>
  <c r="AS148" i="127"/>
  <c r="AR148" i="127"/>
  <c r="AQ148" i="127"/>
  <c r="AP148" i="127"/>
  <c r="AO148" i="127"/>
  <c r="AN148" i="127"/>
  <c r="AN149" i="127" s="1"/>
  <c r="AM148" i="127"/>
  <c r="AL148" i="127"/>
  <c r="AL149" i="127" s="1"/>
  <c r="AK148" i="127"/>
  <c r="AJ148" i="127"/>
  <c r="AI148" i="127"/>
  <c r="AI149" i="127" s="1"/>
  <c r="AH148" i="127"/>
  <c r="AF148" i="127"/>
  <c r="AF149" i="127" s="1"/>
  <c r="AD148" i="127"/>
  <c r="AC148" i="127"/>
  <c r="AB148" i="127"/>
  <c r="AB149" i="127" s="1"/>
  <c r="AA148" i="127"/>
  <c r="AA149" i="127" s="1"/>
  <c r="Z148" i="127"/>
  <c r="Z149" i="127" s="1"/>
  <c r="Y148" i="127"/>
  <c r="X148" i="127"/>
  <c r="W148" i="127"/>
  <c r="V148" i="127"/>
  <c r="U148" i="127"/>
  <c r="T148" i="127"/>
  <c r="T149" i="127" s="1"/>
  <c r="S148" i="127"/>
  <c r="S149" i="127" s="1"/>
  <c r="M148" i="127"/>
  <c r="N148" i="127" s="1"/>
  <c r="Q147" i="127"/>
  <c r="Q148" i="127" s="1"/>
  <c r="M147" i="127"/>
  <c r="P147" i="127" s="1"/>
  <c r="CT146" i="127"/>
  <c r="CS146" i="127"/>
  <c r="CS149" i="127" s="1"/>
  <c r="CR146" i="127"/>
  <c r="CQ146" i="127"/>
  <c r="CP146" i="127"/>
  <c r="CO146" i="127"/>
  <c r="CO149" i="127" s="1"/>
  <c r="CN146" i="127"/>
  <c r="CM146" i="127"/>
  <c r="CL146" i="127"/>
  <c r="CK146" i="127"/>
  <c r="CK149" i="127" s="1"/>
  <c r="CJ146" i="127"/>
  <c r="CI146" i="127"/>
  <c r="CH146" i="127"/>
  <c r="CG146" i="127"/>
  <c r="CG149" i="127" s="1"/>
  <c r="CF146" i="127"/>
  <c r="CE146" i="127"/>
  <c r="CD146" i="127"/>
  <c r="CC146" i="127"/>
  <c r="CC149" i="127" s="1"/>
  <c r="CB146" i="127"/>
  <c r="CA146" i="127"/>
  <c r="BZ146" i="127"/>
  <c r="BY146" i="127"/>
  <c r="BY149" i="127" s="1"/>
  <c r="BX146" i="127"/>
  <c r="BW146" i="127"/>
  <c r="BV146" i="127"/>
  <c r="BU146" i="127"/>
  <c r="BU149" i="127" s="1"/>
  <c r="BT146" i="127"/>
  <c r="BS146" i="127"/>
  <c r="BR146" i="127"/>
  <c r="BQ146" i="127"/>
  <c r="BQ149" i="127" s="1"/>
  <c r="BP146" i="127"/>
  <c r="BO146" i="127"/>
  <c r="BN146" i="127"/>
  <c r="BM146" i="127"/>
  <c r="BM149" i="127" s="1"/>
  <c r="BL146" i="127"/>
  <c r="BK146" i="127"/>
  <c r="BJ146" i="127"/>
  <c r="BI146" i="127"/>
  <c r="BI149" i="127" s="1"/>
  <c r="BH146" i="127"/>
  <c r="BG146" i="127"/>
  <c r="BF146" i="127"/>
  <c r="BE146" i="127"/>
  <c r="BE149" i="127" s="1"/>
  <c r="BD146" i="127"/>
  <c r="BC146" i="127"/>
  <c r="BB146" i="127"/>
  <c r="AZ146" i="127"/>
  <c r="AZ149" i="127" s="1"/>
  <c r="AY146" i="127"/>
  <c r="AX146" i="127"/>
  <c r="AW146" i="127"/>
  <c r="AV146" i="127"/>
  <c r="AV149" i="127" s="1"/>
  <c r="AU146" i="127"/>
  <c r="AT146" i="127"/>
  <c r="AS146" i="127"/>
  <c r="AR146" i="127"/>
  <c r="AR149" i="127" s="1"/>
  <c r="AQ146" i="127"/>
  <c r="AP146" i="127"/>
  <c r="AO146" i="127"/>
  <c r="AN146" i="127"/>
  <c r="AM146" i="127"/>
  <c r="AL146" i="127"/>
  <c r="AK146" i="127"/>
  <c r="AJ146" i="127"/>
  <c r="AJ149" i="127" s="1"/>
  <c r="AI146" i="127"/>
  <c r="AH146" i="127"/>
  <c r="AF146" i="127"/>
  <c r="AD146" i="127"/>
  <c r="AD149" i="127" s="1"/>
  <c r="AC146" i="127"/>
  <c r="AB146" i="127"/>
  <c r="AA146" i="127"/>
  <c r="Z146" i="127"/>
  <c r="Y146" i="127"/>
  <c r="X146" i="127"/>
  <c r="W146" i="127"/>
  <c r="V146" i="127"/>
  <c r="U146" i="127"/>
  <c r="T146" i="127"/>
  <c r="S146" i="127"/>
  <c r="M145" i="127"/>
  <c r="M146" i="127" s="1"/>
  <c r="CT144" i="127"/>
  <c r="CS144" i="127"/>
  <c r="CR144" i="127"/>
  <c r="CQ144" i="127"/>
  <c r="CP144" i="127"/>
  <c r="CO144" i="127"/>
  <c r="CN144" i="127"/>
  <c r="CM144" i="127"/>
  <c r="CL144" i="127"/>
  <c r="CK144" i="127"/>
  <c r="CJ144" i="127"/>
  <c r="CI144" i="127"/>
  <c r="CH144" i="127"/>
  <c r="CG144" i="127"/>
  <c r="CF144" i="127"/>
  <c r="CE144" i="127"/>
  <c r="CD144" i="127"/>
  <c r="CC144" i="127"/>
  <c r="CB144" i="127"/>
  <c r="CA144" i="127"/>
  <c r="BZ144" i="127"/>
  <c r="BY144" i="127"/>
  <c r="BX144" i="127"/>
  <c r="BW144" i="127"/>
  <c r="BV144" i="127"/>
  <c r="BU144" i="127"/>
  <c r="BT144" i="127"/>
  <c r="BS144" i="127"/>
  <c r="BR144" i="127"/>
  <c r="BQ144" i="127"/>
  <c r="BP144" i="127"/>
  <c r="BO144" i="127"/>
  <c r="BN144" i="127"/>
  <c r="BM144" i="127"/>
  <c r="BL144" i="127"/>
  <c r="BK144" i="127"/>
  <c r="BJ144" i="127"/>
  <c r="BI144" i="127"/>
  <c r="BH144" i="127"/>
  <c r="BG144" i="127"/>
  <c r="BF144" i="127"/>
  <c r="BE144" i="127"/>
  <c r="BD144" i="127"/>
  <c r="BC144" i="127"/>
  <c r="BB144" i="127"/>
  <c r="AZ144" i="127"/>
  <c r="AY144" i="127"/>
  <c r="AX144" i="127"/>
  <c r="AX149" i="127" s="1"/>
  <c r="AW144" i="127"/>
  <c r="AV144" i="127"/>
  <c r="AU144" i="127"/>
  <c r="AT144" i="127"/>
  <c r="AS144" i="127"/>
  <c r="AR144" i="127"/>
  <c r="AQ144" i="127"/>
  <c r="AQ149" i="127" s="1"/>
  <c r="AP144" i="127"/>
  <c r="AO144" i="127"/>
  <c r="AN144" i="127"/>
  <c r="AM144" i="127"/>
  <c r="AL144" i="127"/>
  <c r="AK144" i="127"/>
  <c r="AJ144" i="127"/>
  <c r="AI144" i="127"/>
  <c r="AH144" i="127"/>
  <c r="AF144" i="127"/>
  <c r="AD144" i="127"/>
  <c r="AC144" i="127"/>
  <c r="AB144" i="127"/>
  <c r="AA144" i="127"/>
  <c r="Z144" i="127"/>
  <c r="Y144" i="127"/>
  <c r="X144" i="127"/>
  <c r="X149" i="127" s="1"/>
  <c r="W144" i="127"/>
  <c r="V144" i="127"/>
  <c r="U144" i="127"/>
  <c r="T144" i="127"/>
  <c r="S144" i="127"/>
  <c r="M143" i="127"/>
  <c r="R143" i="127" s="1"/>
  <c r="M142" i="127"/>
  <c r="R142" i="127" s="1"/>
  <c r="CU142" i="127" s="1"/>
  <c r="CV142" i="127" s="1"/>
  <c r="R141" i="127"/>
  <c r="CU141" i="127" s="1"/>
  <c r="CV141" i="127" s="1"/>
  <c r="M141" i="127"/>
  <c r="CT140" i="127"/>
  <c r="CS140" i="127"/>
  <c r="CR140" i="127"/>
  <c r="CQ140" i="127"/>
  <c r="CP140" i="127"/>
  <c r="CO140" i="127"/>
  <c r="CN140" i="127"/>
  <c r="CM140" i="127"/>
  <c r="CL140" i="127"/>
  <c r="CK140" i="127"/>
  <c r="CJ140" i="127"/>
  <c r="CI140" i="127"/>
  <c r="CH140" i="127"/>
  <c r="CG140" i="127"/>
  <c r="CF140" i="127"/>
  <c r="CE140" i="127"/>
  <c r="CD140" i="127"/>
  <c r="CC140" i="127"/>
  <c r="CB140" i="127"/>
  <c r="CA140" i="127"/>
  <c r="BZ140" i="127"/>
  <c r="BY140" i="127"/>
  <c r="BX140" i="127"/>
  <c r="BW140" i="127"/>
  <c r="BV140" i="127"/>
  <c r="BU140" i="127"/>
  <c r="BT140" i="127"/>
  <c r="BS140" i="127"/>
  <c r="BR140" i="127"/>
  <c r="BQ140" i="127"/>
  <c r="BP140" i="127"/>
  <c r="BO140" i="127"/>
  <c r="BN140" i="127"/>
  <c r="BM140" i="127"/>
  <c r="BL140" i="127"/>
  <c r="BK140" i="127"/>
  <c r="BJ140" i="127"/>
  <c r="BI140" i="127"/>
  <c r="BH140" i="127"/>
  <c r="BG140" i="127"/>
  <c r="BF140" i="127"/>
  <c r="BE140" i="127"/>
  <c r="BD140" i="127"/>
  <c r="BC140" i="127"/>
  <c r="BB140" i="127"/>
  <c r="AZ140" i="127"/>
  <c r="AY140" i="127"/>
  <c r="AX140" i="127"/>
  <c r="AW140" i="127"/>
  <c r="AV140" i="127"/>
  <c r="AU140" i="127"/>
  <c r="AT140" i="127"/>
  <c r="AS140" i="127"/>
  <c r="AR140" i="127"/>
  <c r="AQ140" i="127"/>
  <c r="AP140" i="127"/>
  <c r="AO140" i="127"/>
  <c r="AN140" i="127"/>
  <c r="AM140" i="127"/>
  <c r="AM149" i="127" s="1"/>
  <c r="AL140" i="127"/>
  <c r="AK140" i="127"/>
  <c r="AJ140" i="127"/>
  <c r="AI140" i="127"/>
  <c r="AH140" i="127"/>
  <c r="AF140" i="127"/>
  <c r="AD140" i="127"/>
  <c r="AC140" i="127"/>
  <c r="AB140" i="127"/>
  <c r="AA140" i="127"/>
  <c r="Z140" i="127"/>
  <c r="Y140" i="127"/>
  <c r="X140" i="127"/>
  <c r="W140" i="127"/>
  <c r="V140" i="127"/>
  <c r="U140" i="127"/>
  <c r="T140" i="127"/>
  <c r="S140" i="127"/>
  <c r="M140" i="127"/>
  <c r="R139" i="127"/>
  <c r="CU139" i="127" s="1"/>
  <c r="CV139" i="127" s="1"/>
  <c r="K139" i="127"/>
  <c r="R138" i="127"/>
  <c r="K138" i="127"/>
  <c r="CT137" i="127"/>
  <c r="CS137" i="127"/>
  <c r="CR137" i="127"/>
  <c r="CQ137" i="127"/>
  <c r="CP137" i="127"/>
  <c r="CO137" i="127"/>
  <c r="CN137" i="127"/>
  <c r="CM137" i="127"/>
  <c r="CL137" i="127"/>
  <c r="CK137" i="127"/>
  <c r="CJ137" i="127"/>
  <c r="CI137" i="127"/>
  <c r="CH137" i="127"/>
  <c r="CG137" i="127"/>
  <c r="CF137" i="127"/>
  <c r="CE137" i="127"/>
  <c r="CD137" i="127"/>
  <c r="CC137" i="127"/>
  <c r="CB137" i="127"/>
  <c r="CA137" i="127"/>
  <c r="BZ137" i="127"/>
  <c r="BY137" i="127"/>
  <c r="BX137" i="127"/>
  <c r="BW137" i="127"/>
  <c r="BV137" i="127"/>
  <c r="BU137" i="127"/>
  <c r="BT137" i="127"/>
  <c r="BS137" i="127"/>
  <c r="BR137" i="127"/>
  <c r="BQ137" i="127"/>
  <c r="BP137" i="127"/>
  <c r="BO137" i="127"/>
  <c r="BN137" i="127"/>
  <c r="BM137" i="127"/>
  <c r="BL137" i="127"/>
  <c r="BK137" i="127"/>
  <c r="BJ137" i="127"/>
  <c r="BI137" i="127"/>
  <c r="BH137" i="127"/>
  <c r="BG137" i="127"/>
  <c r="BF137" i="127"/>
  <c r="BE137" i="127"/>
  <c r="BD137" i="127"/>
  <c r="BC137" i="127"/>
  <c r="BB137" i="127"/>
  <c r="AZ137" i="127"/>
  <c r="AY137" i="127"/>
  <c r="AX137" i="127"/>
  <c r="AW137" i="127"/>
  <c r="AV137" i="127"/>
  <c r="AU137" i="127"/>
  <c r="AT137" i="127"/>
  <c r="AS137" i="127"/>
  <c r="AR137" i="127"/>
  <c r="AQ137" i="127"/>
  <c r="AP137" i="127"/>
  <c r="AO137" i="127"/>
  <c r="AN137" i="127"/>
  <c r="AM137" i="127"/>
  <c r="AL137" i="127"/>
  <c r="AK137" i="127"/>
  <c r="AJ137" i="127"/>
  <c r="AI137" i="127"/>
  <c r="AH137" i="127"/>
  <c r="AF137" i="127"/>
  <c r="AD137" i="127"/>
  <c r="AC137" i="127"/>
  <c r="AB137" i="127"/>
  <c r="AA137" i="127"/>
  <c r="Z137" i="127"/>
  <c r="Y137" i="127"/>
  <c r="X137" i="127"/>
  <c r="W137" i="127"/>
  <c r="V137" i="127"/>
  <c r="U137" i="127"/>
  <c r="T137" i="127"/>
  <c r="S137" i="127"/>
  <c r="M136" i="127"/>
  <c r="R136" i="127" s="1"/>
  <c r="R137" i="127" s="1"/>
  <c r="M135" i="127"/>
  <c r="M134" i="127"/>
  <c r="M133" i="127"/>
  <c r="P133" i="127" s="1"/>
  <c r="M132" i="127"/>
  <c r="M131" i="127"/>
  <c r="M130" i="127"/>
  <c r="P130" i="127" s="1"/>
  <c r="M129" i="127"/>
  <c r="CT128" i="127"/>
  <c r="CS128" i="127"/>
  <c r="CR128" i="127"/>
  <c r="CQ128" i="127"/>
  <c r="CP128" i="127"/>
  <c r="CO128" i="127"/>
  <c r="CN128" i="127"/>
  <c r="CM128" i="127"/>
  <c r="CL128" i="127"/>
  <c r="CK128" i="127"/>
  <c r="CJ128" i="127"/>
  <c r="CI128" i="127"/>
  <c r="CH128" i="127"/>
  <c r="CG128" i="127"/>
  <c r="CF128" i="127"/>
  <c r="CE128" i="127"/>
  <c r="CD128" i="127"/>
  <c r="CC128" i="127"/>
  <c r="CB128" i="127"/>
  <c r="CA128" i="127"/>
  <c r="BZ128" i="127"/>
  <c r="BY128" i="127"/>
  <c r="BX128" i="127"/>
  <c r="BW128" i="127"/>
  <c r="BV128" i="127"/>
  <c r="BU128" i="127"/>
  <c r="BT128" i="127"/>
  <c r="BS128" i="127"/>
  <c r="BR128" i="127"/>
  <c r="BQ128" i="127"/>
  <c r="BP128" i="127"/>
  <c r="BO128" i="127"/>
  <c r="BN128" i="127"/>
  <c r="BM128" i="127"/>
  <c r="BL128" i="127"/>
  <c r="BK128" i="127"/>
  <c r="BJ128" i="127"/>
  <c r="BI128" i="127"/>
  <c r="BH128" i="127"/>
  <c r="BG128" i="127"/>
  <c r="BF128" i="127"/>
  <c r="BE128" i="127"/>
  <c r="BD128" i="127"/>
  <c r="BC128" i="127"/>
  <c r="BB128" i="127"/>
  <c r="AZ128" i="127"/>
  <c r="AY128" i="127"/>
  <c r="AX128" i="127"/>
  <c r="AW128" i="127"/>
  <c r="AV128" i="127"/>
  <c r="AU128" i="127"/>
  <c r="AT128" i="127"/>
  <c r="AS128" i="127"/>
  <c r="AR128" i="127"/>
  <c r="AQ128" i="127"/>
  <c r="AP128" i="127"/>
  <c r="AO128" i="127"/>
  <c r="AN128" i="127"/>
  <c r="AM128" i="127"/>
  <c r="AL128" i="127"/>
  <c r="AK128" i="127"/>
  <c r="AJ128" i="127"/>
  <c r="AI128" i="127"/>
  <c r="AH128" i="127"/>
  <c r="AF128" i="127"/>
  <c r="AD128" i="127"/>
  <c r="AC128" i="127"/>
  <c r="AB128" i="127"/>
  <c r="AA128" i="127"/>
  <c r="Z128" i="127"/>
  <c r="Y128" i="127"/>
  <c r="X128" i="127"/>
  <c r="W128" i="127"/>
  <c r="V128" i="127"/>
  <c r="U128" i="127"/>
  <c r="T128" i="127"/>
  <c r="S128" i="127"/>
  <c r="M128" i="127"/>
  <c r="R127" i="127"/>
  <c r="R126" i="127"/>
  <c r="CT125" i="127"/>
  <c r="CS125" i="127"/>
  <c r="CR125" i="127"/>
  <c r="CQ125" i="127"/>
  <c r="CP125" i="127"/>
  <c r="CO125" i="127"/>
  <c r="CN125" i="127"/>
  <c r="CM125" i="127"/>
  <c r="CL125" i="127"/>
  <c r="CK125" i="127"/>
  <c r="CJ125" i="127"/>
  <c r="CI125" i="127"/>
  <c r="CH125" i="127"/>
  <c r="CG125" i="127"/>
  <c r="CF125" i="127"/>
  <c r="CE125" i="127"/>
  <c r="CD125" i="127"/>
  <c r="CC125" i="127"/>
  <c r="CB125" i="127"/>
  <c r="CA125" i="127"/>
  <c r="BZ125" i="127"/>
  <c r="BY125" i="127"/>
  <c r="BX125" i="127"/>
  <c r="BW125" i="127"/>
  <c r="BV125" i="127"/>
  <c r="BU125" i="127"/>
  <c r="BT125" i="127"/>
  <c r="BS125" i="127"/>
  <c r="BR125" i="127"/>
  <c r="BQ125" i="127"/>
  <c r="BP125" i="127"/>
  <c r="BO125" i="127"/>
  <c r="BN125" i="127"/>
  <c r="BM125" i="127"/>
  <c r="BL125" i="127"/>
  <c r="BK125" i="127"/>
  <c r="BJ125" i="127"/>
  <c r="BI125" i="127"/>
  <c r="BH125" i="127"/>
  <c r="BG125" i="127"/>
  <c r="BF125" i="127"/>
  <c r="BE125" i="127"/>
  <c r="BD125" i="127"/>
  <c r="BC125" i="127"/>
  <c r="BB125" i="127"/>
  <c r="AZ125" i="127"/>
  <c r="AY125" i="127"/>
  <c r="AX125" i="127"/>
  <c r="AW125" i="127"/>
  <c r="AV125" i="127"/>
  <c r="AU125" i="127"/>
  <c r="AT125" i="127"/>
  <c r="AS125" i="127"/>
  <c r="AR125" i="127"/>
  <c r="AQ125" i="127"/>
  <c r="AP125" i="127"/>
  <c r="AO125" i="127"/>
  <c r="AN125" i="127"/>
  <c r="AM125" i="127"/>
  <c r="AL125" i="127"/>
  <c r="AK125" i="127"/>
  <c r="AJ125" i="127"/>
  <c r="AI125" i="127"/>
  <c r="AH125" i="127"/>
  <c r="AF125" i="127"/>
  <c r="AD125" i="127"/>
  <c r="AC125" i="127"/>
  <c r="AB125" i="127"/>
  <c r="AA125" i="127"/>
  <c r="Z125" i="127"/>
  <c r="Y125" i="127"/>
  <c r="X125" i="127"/>
  <c r="W125" i="127"/>
  <c r="V125" i="127"/>
  <c r="U125" i="127"/>
  <c r="T125" i="127"/>
  <c r="S125" i="127"/>
  <c r="M124" i="127"/>
  <c r="R124" i="127" s="1"/>
  <c r="CU124" i="127" s="1"/>
  <c r="CV124" i="127" s="1"/>
  <c r="M123" i="127"/>
  <c r="R123" i="127" s="1"/>
  <c r="CU123" i="127" s="1"/>
  <c r="CV123" i="127" s="1"/>
  <c r="R122" i="127"/>
  <c r="M122" i="127"/>
  <c r="CT121" i="127"/>
  <c r="CS121" i="127"/>
  <c r="CR121" i="127"/>
  <c r="CQ121" i="127"/>
  <c r="CP121" i="127"/>
  <c r="CO121" i="127"/>
  <c r="CN121" i="127"/>
  <c r="CM121" i="127"/>
  <c r="CL121" i="127"/>
  <c r="CK121" i="127"/>
  <c r="CJ121" i="127"/>
  <c r="CI121" i="127"/>
  <c r="CH121" i="127"/>
  <c r="CG121" i="127"/>
  <c r="CF121" i="127"/>
  <c r="CE121" i="127"/>
  <c r="CD121" i="127"/>
  <c r="CC121" i="127"/>
  <c r="CB121" i="127"/>
  <c r="CA121" i="127"/>
  <c r="BZ121" i="127"/>
  <c r="BY121" i="127"/>
  <c r="BX121" i="127"/>
  <c r="BW121" i="127"/>
  <c r="BV121" i="127"/>
  <c r="BU121" i="127"/>
  <c r="BT121" i="127"/>
  <c r="BS121" i="127"/>
  <c r="BR121" i="127"/>
  <c r="BQ121" i="127"/>
  <c r="BP121" i="127"/>
  <c r="BO121" i="127"/>
  <c r="BN121" i="127"/>
  <c r="BM121" i="127"/>
  <c r="BL121" i="127"/>
  <c r="BK121" i="127"/>
  <c r="BJ121" i="127"/>
  <c r="BI121" i="127"/>
  <c r="BH121" i="127"/>
  <c r="BG121" i="127"/>
  <c r="BF121" i="127"/>
  <c r="BE121" i="127"/>
  <c r="BD121" i="127"/>
  <c r="BC121" i="127"/>
  <c r="BB121" i="127"/>
  <c r="AZ121" i="127"/>
  <c r="AY121" i="127"/>
  <c r="AX121" i="127"/>
  <c r="AW121" i="127"/>
  <c r="AV121" i="127"/>
  <c r="AU121" i="127"/>
  <c r="AT121" i="127"/>
  <c r="AS121" i="127"/>
  <c r="AR121" i="127"/>
  <c r="AQ121" i="127"/>
  <c r="AP121" i="127"/>
  <c r="AO121" i="127"/>
  <c r="AN121" i="127"/>
  <c r="AM121" i="127"/>
  <c r="AL121" i="127"/>
  <c r="AK121" i="127"/>
  <c r="AJ121" i="127"/>
  <c r="AI121" i="127"/>
  <c r="AH121" i="127"/>
  <c r="AF121" i="127"/>
  <c r="AD121" i="127"/>
  <c r="AC121" i="127"/>
  <c r="AB121" i="127"/>
  <c r="AA121" i="127"/>
  <c r="Z121" i="127"/>
  <c r="Y121" i="127"/>
  <c r="X121" i="127"/>
  <c r="W121" i="127"/>
  <c r="V121" i="127"/>
  <c r="U121" i="127"/>
  <c r="T121" i="127"/>
  <c r="S121" i="127"/>
  <c r="R120" i="127"/>
  <c r="CU120" i="127" s="1"/>
  <c r="CV120" i="127" s="1"/>
  <c r="M120" i="127"/>
  <c r="M119" i="127"/>
  <c r="R119" i="127" s="1"/>
  <c r="CT118" i="127"/>
  <c r="CS118" i="127"/>
  <c r="CR118" i="127"/>
  <c r="CQ118" i="127"/>
  <c r="CP118" i="127"/>
  <c r="CO118" i="127"/>
  <c r="CN118" i="127"/>
  <c r="CM118" i="127"/>
  <c r="CL118" i="127"/>
  <c r="CK118" i="127"/>
  <c r="CJ118" i="127"/>
  <c r="CI118" i="127"/>
  <c r="CH118" i="127"/>
  <c r="CG118" i="127"/>
  <c r="CF118" i="127"/>
  <c r="CE118" i="127"/>
  <c r="CD118" i="127"/>
  <c r="CC118" i="127"/>
  <c r="CB118" i="127"/>
  <c r="CA118" i="127"/>
  <c r="BZ118" i="127"/>
  <c r="BY118" i="127"/>
  <c r="BX118" i="127"/>
  <c r="BW118" i="127"/>
  <c r="BV118" i="127"/>
  <c r="BU118" i="127"/>
  <c r="BT118" i="127"/>
  <c r="BS118" i="127"/>
  <c r="BR118" i="127"/>
  <c r="BQ118" i="127"/>
  <c r="BP118" i="127"/>
  <c r="BO118" i="127"/>
  <c r="BN118" i="127"/>
  <c r="BM118" i="127"/>
  <c r="BL118" i="127"/>
  <c r="BK118" i="127"/>
  <c r="BJ118" i="127"/>
  <c r="BI118" i="127"/>
  <c r="BH118" i="127"/>
  <c r="BG118" i="127"/>
  <c r="BF118" i="127"/>
  <c r="BE118" i="127"/>
  <c r="BD118" i="127"/>
  <c r="BC118" i="127"/>
  <c r="BB118" i="127"/>
  <c r="AZ118" i="127"/>
  <c r="AY118" i="127"/>
  <c r="AX118" i="127"/>
  <c r="AW118" i="127"/>
  <c r="AV118" i="127"/>
  <c r="AU118" i="127"/>
  <c r="AT118" i="127"/>
  <c r="AS118" i="127"/>
  <c r="AR118" i="127"/>
  <c r="AQ118" i="127"/>
  <c r="AO118" i="127"/>
  <c r="AM118" i="127"/>
  <c r="AL118" i="127"/>
  <c r="AK118" i="127"/>
  <c r="AJ118" i="127"/>
  <c r="AI118" i="127"/>
  <c r="AH118" i="127"/>
  <c r="AF118" i="127"/>
  <c r="AD118" i="127"/>
  <c r="AC118" i="127"/>
  <c r="AB118" i="127"/>
  <c r="AA118" i="127"/>
  <c r="Z118" i="127"/>
  <c r="Y118" i="127"/>
  <c r="X118" i="127"/>
  <c r="W118" i="127"/>
  <c r="V118" i="127"/>
  <c r="U118" i="127"/>
  <c r="T118" i="127"/>
  <c r="S118" i="127"/>
  <c r="M117" i="127"/>
  <c r="P117" i="127" s="1"/>
  <c r="CT116" i="127"/>
  <c r="CS116" i="127"/>
  <c r="CR116" i="127"/>
  <c r="CQ116" i="127"/>
  <c r="CP116" i="127"/>
  <c r="CO116" i="127"/>
  <c r="CN116" i="127"/>
  <c r="CM116" i="127"/>
  <c r="CL116" i="127"/>
  <c r="CK116" i="127"/>
  <c r="CJ116" i="127"/>
  <c r="CI116" i="127"/>
  <c r="CH116" i="127"/>
  <c r="CG116" i="127"/>
  <c r="CF116" i="127"/>
  <c r="CE116" i="127"/>
  <c r="CD116" i="127"/>
  <c r="CC116" i="127"/>
  <c r="CB116" i="127"/>
  <c r="CA116" i="127"/>
  <c r="BZ116" i="127"/>
  <c r="BY116" i="127"/>
  <c r="BX116" i="127"/>
  <c r="BW116" i="127"/>
  <c r="BV116" i="127"/>
  <c r="BU116" i="127"/>
  <c r="BT116" i="127"/>
  <c r="BS116" i="127"/>
  <c r="BR116" i="127"/>
  <c r="BQ116" i="127"/>
  <c r="BP116" i="127"/>
  <c r="BO116" i="127"/>
  <c r="BN116" i="127"/>
  <c r="BM116" i="127"/>
  <c r="BL116" i="127"/>
  <c r="BK116" i="127"/>
  <c r="BJ116" i="127"/>
  <c r="BI116" i="127"/>
  <c r="BH116" i="127"/>
  <c r="BG116" i="127"/>
  <c r="BF116" i="127"/>
  <c r="BE116" i="127"/>
  <c r="BD116" i="127"/>
  <c r="BC116" i="127"/>
  <c r="BB116" i="127"/>
  <c r="AZ116" i="127"/>
  <c r="AY116" i="127"/>
  <c r="AX116" i="127"/>
  <c r="AW116" i="127"/>
  <c r="AV116" i="127"/>
  <c r="AU116" i="127"/>
  <c r="AT116" i="127"/>
  <c r="AS116" i="127"/>
  <c r="AR116" i="127"/>
  <c r="AQ116" i="127"/>
  <c r="AP116" i="127"/>
  <c r="AO116" i="127"/>
  <c r="AN116" i="127"/>
  <c r="AM116" i="127"/>
  <c r="AL116" i="127"/>
  <c r="AK116" i="127"/>
  <c r="AJ116" i="127"/>
  <c r="AI116" i="127"/>
  <c r="AH116" i="127"/>
  <c r="AF116" i="127"/>
  <c r="AD116" i="127"/>
  <c r="AC116" i="127"/>
  <c r="AB116" i="127"/>
  <c r="AA116" i="127"/>
  <c r="Z116" i="127"/>
  <c r="Y116" i="127"/>
  <c r="X116" i="127"/>
  <c r="W116" i="127"/>
  <c r="V116" i="127"/>
  <c r="U116" i="127"/>
  <c r="T116" i="127"/>
  <c r="S116" i="127"/>
  <c r="CU116" i="127" s="1"/>
  <c r="M115" i="127"/>
  <c r="R115" i="127" s="1"/>
  <c r="R116" i="127" s="1"/>
  <c r="CT114" i="127"/>
  <c r="CS114" i="127"/>
  <c r="CR114" i="127"/>
  <c r="CQ114" i="127"/>
  <c r="CP114" i="127"/>
  <c r="CO114" i="127"/>
  <c r="CN114" i="127"/>
  <c r="CM114" i="127"/>
  <c r="CL114" i="127"/>
  <c r="CK114" i="127"/>
  <c r="CJ114" i="127"/>
  <c r="CI114" i="127"/>
  <c r="CH114" i="127"/>
  <c r="CG114" i="127"/>
  <c r="CF114" i="127"/>
  <c r="CE114" i="127"/>
  <c r="CD114" i="127"/>
  <c r="CC114" i="127"/>
  <c r="CB114" i="127"/>
  <c r="CA114" i="127"/>
  <c r="BZ114" i="127"/>
  <c r="BY114" i="127"/>
  <c r="BX114" i="127"/>
  <c r="BW114" i="127"/>
  <c r="BV114" i="127"/>
  <c r="BU114" i="127"/>
  <c r="BT114" i="127"/>
  <c r="BS114" i="127"/>
  <c r="BR114" i="127"/>
  <c r="BQ114" i="127"/>
  <c r="BP114" i="127"/>
  <c r="BO114" i="127"/>
  <c r="BN114" i="127"/>
  <c r="BM114" i="127"/>
  <c r="BL114" i="127"/>
  <c r="BK114" i="127"/>
  <c r="BJ114" i="127"/>
  <c r="BI114" i="127"/>
  <c r="BH114" i="127"/>
  <c r="BG114" i="127"/>
  <c r="BF114" i="127"/>
  <c r="BE114" i="127"/>
  <c r="BD114" i="127"/>
  <c r="BC114" i="127"/>
  <c r="BB114" i="127"/>
  <c r="AZ114" i="127"/>
  <c r="AY114" i="127"/>
  <c r="AX114" i="127"/>
  <c r="AW114" i="127"/>
  <c r="AV114" i="127"/>
  <c r="AU114" i="127"/>
  <c r="AT114" i="127"/>
  <c r="AS114" i="127"/>
  <c r="AR114" i="127"/>
  <c r="AQ114" i="127"/>
  <c r="AP114" i="127"/>
  <c r="AO114" i="127"/>
  <c r="AN114" i="127"/>
  <c r="AM114" i="127"/>
  <c r="AL114" i="127"/>
  <c r="AK114" i="127"/>
  <c r="AJ114" i="127"/>
  <c r="AI114" i="127"/>
  <c r="AH114" i="127"/>
  <c r="AF114" i="127"/>
  <c r="AD114" i="127"/>
  <c r="AC114" i="127"/>
  <c r="AB114" i="127"/>
  <c r="AA114" i="127"/>
  <c r="Z114" i="127"/>
  <c r="Y114" i="127"/>
  <c r="X114" i="127"/>
  <c r="W114" i="127"/>
  <c r="V114" i="127"/>
  <c r="U114" i="127"/>
  <c r="T114" i="127"/>
  <c r="S114" i="127"/>
  <c r="M114" i="127"/>
  <c r="N114" i="127" s="1"/>
  <c r="R113" i="127"/>
  <c r="M113" i="127"/>
  <c r="CT112" i="127"/>
  <c r="CS112" i="127"/>
  <c r="CR112" i="127"/>
  <c r="CQ112" i="127"/>
  <c r="CP112" i="127"/>
  <c r="CO112" i="127"/>
  <c r="CN112" i="127"/>
  <c r="CM112" i="127"/>
  <c r="CL112" i="127"/>
  <c r="CK112" i="127"/>
  <c r="CJ112" i="127"/>
  <c r="CI112" i="127"/>
  <c r="CH112" i="127"/>
  <c r="CG112" i="127"/>
  <c r="CF112" i="127"/>
  <c r="CE112" i="127"/>
  <c r="CD112" i="127"/>
  <c r="CC112" i="127"/>
  <c r="CB112" i="127"/>
  <c r="CA112" i="127"/>
  <c r="BZ112" i="127"/>
  <c r="BY112" i="127"/>
  <c r="BX112" i="127"/>
  <c r="BW112" i="127"/>
  <c r="BV112" i="127"/>
  <c r="BU112" i="127"/>
  <c r="BT112" i="127"/>
  <c r="BS112" i="127"/>
  <c r="BR112" i="127"/>
  <c r="BQ112" i="127"/>
  <c r="BP112" i="127"/>
  <c r="BO112" i="127"/>
  <c r="BN112" i="127"/>
  <c r="BM112" i="127"/>
  <c r="BL112" i="127"/>
  <c r="BK112" i="127"/>
  <c r="BJ112" i="127"/>
  <c r="BI112" i="127"/>
  <c r="BH112" i="127"/>
  <c r="BG112" i="127"/>
  <c r="BF112" i="127"/>
  <c r="BE112" i="127"/>
  <c r="BD112" i="127"/>
  <c r="BB112" i="127"/>
  <c r="AZ112" i="127"/>
  <c r="AY112" i="127"/>
  <c r="AX112" i="127"/>
  <c r="AW112" i="127"/>
  <c r="AV112" i="127"/>
  <c r="AU112" i="127"/>
  <c r="AT112" i="127"/>
  <c r="AS112" i="127"/>
  <c r="AR112" i="127"/>
  <c r="AQ112" i="127"/>
  <c r="AP112" i="127"/>
  <c r="AO112" i="127"/>
  <c r="AN112" i="127"/>
  <c r="AM112" i="127"/>
  <c r="AL112" i="127"/>
  <c r="AK112" i="127"/>
  <c r="AJ112" i="127"/>
  <c r="AI112" i="127"/>
  <c r="AH112" i="127"/>
  <c r="AF112" i="127"/>
  <c r="AD112" i="127"/>
  <c r="AC112" i="127"/>
  <c r="AB112" i="127"/>
  <c r="AA112" i="127"/>
  <c r="Z112" i="127"/>
  <c r="Y112" i="127"/>
  <c r="X112" i="127"/>
  <c r="W112" i="127"/>
  <c r="V112" i="127"/>
  <c r="U112" i="127"/>
  <c r="T112" i="127"/>
  <c r="CU112" i="127" s="1"/>
  <c r="S112" i="127"/>
  <c r="M111" i="127"/>
  <c r="BC111" i="127" s="1"/>
  <c r="BC112" i="127" s="1"/>
  <c r="CT110" i="127"/>
  <c r="CS110" i="127"/>
  <c r="CR110" i="127"/>
  <c r="CQ110" i="127"/>
  <c r="CP110" i="127"/>
  <c r="CO110" i="127"/>
  <c r="CN110" i="127"/>
  <c r="CM110" i="127"/>
  <c r="CL110" i="127"/>
  <c r="CK110" i="127"/>
  <c r="CJ110" i="127"/>
  <c r="CI110" i="127"/>
  <c r="CH110" i="127"/>
  <c r="CG110" i="127"/>
  <c r="CF110" i="127"/>
  <c r="CE110" i="127"/>
  <c r="CD110" i="127"/>
  <c r="CC110" i="127"/>
  <c r="CB110" i="127"/>
  <c r="CA110" i="127"/>
  <c r="BZ110" i="127"/>
  <c r="BY110" i="127"/>
  <c r="BX110" i="127"/>
  <c r="BW110" i="127"/>
  <c r="BV110" i="127"/>
  <c r="BU110" i="127"/>
  <c r="BT110" i="127"/>
  <c r="BS110" i="127"/>
  <c r="BR110" i="127"/>
  <c r="BQ110" i="127"/>
  <c r="BP110" i="127"/>
  <c r="BO110" i="127"/>
  <c r="BN110" i="127"/>
  <c r="BM110" i="127"/>
  <c r="BL110" i="127"/>
  <c r="BK110" i="127"/>
  <c r="BJ110" i="127"/>
  <c r="BI110" i="127"/>
  <c r="BH110" i="127"/>
  <c r="BG110" i="127"/>
  <c r="BF110" i="127"/>
  <c r="BE110" i="127"/>
  <c r="BD110" i="127"/>
  <c r="BC110" i="127"/>
  <c r="BB110" i="127"/>
  <c r="AZ110" i="127"/>
  <c r="AY110" i="127"/>
  <c r="AX110" i="127"/>
  <c r="AW110" i="127"/>
  <c r="AV110" i="127"/>
  <c r="AU110" i="127"/>
  <c r="AT110" i="127"/>
  <c r="AS110" i="127"/>
  <c r="AR110" i="127"/>
  <c r="AQ110" i="127"/>
  <c r="AP110" i="127"/>
  <c r="AO110" i="127"/>
  <c r="AN110" i="127"/>
  <c r="AM110" i="127"/>
  <c r="AL110" i="127"/>
  <c r="AK110" i="127"/>
  <c r="AJ110" i="127"/>
  <c r="AI110" i="127"/>
  <c r="AH110" i="127"/>
  <c r="AF110" i="127"/>
  <c r="AD110" i="127"/>
  <c r="AC110" i="127"/>
  <c r="AB110" i="127"/>
  <c r="AA110" i="127"/>
  <c r="Z110" i="127"/>
  <c r="Y110" i="127"/>
  <c r="X110" i="127"/>
  <c r="V110" i="127"/>
  <c r="U110" i="127"/>
  <c r="T110" i="127"/>
  <c r="S110" i="127"/>
  <c r="M109" i="127"/>
  <c r="CT108" i="127"/>
  <c r="CS108" i="127"/>
  <c r="CR108" i="127"/>
  <c r="CQ108" i="127"/>
  <c r="CP108" i="127"/>
  <c r="CO108" i="127"/>
  <c r="CN108" i="127"/>
  <c r="CM108" i="127"/>
  <c r="CL108" i="127"/>
  <c r="CK108" i="127"/>
  <c r="CJ108" i="127"/>
  <c r="CI108" i="127"/>
  <c r="CH108" i="127"/>
  <c r="CG108" i="127"/>
  <c r="CF108" i="127"/>
  <c r="CE108" i="127"/>
  <c r="CD108" i="127"/>
  <c r="CC108" i="127"/>
  <c r="CB108" i="127"/>
  <c r="CA108" i="127"/>
  <c r="BZ108" i="127"/>
  <c r="BY108" i="127"/>
  <c r="BX108" i="127"/>
  <c r="BW108" i="127"/>
  <c r="BV108" i="127"/>
  <c r="BU108" i="127"/>
  <c r="BT108" i="127"/>
  <c r="BS108" i="127"/>
  <c r="BR108" i="127"/>
  <c r="BQ108" i="127"/>
  <c r="BP108" i="127"/>
  <c r="BO108" i="127"/>
  <c r="BN108" i="127"/>
  <c r="BM108" i="127"/>
  <c r="BL108" i="127"/>
  <c r="BK108" i="127"/>
  <c r="BJ108" i="127"/>
  <c r="BI108" i="127"/>
  <c r="BH108" i="127"/>
  <c r="BG108" i="127"/>
  <c r="BF108" i="127"/>
  <c r="BE108" i="127"/>
  <c r="BD108" i="127"/>
  <c r="BC108" i="127"/>
  <c r="BB108" i="127"/>
  <c r="AZ108" i="127"/>
  <c r="AY108" i="127"/>
  <c r="AX108" i="127"/>
  <c r="AW108" i="127"/>
  <c r="AV108" i="127"/>
  <c r="AU108" i="127"/>
  <c r="AT108" i="127"/>
  <c r="AS108" i="127"/>
  <c r="AR108" i="127"/>
  <c r="AQ108" i="127"/>
  <c r="AP108" i="127"/>
  <c r="AO108" i="127"/>
  <c r="AN108" i="127"/>
  <c r="AM108" i="127"/>
  <c r="AL108" i="127"/>
  <c r="AK108" i="127"/>
  <c r="AJ108" i="127"/>
  <c r="AI108" i="127"/>
  <c r="AH108" i="127"/>
  <c r="AF108" i="127"/>
  <c r="AD108" i="127"/>
  <c r="AC108" i="127"/>
  <c r="AB108" i="127"/>
  <c r="AA108" i="127"/>
  <c r="Z108" i="127"/>
  <c r="Y108" i="127"/>
  <c r="X108" i="127"/>
  <c r="W108" i="127"/>
  <c r="V108" i="127"/>
  <c r="U108" i="127"/>
  <c r="T108" i="127"/>
  <c r="S108" i="127"/>
  <c r="M107" i="127"/>
  <c r="Q107" i="127" s="1"/>
  <c r="M106" i="127"/>
  <c r="M108" i="127" s="1"/>
  <c r="CT105" i="127"/>
  <c r="CS105" i="127"/>
  <c r="CR105" i="127"/>
  <c r="CQ105" i="127"/>
  <c r="CP105" i="127"/>
  <c r="CO105" i="127"/>
  <c r="CN105" i="127"/>
  <c r="CM105" i="127"/>
  <c r="CL105" i="127"/>
  <c r="CK105" i="127"/>
  <c r="CJ105" i="127"/>
  <c r="CI105" i="127"/>
  <c r="CH105" i="127"/>
  <c r="CG105" i="127"/>
  <c r="CF105" i="127"/>
  <c r="CE105" i="127"/>
  <c r="CD105" i="127"/>
  <c r="CC105" i="127"/>
  <c r="CB105" i="127"/>
  <c r="CA105" i="127"/>
  <c r="BZ105" i="127"/>
  <c r="BY105" i="127"/>
  <c r="BX105" i="127"/>
  <c r="BW105" i="127"/>
  <c r="BV105" i="127"/>
  <c r="BU105" i="127"/>
  <c r="BT105" i="127"/>
  <c r="BS105" i="127"/>
  <c r="BR105" i="127"/>
  <c r="BQ105" i="127"/>
  <c r="BP105" i="127"/>
  <c r="BO105" i="127"/>
  <c r="BN105" i="127"/>
  <c r="BM105" i="127"/>
  <c r="BL105" i="127"/>
  <c r="BK105" i="127"/>
  <c r="BJ105" i="127"/>
  <c r="BI105" i="127"/>
  <c r="BH105" i="127"/>
  <c r="BG105" i="127"/>
  <c r="BF105" i="127"/>
  <c r="BE105" i="127"/>
  <c r="BD105" i="127"/>
  <c r="BC105" i="127"/>
  <c r="BB105" i="127"/>
  <c r="AZ105" i="127"/>
  <c r="AY105" i="127"/>
  <c r="AX105" i="127"/>
  <c r="AW105" i="127"/>
  <c r="AV105" i="127"/>
  <c r="AU105" i="127"/>
  <c r="AT105" i="127"/>
  <c r="AS105" i="127"/>
  <c r="AR105" i="127"/>
  <c r="AQ105" i="127"/>
  <c r="AP105" i="127"/>
  <c r="AO105" i="127"/>
  <c r="AN105" i="127"/>
  <c r="AM105" i="127"/>
  <c r="AL105" i="127"/>
  <c r="AK105" i="127"/>
  <c r="AJ105" i="127"/>
  <c r="AI105" i="127"/>
  <c r="AH105" i="127"/>
  <c r="AF105" i="127"/>
  <c r="AD105" i="127"/>
  <c r="AC105" i="127"/>
  <c r="AB105" i="127"/>
  <c r="AA105" i="127"/>
  <c r="Z105" i="127"/>
  <c r="Y105" i="127"/>
  <c r="X105" i="127"/>
  <c r="W105" i="127"/>
  <c r="V105" i="127"/>
  <c r="U105" i="127"/>
  <c r="T105" i="127"/>
  <c r="S105" i="127"/>
  <c r="M104" i="127"/>
  <c r="M103" i="127"/>
  <c r="P102" i="127"/>
  <c r="M102" i="127"/>
  <c r="CT101" i="127"/>
  <c r="CS101" i="127"/>
  <c r="CR101" i="127"/>
  <c r="CQ101" i="127"/>
  <c r="CP101" i="127"/>
  <c r="CO101" i="127"/>
  <c r="CN101" i="127"/>
  <c r="CM101" i="127"/>
  <c r="CL101" i="127"/>
  <c r="CK101" i="127"/>
  <c r="CJ101" i="127"/>
  <c r="CI101" i="127"/>
  <c r="CH101" i="127"/>
  <c r="CG101" i="127"/>
  <c r="CF101" i="127"/>
  <c r="CE101" i="127"/>
  <c r="CD101" i="127"/>
  <c r="CC101" i="127"/>
  <c r="CB101" i="127"/>
  <c r="CA101" i="127"/>
  <c r="BZ101" i="127"/>
  <c r="BY101" i="127"/>
  <c r="BX101" i="127"/>
  <c r="BW101" i="127"/>
  <c r="BV101" i="127"/>
  <c r="BU101" i="127"/>
  <c r="BT101" i="127"/>
  <c r="BS101" i="127"/>
  <c r="BR101" i="127"/>
  <c r="BQ101" i="127"/>
  <c r="BP101" i="127"/>
  <c r="BO101" i="127"/>
  <c r="BN101" i="127"/>
  <c r="BM101" i="127"/>
  <c r="BL101" i="127"/>
  <c r="BK101" i="127"/>
  <c r="BJ101" i="127"/>
  <c r="BI101" i="127"/>
  <c r="BH101" i="127"/>
  <c r="BG101" i="127"/>
  <c r="BF101" i="127"/>
  <c r="BE101" i="127"/>
  <c r="BD101" i="127"/>
  <c r="BC101" i="127"/>
  <c r="BB101" i="127"/>
  <c r="AZ101" i="127"/>
  <c r="AY101" i="127"/>
  <c r="AX101" i="127"/>
  <c r="AW101" i="127"/>
  <c r="AV101" i="127"/>
  <c r="AU101" i="127"/>
  <c r="AT101" i="127"/>
  <c r="AS101" i="127"/>
  <c r="AR101" i="127"/>
  <c r="AQ101" i="127"/>
  <c r="AP101" i="127"/>
  <c r="AO101" i="127"/>
  <c r="AN101" i="127"/>
  <c r="AM101" i="127"/>
  <c r="AL101" i="127"/>
  <c r="AK101" i="127"/>
  <c r="AJ101" i="127"/>
  <c r="AI101" i="127"/>
  <c r="AH101" i="127"/>
  <c r="AF101" i="127"/>
  <c r="AD101" i="127"/>
  <c r="AC101" i="127"/>
  <c r="AB101" i="127"/>
  <c r="AA101" i="127"/>
  <c r="Z101" i="127"/>
  <c r="Y101" i="127"/>
  <c r="X101" i="127"/>
  <c r="W101" i="127"/>
  <c r="V101" i="127"/>
  <c r="U101" i="127"/>
  <c r="T101" i="127"/>
  <c r="S101" i="127"/>
  <c r="M100" i="127"/>
  <c r="Q100" i="127" s="1"/>
  <c r="M99" i="127"/>
  <c r="CT98" i="127"/>
  <c r="CS98" i="127"/>
  <c r="CR98" i="127"/>
  <c r="CQ98" i="127"/>
  <c r="CP98" i="127"/>
  <c r="CO98" i="127"/>
  <c r="CN98" i="127"/>
  <c r="CM98" i="127"/>
  <c r="CL98" i="127"/>
  <c r="CK98" i="127"/>
  <c r="CJ98" i="127"/>
  <c r="CI98" i="127"/>
  <c r="CH98" i="127"/>
  <c r="CG98" i="127"/>
  <c r="CF98" i="127"/>
  <c r="CE98" i="127"/>
  <c r="CD98" i="127"/>
  <c r="CC98" i="127"/>
  <c r="CB98" i="127"/>
  <c r="CA98" i="127"/>
  <c r="BZ98" i="127"/>
  <c r="BY98" i="127"/>
  <c r="BX98" i="127"/>
  <c r="BW98" i="127"/>
  <c r="BV98" i="127"/>
  <c r="BU98" i="127"/>
  <c r="BT98" i="127"/>
  <c r="BS98" i="127"/>
  <c r="BR98" i="127"/>
  <c r="BQ98" i="127"/>
  <c r="BP98" i="127"/>
  <c r="BO98" i="127"/>
  <c r="BN98" i="127"/>
  <c r="BM98" i="127"/>
  <c r="BL98" i="127"/>
  <c r="BK98" i="127"/>
  <c r="BJ98" i="127"/>
  <c r="BI98" i="127"/>
  <c r="BH98" i="127"/>
  <c r="BG98" i="127"/>
  <c r="BF98" i="127"/>
  <c r="BE98" i="127"/>
  <c r="BD98" i="127"/>
  <c r="BC98" i="127"/>
  <c r="BB98" i="127"/>
  <c r="AZ98" i="127"/>
  <c r="AY98" i="127"/>
  <c r="AX98" i="127"/>
  <c r="AW98" i="127"/>
  <c r="AV98" i="127"/>
  <c r="AU98" i="127"/>
  <c r="AT98" i="127"/>
  <c r="AS98" i="127"/>
  <c r="AR98" i="127"/>
  <c r="AQ98" i="127"/>
  <c r="AP98" i="127"/>
  <c r="AO98" i="127"/>
  <c r="AN98" i="127"/>
  <c r="AM98" i="127"/>
  <c r="AL98" i="127"/>
  <c r="AK98" i="127"/>
  <c r="AJ98" i="127"/>
  <c r="AI98" i="127"/>
  <c r="AH98" i="127"/>
  <c r="AF98" i="127"/>
  <c r="AD98" i="127"/>
  <c r="AC98" i="127"/>
  <c r="AB98" i="127"/>
  <c r="AA98" i="127"/>
  <c r="Z98" i="127"/>
  <c r="Y98" i="127"/>
  <c r="X98" i="127"/>
  <c r="W98" i="127"/>
  <c r="V98" i="127"/>
  <c r="U98" i="127"/>
  <c r="T98" i="127"/>
  <c r="S98" i="127"/>
  <c r="M97" i="127"/>
  <c r="M98" i="127" s="1"/>
  <c r="N98" i="127" s="1"/>
  <c r="CT96" i="127"/>
  <c r="CS96" i="127"/>
  <c r="CR96" i="127"/>
  <c r="CQ96" i="127"/>
  <c r="CP96" i="127"/>
  <c r="CO96" i="127"/>
  <c r="CN96" i="127"/>
  <c r="CM96" i="127"/>
  <c r="CL96" i="127"/>
  <c r="CK96" i="127"/>
  <c r="CJ96" i="127"/>
  <c r="CI96" i="127"/>
  <c r="CH96" i="127"/>
  <c r="CG96" i="127"/>
  <c r="CF96" i="127"/>
  <c r="CE96" i="127"/>
  <c r="CD96" i="127"/>
  <c r="CC96" i="127"/>
  <c r="CB96" i="127"/>
  <c r="CA96" i="127"/>
  <c r="BZ96" i="127"/>
  <c r="BY96" i="127"/>
  <c r="BX96" i="127"/>
  <c r="BW96" i="127"/>
  <c r="BV96" i="127"/>
  <c r="BU96" i="127"/>
  <c r="BT96" i="127"/>
  <c r="BS96" i="127"/>
  <c r="BR96" i="127"/>
  <c r="BQ96" i="127"/>
  <c r="BP96" i="127"/>
  <c r="BO96" i="127"/>
  <c r="BN96" i="127"/>
  <c r="BM96" i="127"/>
  <c r="BL96" i="127"/>
  <c r="BK96" i="127"/>
  <c r="BJ96" i="127"/>
  <c r="BI96" i="127"/>
  <c r="BH96" i="127"/>
  <c r="BG96" i="127"/>
  <c r="BF96" i="127"/>
  <c r="BE96" i="127"/>
  <c r="BD96" i="127"/>
  <c r="BC96" i="127"/>
  <c r="BB96" i="127"/>
  <c r="AZ96" i="127"/>
  <c r="AY96" i="127"/>
  <c r="AX96" i="127"/>
  <c r="AW96" i="127"/>
  <c r="AV96" i="127"/>
  <c r="AU96" i="127"/>
  <c r="AT96" i="127"/>
  <c r="AS96" i="127"/>
  <c r="AR96" i="127"/>
  <c r="AQ96" i="127"/>
  <c r="AP96" i="127"/>
  <c r="AO96" i="127"/>
  <c r="AN96" i="127"/>
  <c r="AM96" i="127"/>
  <c r="AL96" i="127"/>
  <c r="AK96" i="127"/>
  <c r="AJ96" i="127"/>
  <c r="AI96" i="127"/>
  <c r="AH96" i="127"/>
  <c r="AF96" i="127"/>
  <c r="AD96" i="127"/>
  <c r="AC96" i="127"/>
  <c r="AB96" i="127"/>
  <c r="AA96" i="127"/>
  <c r="Z96" i="127"/>
  <c r="Y96" i="127"/>
  <c r="X96" i="127"/>
  <c r="W96" i="127"/>
  <c r="U96" i="127"/>
  <c r="T96" i="127"/>
  <c r="S96" i="127"/>
  <c r="M95" i="127"/>
  <c r="M96" i="127" s="1"/>
  <c r="CT94" i="127"/>
  <c r="CS94" i="127"/>
  <c r="CR94" i="127"/>
  <c r="CQ94" i="127"/>
  <c r="CP94" i="127"/>
  <c r="CO94" i="127"/>
  <c r="CN94" i="127"/>
  <c r="CM94" i="127"/>
  <c r="CL94" i="127"/>
  <c r="CK94" i="127"/>
  <c r="CJ94" i="127"/>
  <c r="CI94" i="127"/>
  <c r="CH94" i="127"/>
  <c r="CG94" i="127"/>
  <c r="CF94" i="127"/>
  <c r="CE94" i="127"/>
  <c r="CD94" i="127"/>
  <c r="CC94" i="127"/>
  <c r="CB94" i="127"/>
  <c r="CA94" i="127"/>
  <c r="BZ94" i="127"/>
  <c r="BY94" i="127"/>
  <c r="BX94" i="127"/>
  <c r="BW94" i="127"/>
  <c r="BV94" i="127"/>
  <c r="BU94" i="127"/>
  <c r="BT94" i="127"/>
  <c r="BS94" i="127"/>
  <c r="BR94" i="127"/>
  <c r="BQ94" i="127"/>
  <c r="BP94" i="127"/>
  <c r="BO94" i="127"/>
  <c r="BN94" i="127"/>
  <c r="BM94" i="127"/>
  <c r="BL94" i="127"/>
  <c r="BK94" i="127"/>
  <c r="BJ94" i="127"/>
  <c r="BI94" i="127"/>
  <c r="BH94" i="127"/>
  <c r="BG94" i="127"/>
  <c r="BF94" i="127"/>
  <c r="BE94" i="127"/>
  <c r="BD94" i="127"/>
  <c r="BC94" i="127"/>
  <c r="BB94" i="127"/>
  <c r="AZ94" i="127"/>
  <c r="AY94" i="127"/>
  <c r="AX94" i="127"/>
  <c r="AW94" i="127"/>
  <c r="AV94" i="127"/>
  <c r="AU94" i="127"/>
  <c r="AT94" i="127"/>
  <c r="AS94" i="127"/>
  <c r="AR94" i="127"/>
  <c r="AQ94" i="127"/>
  <c r="AO94" i="127"/>
  <c r="AN94" i="127"/>
  <c r="AM94" i="127"/>
  <c r="AL94" i="127"/>
  <c r="AK94" i="127"/>
  <c r="AJ94" i="127"/>
  <c r="AI94" i="127"/>
  <c r="AF94" i="127"/>
  <c r="AD94" i="127"/>
  <c r="AC94" i="127"/>
  <c r="AB94" i="127"/>
  <c r="AA94" i="127"/>
  <c r="Z94" i="127"/>
  <c r="Y94" i="127"/>
  <c r="X94" i="127"/>
  <c r="W94" i="127"/>
  <c r="V94" i="127"/>
  <c r="U94" i="127"/>
  <c r="T94" i="127"/>
  <c r="S94" i="127"/>
  <c r="M93" i="127"/>
  <c r="M94" i="127" s="1"/>
  <c r="CT92" i="127"/>
  <c r="CS92" i="127"/>
  <c r="CR92" i="127"/>
  <c r="CQ92" i="127"/>
  <c r="CP92" i="127"/>
  <c r="CO92" i="127"/>
  <c r="CN92" i="127"/>
  <c r="CM92" i="127"/>
  <c r="CL92" i="127"/>
  <c r="CK92" i="127"/>
  <c r="CJ92" i="127"/>
  <c r="CI92" i="127"/>
  <c r="CH92" i="127"/>
  <c r="CG92" i="127"/>
  <c r="CF92" i="127"/>
  <c r="CE92" i="127"/>
  <c r="CD92" i="127"/>
  <c r="CC92" i="127"/>
  <c r="CB92" i="127"/>
  <c r="CA92" i="127"/>
  <c r="BZ92" i="127"/>
  <c r="BY92" i="127"/>
  <c r="BX92" i="127"/>
  <c r="BW92" i="127"/>
  <c r="BV92" i="127"/>
  <c r="BU92" i="127"/>
  <c r="BT92" i="127"/>
  <c r="BS92" i="127"/>
  <c r="BR92" i="127"/>
  <c r="BQ92" i="127"/>
  <c r="BP92" i="127"/>
  <c r="BO92" i="127"/>
  <c r="BN92" i="127"/>
  <c r="BM92" i="127"/>
  <c r="BL92" i="127"/>
  <c r="BK92" i="127"/>
  <c r="BJ92" i="127"/>
  <c r="BI92" i="127"/>
  <c r="BH92" i="127"/>
  <c r="BG92" i="127"/>
  <c r="BF92" i="127"/>
  <c r="BE92" i="127"/>
  <c r="BD92" i="127"/>
  <c r="BC92" i="127"/>
  <c r="BB92" i="127"/>
  <c r="AZ92" i="127"/>
  <c r="AY92" i="127"/>
  <c r="AX92" i="127"/>
  <c r="AW92" i="127"/>
  <c r="AV92" i="127"/>
  <c r="AU92" i="127"/>
  <c r="AT92" i="127"/>
  <c r="AS92" i="127"/>
  <c r="AR92" i="127"/>
  <c r="AQ92" i="127"/>
  <c r="AO92" i="127"/>
  <c r="AN92" i="127"/>
  <c r="AM92" i="127"/>
  <c r="AL92" i="127"/>
  <c r="AK92" i="127"/>
  <c r="AJ92" i="127"/>
  <c r="AI92" i="127"/>
  <c r="AF92" i="127"/>
  <c r="AD92" i="127"/>
  <c r="AC92" i="127"/>
  <c r="AB92" i="127"/>
  <c r="AA92" i="127"/>
  <c r="Z92" i="127"/>
  <c r="Y92" i="127"/>
  <c r="X92" i="127"/>
  <c r="W92" i="127"/>
  <c r="V92" i="127"/>
  <c r="U92" i="127"/>
  <c r="T92" i="127"/>
  <c r="S92" i="127"/>
  <c r="M91" i="127"/>
  <c r="P91" i="127" s="1"/>
  <c r="M90" i="127"/>
  <c r="M89" i="127"/>
  <c r="CT88" i="127"/>
  <c r="CS88" i="127"/>
  <c r="CR88" i="127"/>
  <c r="CQ88" i="127"/>
  <c r="CP88" i="127"/>
  <c r="CO88" i="127"/>
  <c r="CN88" i="127"/>
  <c r="CM88" i="127"/>
  <c r="CL88" i="127"/>
  <c r="CK88" i="127"/>
  <c r="CJ88" i="127"/>
  <c r="CI88" i="127"/>
  <c r="CH88" i="127"/>
  <c r="CG88" i="127"/>
  <c r="CF88" i="127"/>
  <c r="CE88" i="127"/>
  <c r="CD88" i="127"/>
  <c r="CC88" i="127"/>
  <c r="CB88" i="127"/>
  <c r="CA88" i="127"/>
  <c r="BZ88" i="127"/>
  <c r="BY88" i="127"/>
  <c r="BX88" i="127"/>
  <c r="BW88" i="127"/>
  <c r="BV88" i="127"/>
  <c r="BU88" i="127"/>
  <c r="BT88" i="127"/>
  <c r="BS88" i="127"/>
  <c r="BR88" i="127"/>
  <c r="BQ88" i="127"/>
  <c r="BP88" i="127"/>
  <c r="BO88" i="127"/>
  <c r="BN88" i="127"/>
  <c r="BM88" i="127"/>
  <c r="BL88" i="127"/>
  <c r="BK88" i="127"/>
  <c r="BJ88" i="127"/>
  <c r="BI88" i="127"/>
  <c r="BH88" i="127"/>
  <c r="BG88" i="127"/>
  <c r="BF88" i="127"/>
  <c r="BE88" i="127"/>
  <c r="BD88" i="127"/>
  <c r="BC88" i="127"/>
  <c r="BB88" i="127"/>
  <c r="AZ88" i="127"/>
  <c r="AY88" i="127"/>
  <c r="AX88" i="127"/>
  <c r="AW88" i="127"/>
  <c r="AV88" i="127"/>
  <c r="AU88" i="127"/>
  <c r="AT88" i="127"/>
  <c r="AS88" i="127"/>
  <c r="AR88" i="127"/>
  <c r="AQ88" i="127"/>
  <c r="AO88" i="127"/>
  <c r="AN88" i="127"/>
  <c r="AM88" i="127"/>
  <c r="AL88" i="127"/>
  <c r="AK88" i="127"/>
  <c r="AJ88" i="127"/>
  <c r="AI88" i="127"/>
  <c r="AF88" i="127"/>
  <c r="AD88" i="127"/>
  <c r="AC88" i="127"/>
  <c r="AB88" i="127"/>
  <c r="AA88" i="127"/>
  <c r="Z88" i="127"/>
  <c r="Y88" i="127"/>
  <c r="X88" i="127"/>
  <c r="W88" i="127"/>
  <c r="V88" i="127"/>
  <c r="U88" i="127"/>
  <c r="T88" i="127"/>
  <c r="S88" i="127"/>
  <c r="M87" i="127"/>
  <c r="Q87" i="127" s="1"/>
  <c r="M86" i="127"/>
  <c r="CT85" i="127"/>
  <c r="CS85" i="127"/>
  <c r="CR85" i="127"/>
  <c r="CQ85" i="127"/>
  <c r="CP85" i="127"/>
  <c r="CO85" i="127"/>
  <c r="CN85" i="127"/>
  <c r="CM85" i="127"/>
  <c r="CL85" i="127"/>
  <c r="CK85" i="127"/>
  <c r="CJ85" i="127"/>
  <c r="CI85" i="127"/>
  <c r="CH85" i="127"/>
  <c r="CG85" i="127"/>
  <c r="CF85" i="127"/>
  <c r="CE85" i="127"/>
  <c r="CD85" i="127"/>
  <c r="CC85" i="127"/>
  <c r="CB85" i="127"/>
  <c r="CA85" i="127"/>
  <c r="BZ85" i="127"/>
  <c r="BY85" i="127"/>
  <c r="BX85" i="127"/>
  <c r="BW85" i="127"/>
  <c r="BV85" i="127"/>
  <c r="BU85" i="127"/>
  <c r="BT85" i="127"/>
  <c r="BS85" i="127"/>
  <c r="BR85" i="127"/>
  <c r="BQ85" i="127"/>
  <c r="BP85" i="127"/>
  <c r="BO85" i="127"/>
  <c r="BN85" i="127"/>
  <c r="BM85" i="127"/>
  <c r="BL85" i="127"/>
  <c r="BK85" i="127"/>
  <c r="BJ85" i="127"/>
  <c r="BI85" i="127"/>
  <c r="BH85" i="127"/>
  <c r="BG85" i="127"/>
  <c r="BF85" i="127"/>
  <c r="BE85" i="127"/>
  <c r="BD85" i="127"/>
  <c r="BB85" i="127"/>
  <c r="AZ85" i="127"/>
  <c r="AY85" i="127"/>
  <c r="AX85" i="127"/>
  <c r="AW85" i="127"/>
  <c r="AV85" i="127"/>
  <c r="AU85" i="127"/>
  <c r="AT85" i="127"/>
  <c r="AS85" i="127"/>
  <c r="AR85" i="127"/>
  <c r="AQ85" i="127"/>
  <c r="AP85" i="127"/>
  <c r="AO85" i="127"/>
  <c r="AN85" i="127"/>
  <c r="AM85" i="127"/>
  <c r="AL85" i="127"/>
  <c r="AK85" i="127"/>
  <c r="AJ85" i="127"/>
  <c r="AI85" i="127"/>
  <c r="AH85" i="127"/>
  <c r="AF85" i="127"/>
  <c r="AD85" i="127"/>
  <c r="AC85" i="127"/>
  <c r="AB85" i="127"/>
  <c r="AA85" i="127"/>
  <c r="Z85" i="127"/>
  <c r="Y85" i="127"/>
  <c r="X85" i="127"/>
  <c r="W85" i="127"/>
  <c r="V85" i="127"/>
  <c r="U85" i="127"/>
  <c r="T85" i="127"/>
  <c r="S85" i="127"/>
  <c r="M84" i="127"/>
  <c r="M85" i="127" s="1"/>
  <c r="CT83" i="127"/>
  <c r="CS83" i="127"/>
  <c r="CR83" i="127"/>
  <c r="CQ83" i="127"/>
  <c r="CP83" i="127"/>
  <c r="CO83" i="127"/>
  <c r="CN83" i="127"/>
  <c r="CM83" i="127"/>
  <c r="CL83" i="127"/>
  <c r="CK83" i="127"/>
  <c r="CJ83" i="127"/>
  <c r="CI83" i="127"/>
  <c r="CH83" i="127"/>
  <c r="CG83" i="127"/>
  <c r="CF83" i="127"/>
  <c r="CE83" i="127"/>
  <c r="CD83" i="127"/>
  <c r="CC83" i="127"/>
  <c r="CB83" i="127"/>
  <c r="CA83" i="127"/>
  <c r="BZ83" i="127"/>
  <c r="BY83" i="127"/>
  <c r="BX83" i="127"/>
  <c r="BW83" i="127"/>
  <c r="BV83" i="127"/>
  <c r="BU83" i="127"/>
  <c r="BT83" i="127"/>
  <c r="BS83" i="127"/>
  <c r="BR83" i="127"/>
  <c r="BQ83" i="127"/>
  <c r="BP83" i="127"/>
  <c r="BO83" i="127"/>
  <c r="BN83" i="127"/>
  <c r="BM83" i="127"/>
  <c r="BL83" i="127"/>
  <c r="BK83" i="127"/>
  <c r="BJ83" i="127"/>
  <c r="BI83" i="127"/>
  <c r="BH83" i="127"/>
  <c r="BG83" i="127"/>
  <c r="BF83" i="127"/>
  <c r="BE83" i="127"/>
  <c r="BD83" i="127"/>
  <c r="BC83" i="127"/>
  <c r="BB83" i="127"/>
  <c r="AZ83" i="127"/>
  <c r="AY83" i="127"/>
  <c r="AX83" i="127"/>
  <c r="AW83" i="127"/>
  <c r="AV83" i="127"/>
  <c r="AU83" i="127"/>
  <c r="AT83" i="127"/>
  <c r="AS83" i="127"/>
  <c r="AR83" i="127"/>
  <c r="AQ83" i="127"/>
  <c r="AP83" i="127"/>
  <c r="AO83" i="127"/>
  <c r="AN83" i="127"/>
  <c r="AM83" i="127"/>
  <c r="AL83" i="127"/>
  <c r="AK83" i="127"/>
  <c r="AJ83" i="127"/>
  <c r="AI83" i="127"/>
  <c r="AH83" i="127"/>
  <c r="AF83" i="127"/>
  <c r="AD83" i="127"/>
  <c r="AC83" i="127"/>
  <c r="AB83" i="127"/>
  <c r="AA83" i="127"/>
  <c r="Z83" i="127"/>
  <c r="Y83" i="127"/>
  <c r="X83" i="127"/>
  <c r="W83" i="127"/>
  <c r="V83" i="127"/>
  <c r="U83" i="127"/>
  <c r="T83" i="127"/>
  <c r="S83" i="127"/>
  <c r="M82" i="127"/>
  <c r="M81" i="127"/>
  <c r="P81" i="127" s="1"/>
  <c r="M80" i="127"/>
  <c r="M79" i="127"/>
  <c r="M78" i="127"/>
  <c r="P78" i="127" s="1"/>
  <c r="M77" i="127"/>
  <c r="CT76" i="127"/>
  <c r="CS76" i="127"/>
  <c r="CR76" i="127"/>
  <c r="CQ76" i="127"/>
  <c r="CP76" i="127"/>
  <c r="CO76" i="127"/>
  <c r="CN76" i="127"/>
  <c r="CM76" i="127"/>
  <c r="CL76" i="127"/>
  <c r="CK76" i="127"/>
  <c r="CJ76" i="127"/>
  <c r="CI76" i="127"/>
  <c r="CH76" i="127"/>
  <c r="CG76" i="127"/>
  <c r="CF76" i="127"/>
  <c r="CE76" i="127"/>
  <c r="CD76" i="127"/>
  <c r="CC76" i="127"/>
  <c r="CB76" i="127"/>
  <c r="CA76" i="127"/>
  <c r="BZ76" i="127"/>
  <c r="BY76" i="127"/>
  <c r="BX76" i="127"/>
  <c r="BW76" i="127"/>
  <c r="BV76" i="127"/>
  <c r="BU76" i="127"/>
  <c r="BT76" i="127"/>
  <c r="BS76" i="127"/>
  <c r="BR76" i="127"/>
  <c r="BQ76" i="127"/>
  <c r="BP76" i="127"/>
  <c r="BO76" i="127"/>
  <c r="BN76" i="127"/>
  <c r="BM76" i="127"/>
  <c r="BL76" i="127"/>
  <c r="BK76" i="127"/>
  <c r="BJ76" i="127"/>
  <c r="BI76" i="127"/>
  <c r="BH76" i="127"/>
  <c r="BG76" i="127"/>
  <c r="BF76" i="127"/>
  <c r="BE76" i="127"/>
  <c r="BD76" i="127"/>
  <c r="BC76" i="127"/>
  <c r="BB76" i="127"/>
  <c r="AZ76" i="127"/>
  <c r="AY76" i="127"/>
  <c r="AX76" i="127"/>
  <c r="AW76" i="127"/>
  <c r="AV76" i="127"/>
  <c r="AU76" i="127"/>
  <c r="AT76" i="127"/>
  <c r="AS76" i="127"/>
  <c r="AR76" i="127"/>
  <c r="AQ76" i="127"/>
  <c r="AP76" i="127"/>
  <c r="AO76" i="127"/>
  <c r="AN76" i="127"/>
  <c r="AM76" i="127"/>
  <c r="AL76" i="127"/>
  <c r="AK76" i="127"/>
  <c r="AJ76" i="127"/>
  <c r="AI76" i="127"/>
  <c r="AH76" i="127"/>
  <c r="AF76" i="127"/>
  <c r="AD76" i="127"/>
  <c r="AC76" i="127"/>
  <c r="AB76" i="127"/>
  <c r="AA76" i="127"/>
  <c r="Z76" i="127"/>
  <c r="Y76" i="127"/>
  <c r="X76" i="127"/>
  <c r="W76" i="127"/>
  <c r="V76" i="127"/>
  <c r="U76" i="127"/>
  <c r="T76" i="127"/>
  <c r="S76" i="127"/>
  <c r="M75" i="127"/>
  <c r="Q74" i="127"/>
  <c r="M74" i="127"/>
  <c r="P74" i="127" s="1"/>
  <c r="M73" i="127"/>
  <c r="CT72" i="127"/>
  <c r="CS72" i="127"/>
  <c r="CR72" i="127"/>
  <c r="CQ72" i="127"/>
  <c r="CP72" i="127"/>
  <c r="CO72" i="127"/>
  <c r="CN72" i="127"/>
  <c r="CM72" i="127"/>
  <c r="CL72" i="127"/>
  <c r="CK72" i="127"/>
  <c r="CJ72" i="127"/>
  <c r="CI72" i="127"/>
  <c r="CH72" i="127"/>
  <c r="CG72" i="127"/>
  <c r="CF72" i="127"/>
  <c r="CE72" i="127"/>
  <c r="CD72" i="127"/>
  <c r="CC72" i="127"/>
  <c r="CB72" i="127"/>
  <c r="CA72" i="127"/>
  <c r="BZ72" i="127"/>
  <c r="BY72" i="127"/>
  <c r="BX72" i="127"/>
  <c r="BW72" i="127"/>
  <c r="BV72" i="127"/>
  <c r="BU72" i="127"/>
  <c r="BT72" i="127"/>
  <c r="BS72" i="127"/>
  <c r="BR72" i="127"/>
  <c r="BQ72" i="127"/>
  <c r="BP72" i="127"/>
  <c r="BO72" i="127"/>
  <c r="BN72" i="127"/>
  <c r="BM72" i="127"/>
  <c r="BL72" i="127"/>
  <c r="BK72" i="127"/>
  <c r="BJ72" i="127"/>
  <c r="BI72" i="127"/>
  <c r="BH72" i="127"/>
  <c r="BG72" i="127"/>
  <c r="BF72" i="127"/>
  <c r="BE72" i="127"/>
  <c r="BD72" i="127"/>
  <c r="BC72" i="127"/>
  <c r="BB72" i="127"/>
  <c r="AZ72" i="127"/>
  <c r="AY72" i="127"/>
  <c r="AX72" i="127"/>
  <c r="AW72" i="127"/>
  <c r="AV72" i="127"/>
  <c r="AU72" i="127"/>
  <c r="AT72" i="127"/>
  <c r="AS72" i="127"/>
  <c r="AR72" i="127"/>
  <c r="AQ72" i="127"/>
  <c r="AP72" i="127"/>
  <c r="AO72" i="127"/>
  <c r="AN72" i="127"/>
  <c r="AM72" i="127"/>
  <c r="AL72" i="127"/>
  <c r="AK72" i="127"/>
  <c r="AJ72" i="127"/>
  <c r="AI72" i="127"/>
  <c r="AH72" i="127"/>
  <c r="AF72" i="127"/>
  <c r="AD72" i="127"/>
  <c r="AC72" i="127"/>
  <c r="AB72" i="127"/>
  <c r="AA72" i="127"/>
  <c r="Z72" i="127"/>
  <c r="Y72" i="127"/>
  <c r="X72" i="127"/>
  <c r="W72" i="127"/>
  <c r="V72" i="127"/>
  <c r="U72" i="127"/>
  <c r="T72" i="127"/>
  <c r="S72" i="127"/>
  <c r="M71" i="127"/>
  <c r="M72" i="127" s="1"/>
  <c r="CT70" i="127"/>
  <c r="CS70" i="127"/>
  <c r="CR70" i="127"/>
  <c r="CQ70" i="127"/>
  <c r="CP70" i="127"/>
  <c r="CO70" i="127"/>
  <c r="CN70" i="127"/>
  <c r="CM70" i="127"/>
  <c r="CL70" i="127"/>
  <c r="CK70" i="127"/>
  <c r="CJ70" i="127"/>
  <c r="CI70" i="127"/>
  <c r="CH70" i="127"/>
  <c r="CG70" i="127"/>
  <c r="CF70" i="127"/>
  <c r="CE70" i="127"/>
  <c r="CD70" i="127"/>
  <c r="CC70" i="127"/>
  <c r="CB70" i="127"/>
  <c r="CA70" i="127"/>
  <c r="BZ70" i="127"/>
  <c r="BY70" i="127"/>
  <c r="BX70" i="127"/>
  <c r="BW70" i="127"/>
  <c r="BV70" i="127"/>
  <c r="BU70" i="127"/>
  <c r="BT70" i="127"/>
  <c r="BS70" i="127"/>
  <c r="BR70" i="127"/>
  <c r="BQ70" i="127"/>
  <c r="BP70" i="127"/>
  <c r="BO70" i="127"/>
  <c r="BN70" i="127"/>
  <c r="BM70" i="127"/>
  <c r="BL70" i="127"/>
  <c r="BK70" i="127"/>
  <c r="BJ70" i="127"/>
  <c r="BI70" i="127"/>
  <c r="BH70" i="127"/>
  <c r="BG70" i="127"/>
  <c r="BF70" i="127"/>
  <c r="BE70" i="127"/>
  <c r="BD70" i="127"/>
  <c r="BC70" i="127"/>
  <c r="BB70" i="127"/>
  <c r="AZ70" i="127"/>
  <c r="AY70" i="127"/>
  <c r="AX70" i="127"/>
  <c r="AW70" i="127"/>
  <c r="AV70" i="127"/>
  <c r="AU70" i="127"/>
  <c r="AT70" i="127"/>
  <c r="AS70" i="127"/>
  <c r="AR70" i="127"/>
  <c r="AQ70" i="127"/>
  <c r="AP70" i="127"/>
  <c r="AO70" i="127"/>
  <c r="AN70" i="127"/>
  <c r="AM70" i="127"/>
  <c r="AL70" i="127"/>
  <c r="AK70" i="127"/>
  <c r="AJ70" i="127"/>
  <c r="AI70" i="127"/>
  <c r="AH70" i="127"/>
  <c r="AF70" i="127"/>
  <c r="AD70" i="127"/>
  <c r="AC70" i="127"/>
  <c r="AB70" i="127"/>
  <c r="AA70" i="127"/>
  <c r="Z70" i="127"/>
  <c r="Y70" i="127"/>
  <c r="X70" i="127"/>
  <c r="W70" i="127"/>
  <c r="V70" i="127"/>
  <c r="U70" i="127"/>
  <c r="T70" i="127"/>
  <c r="S70" i="127"/>
  <c r="M69" i="127"/>
  <c r="M70" i="127" s="1"/>
  <c r="CT68" i="127"/>
  <c r="CS68" i="127"/>
  <c r="CR68" i="127"/>
  <c r="CQ68" i="127"/>
  <c r="CP68" i="127"/>
  <c r="CO68" i="127"/>
  <c r="CN68" i="127"/>
  <c r="CM68" i="127"/>
  <c r="CL68" i="127"/>
  <c r="CK68" i="127"/>
  <c r="CJ68" i="127"/>
  <c r="CI68" i="127"/>
  <c r="CH68" i="127"/>
  <c r="CG68" i="127"/>
  <c r="CF68" i="127"/>
  <c r="CE68" i="127"/>
  <c r="CD68" i="127"/>
  <c r="CC68" i="127"/>
  <c r="CB68" i="127"/>
  <c r="CA68" i="127"/>
  <c r="BZ68" i="127"/>
  <c r="BY68" i="127"/>
  <c r="BX68" i="127"/>
  <c r="BW68" i="127"/>
  <c r="BV68" i="127"/>
  <c r="BU68" i="127"/>
  <c r="BT68" i="127"/>
  <c r="BS68" i="127"/>
  <c r="BR68" i="127"/>
  <c r="BQ68" i="127"/>
  <c r="BP68" i="127"/>
  <c r="BO68" i="127"/>
  <c r="BN68" i="127"/>
  <c r="BM68" i="127"/>
  <c r="BL68" i="127"/>
  <c r="BK68" i="127"/>
  <c r="BJ68" i="127"/>
  <c r="BI68" i="127"/>
  <c r="BH68" i="127"/>
  <c r="BG68" i="127"/>
  <c r="BF68" i="127"/>
  <c r="BE68" i="127"/>
  <c r="BD68" i="127"/>
  <c r="BC68" i="127"/>
  <c r="BB68" i="127"/>
  <c r="AZ68" i="127"/>
  <c r="AY68" i="127"/>
  <c r="AX68" i="127"/>
  <c r="AW68" i="127"/>
  <c r="AV68" i="127"/>
  <c r="AU68" i="127"/>
  <c r="AT68" i="127"/>
  <c r="AS68" i="127"/>
  <c r="AR68" i="127"/>
  <c r="AQ68" i="127"/>
  <c r="AP68" i="127"/>
  <c r="AO68" i="127"/>
  <c r="AN68" i="127"/>
  <c r="AM68" i="127"/>
  <c r="AL68" i="127"/>
  <c r="AK68" i="127"/>
  <c r="AJ68" i="127"/>
  <c r="AI68" i="127"/>
  <c r="AH68" i="127"/>
  <c r="AF68" i="127"/>
  <c r="AD68" i="127"/>
  <c r="AC68" i="127"/>
  <c r="AB68" i="127"/>
  <c r="AA68" i="127"/>
  <c r="Z68" i="127"/>
  <c r="Y68" i="127"/>
  <c r="X68" i="127"/>
  <c r="W68" i="127"/>
  <c r="V68" i="127"/>
  <c r="U68" i="127"/>
  <c r="T68" i="127"/>
  <c r="S68" i="127"/>
  <c r="M67" i="127"/>
  <c r="M68" i="127" s="1"/>
  <c r="CT66" i="127"/>
  <c r="CS66" i="127"/>
  <c r="CR66" i="127"/>
  <c r="CQ66" i="127"/>
  <c r="CP66" i="127"/>
  <c r="CO66" i="127"/>
  <c r="CN66" i="127"/>
  <c r="CM66" i="127"/>
  <c r="CL66" i="127"/>
  <c r="CK66" i="127"/>
  <c r="CJ66" i="127"/>
  <c r="CI66" i="127"/>
  <c r="CH66" i="127"/>
  <c r="CG66" i="127"/>
  <c r="CF66" i="127"/>
  <c r="CE66" i="127"/>
  <c r="CD66" i="127"/>
  <c r="CC66" i="127"/>
  <c r="CB66" i="127"/>
  <c r="CA66" i="127"/>
  <c r="BZ66" i="127"/>
  <c r="BY66" i="127"/>
  <c r="BX66" i="127"/>
  <c r="BW66" i="127"/>
  <c r="BV66" i="127"/>
  <c r="BU66" i="127"/>
  <c r="BT66" i="127"/>
  <c r="BS66" i="127"/>
  <c r="BR66" i="127"/>
  <c r="BQ66" i="127"/>
  <c r="BP66" i="127"/>
  <c r="BO66" i="127"/>
  <c r="BN66" i="127"/>
  <c r="BM66" i="127"/>
  <c r="BL66" i="127"/>
  <c r="BK66" i="127"/>
  <c r="BJ66" i="127"/>
  <c r="BI66" i="127"/>
  <c r="BH66" i="127"/>
  <c r="BG66" i="127"/>
  <c r="BF66" i="127"/>
  <c r="BE66" i="127"/>
  <c r="BD66" i="127"/>
  <c r="BC66" i="127"/>
  <c r="BB66" i="127"/>
  <c r="AZ66" i="127"/>
  <c r="AY66" i="127"/>
  <c r="AX66" i="127"/>
  <c r="AW66" i="127"/>
  <c r="AV66" i="127"/>
  <c r="AU66" i="127"/>
  <c r="AT66" i="127"/>
  <c r="AS66" i="127"/>
  <c r="AR66" i="127"/>
  <c r="AQ66" i="127"/>
  <c r="AP66" i="127"/>
  <c r="AO66" i="127"/>
  <c r="AN66" i="127"/>
  <c r="AM66" i="127"/>
  <c r="AL66" i="127"/>
  <c r="AK66" i="127"/>
  <c r="AJ66" i="127"/>
  <c r="AI66" i="127"/>
  <c r="AH66" i="127"/>
  <c r="AF66" i="127"/>
  <c r="AD66" i="127"/>
  <c r="AC66" i="127"/>
  <c r="AB66" i="127"/>
  <c r="AA66" i="127"/>
  <c r="Z66" i="127"/>
  <c r="Y66" i="127"/>
  <c r="X66" i="127"/>
  <c r="W66" i="127"/>
  <c r="V66" i="127"/>
  <c r="U66" i="127"/>
  <c r="T66" i="127"/>
  <c r="S66" i="127"/>
  <c r="M65" i="127"/>
  <c r="M64" i="127"/>
  <c r="P64" i="127" s="1"/>
  <c r="M63" i="127"/>
  <c r="M62" i="127"/>
  <c r="M61" i="127"/>
  <c r="Q61" i="127" s="1"/>
  <c r="M60" i="127"/>
  <c r="M59" i="127"/>
  <c r="M58" i="127"/>
  <c r="M57" i="127"/>
  <c r="P57" i="127" s="1"/>
  <c r="M56" i="127"/>
  <c r="M55" i="127"/>
  <c r="M54" i="127"/>
  <c r="M53" i="127"/>
  <c r="P53" i="127" s="1"/>
  <c r="M52" i="127"/>
  <c r="M51" i="127"/>
  <c r="M50" i="127"/>
  <c r="Q49" i="127"/>
  <c r="M49" i="127"/>
  <c r="P49" i="127" s="1"/>
  <c r="M48" i="127"/>
  <c r="Q48" i="127" s="1"/>
  <c r="M47" i="127"/>
  <c r="P47" i="127" s="1"/>
  <c r="M46" i="127"/>
  <c r="P46" i="127" s="1"/>
  <c r="M45" i="127"/>
  <c r="P45" i="127" s="1"/>
  <c r="CT44" i="127"/>
  <c r="CS44" i="127"/>
  <c r="CR44" i="127"/>
  <c r="CQ44" i="127"/>
  <c r="CP44" i="127"/>
  <c r="CO44" i="127"/>
  <c r="CN44" i="127"/>
  <c r="CM44" i="127"/>
  <c r="CL44" i="127"/>
  <c r="CK44" i="127"/>
  <c r="CJ44" i="127"/>
  <c r="CI44" i="127"/>
  <c r="CH44" i="127"/>
  <c r="CG44" i="127"/>
  <c r="CF44" i="127"/>
  <c r="CE44" i="127"/>
  <c r="CD44" i="127"/>
  <c r="CC44" i="127"/>
  <c r="CB44" i="127"/>
  <c r="CA44" i="127"/>
  <c r="BZ44" i="127"/>
  <c r="BY44" i="127"/>
  <c r="BX44" i="127"/>
  <c r="BW44" i="127"/>
  <c r="BV44" i="127"/>
  <c r="BU44" i="127"/>
  <c r="BT44" i="127"/>
  <c r="BS44" i="127"/>
  <c r="BR44" i="127"/>
  <c r="BQ44" i="127"/>
  <c r="BP44" i="127"/>
  <c r="BN44" i="127"/>
  <c r="BM44" i="127"/>
  <c r="BL44" i="127"/>
  <c r="BK44" i="127"/>
  <c r="BJ44" i="127"/>
  <c r="BI44" i="127"/>
  <c r="BH44" i="127"/>
  <c r="BG44" i="127"/>
  <c r="BF44" i="127"/>
  <c r="BE44" i="127"/>
  <c r="BD44" i="127"/>
  <c r="BC44" i="127"/>
  <c r="BB44" i="127"/>
  <c r="AZ44" i="127"/>
  <c r="AY44" i="127"/>
  <c r="AX44" i="127"/>
  <c r="AW44" i="127"/>
  <c r="AV44" i="127"/>
  <c r="AU44" i="127"/>
  <c r="AT44" i="127"/>
  <c r="AS44" i="127"/>
  <c r="AR44" i="127"/>
  <c r="AQ44" i="127"/>
  <c r="AP44" i="127"/>
  <c r="AO44" i="127"/>
  <c r="AN44" i="127"/>
  <c r="AM44" i="127"/>
  <c r="AL44" i="127"/>
  <c r="AK44" i="127"/>
  <c r="AJ44" i="127"/>
  <c r="AI44" i="127"/>
  <c r="AH44" i="127"/>
  <c r="AF44" i="127"/>
  <c r="AD44" i="127"/>
  <c r="AC44" i="127"/>
  <c r="AB44" i="127"/>
  <c r="AA44" i="127"/>
  <c r="Z44" i="127"/>
  <c r="Y44" i="127"/>
  <c r="X44" i="127"/>
  <c r="W44" i="127"/>
  <c r="V44" i="127"/>
  <c r="U44" i="127"/>
  <c r="T44" i="127"/>
  <c r="S44" i="127"/>
  <c r="M43" i="127"/>
  <c r="M44" i="127" s="1"/>
  <c r="CT42" i="127"/>
  <c r="CS42" i="127"/>
  <c r="CR42" i="127"/>
  <c r="CQ42" i="127"/>
  <c r="CP42" i="127"/>
  <c r="CO42" i="127"/>
  <c r="CN42" i="127"/>
  <c r="CM42" i="127"/>
  <c r="CL42" i="127"/>
  <c r="CK42" i="127"/>
  <c r="CJ42" i="127"/>
  <c r="CI42" i="127"/>
  <c r="CH42" i="127"/>
  <c r="CG42" i="127"/>
  <c r="CF42" i="127"/>
  <c r="CE42" i="127"/>
  <c r="CD42" i="127"/>
  <c r="CC42" i="127"/>
  <c r="CB42" i="127"/>
  <c r="CA42" i="127"/>
  <c r="BZ42" i="127"/>
  <c r="BY42" i="127"/>
  <c r="BX42" i="127"/>
  <c r="BW42" i="127"/>
  <c r="BV42" i="127"/>
  <c r="BU42" i="127"/>
  <c r="BT42" i="127"/>
  <c r="BS42" i="127"/>
  <c r="BR42" i="127"/>
  <c r="BQ42" i="127"/>
  <c r="BP42" i="127"/>
  <c r="BO42" i="127"/>
  <c r="BN42" i="127"/>
  <c r="BM42" i="127"/>
  <c r="BL42" i="127"/>
  <c r="BK42" i="127"/>
  <c r="BJ42" i="127"/>
  <c r="BI42" i="127"/>
  <c r="BH42" i="127"/>
  <c r="BG42" i="127"/>
  <c r="BF42" i="127"/>
  <c r="BE42" i="127"/>
  <c r="BD42" i="127"/>
  <c r="BC42" i="127"/>
  <c r="BB42" i="127"/>
  <c r="AZ42" i="127"/>
  <c r="AY42" i="127"/>
  <c r="AX42" i="127"/>
  <c r="AW42" i="127"/>
  <c r="AV42" i="127"/>
  <c r="AU42" i="127"/>
  <c r="AT42" i="127"/>
  <c r="AS42" i="127"/>
  <c r="AR42" i="127"/>
  <c r="AQ42" i="127"/>
  <c r="AP42" i="127"/>
  <c r="AO42" i="127"/>
  <c r="AN42" i="127"/>
  <c r="AM42" i="127"/>
  <c r="AL42" i="127"/>
  <c r="AK42" i="127"/>
  <c r="AJ42" i="127"/>
  <c r="AI42" i="127"/>
  <c r="AH42" i="127"/>
  <c r="AF42" i="127"/>
  <c r="AD42" i="127"/>
  <c r="AC42" i="127"/>
  <c r="AB42" i="127"/>
  <c r="AA42" i="127"/>
  <c r="Z42" i="127"/>
  <c r="Y42" i="127"/>
  <c r="X42" i="127"/>
  <c r="W42" i="127"/>
  <c r="V42" i="127"/>
  <c r="U42" i="127"/>
  <c r="T42" i="127"/>
  <c r="S42" i="127"/>
  <c r="M41" i="127"/>
  <c r="M42" i="127" s="1"/>
  <c r="CT40" i="127"/>
  <c r="CS40" i="127"/>
  <c r="CR40" i="127"/>
  <c r="CQ40" i="127"/>
  <c r="CP40" i="127"/>
  <c r="CO40" i="127"/>
  <c r="CN40" i="127"/>
  <c r="CM40" i="127"/>
  <c r="CL40" i="127"/>
  <c r="CK40" i="127"/>
  <c r="CJ40" i="127"/>
  <c r="CI40" i="127"/>
  <c r="CH40" i="127"/>
  <c r="CG40" i="127"/>
  <c r="CF40" i="127"/>
  <c r="CE40" i="127"/>
  <c r="CD40" i="127"/>
  <c r="CC40" i="127"/>
  <c r="CB40" i="127"/>
  <c r="CA40" i="127"/>
  <c r="BZ40" i="127"/>
  <c r="BY40" i="127"/>
  <c r="BX40" i="127"/>
  <c r="BW40" i="127"/>
  <c r="BV40" i="127"/>
  <c r="BU40" i="127"/>
  <c r="BT40" i="127"/>
  <c r="BS40" i="127"/>
  <c r="BR40" i="127"/>
  <c r="BQ40" i="127"/>
  <c r="BP40" i="127"/>
  <c r="BO40" i="127"/>
  <c r="BN40" i="127"/>
  <c r="BM40" i="127"/>
  <c r="BL40" i="127"/>
  <c r="BK40" i="127"/>
  <c r="BJ40" i="127"/>
  <c r="BI40" i="127"/>
  <c r="BH40" i="127"/>
  <c r="BG40" i="127"/>
  <c r="BF40" i="127"/>
  <c r="BE40" i="127"/>
  <c r="BD40" i="127"/>
  <c r="BC40" i="127"/>
  <c r="BB40" i="127"/>
  <c r="AZ40" i="127"/>
  <c r="AY40" i="127"/>
  <c r="AX40" i="127"/>
  <c r="AW40" i="127"/>
  <c r="AV40" i="127"/>
  <c r="AU40" i="127"/>
  <c r="AT40" i="127"/>
  <c r="AS40" i="127"/>
  <c r="AR40" i="127"/>
  <c r="AQ40" i="127"/>
  <c r="AP40" i="127"/>
  <c r="AO40" i="127"/>
  <c r="AN40" i="127"/>
  <c r="AM40" i="127"/>
  <c r="AL40" i="127"/>
  <c r="AK40" i="127"/>
  <c r="AJ40" i="127"/>
  <c r="AI40" i="127"/>
  <c r="AH40" i="127"/>
  <c r="AF40" i="127"/>
  <c r="AD40" i="127"/>
  <c r="AC40" i="127"/>
  <c r="AB40" i="127"/>
  <c r="AA40" i="127"/>
  <c r="Z40" i="127"/>
  <c r="Y40" i="127"/>
  <c r="X40" i="127"/>
  <c r="W40" i="127"/>
  <c r="V40" i="127"/>
  <c r="U40" i="127"/>
  <c r="T40" i="127"/>
  <c r="S40" i="127"/>
  <c r="M39" i="127"/>
  <c r="Q39" i="127" s="1"/>
  <c r="M38" i="127"/>
  <c r="M37" i="127"/>
  <c r="M36" i="127"/>
  <c r="Q36" i="127" s="1"/>
  <c r="M35" i="127"/>
  <c r="M34" i="127"/>
  <c r="M40" i="127" s="1"/>
  <c r="CT33" i="127"/>
  <c r="CS33" i="127"/>
  <c r="CR33" i="127"/>
  <c r="CQ33" i="127"/>
  <c r="CP33" i="127"/>
  <c r="CO33" i="127"/>
  <c r="CN33" i="127"/>
  <c r="CM33" i="127"/>
  <c r="CL33" i="127"/>
  <c r="CK33" i="127"/>
  <c r="CJ33" i="127"/>
  <c r="CI33" i="127"/>
  <c r="CH33" i="127"/>
  <c r="CG33" i="127"/>
  <c r="CF33" i="127"/>
  <c r="CE33" i="127"/>
  <c r="CD33" i="127"/>
  <c r="CC33" i="127"/>
  <c r="CB33" i="127"/>
  <c r="CA33" i="127"/>
  <c r="BZ33" i="127"/>
  <c r="BY33" i="127"/>
  <c r="BX33" i="127"/>
  <c r="BW33" i="127"/>
  <c r="BV33" i="127"/>
  <c r="BU33" i="127"/>
  <c r="BT33" i="127"/>
  <c r="BS33" i="127"/>
  <c r="BR33" i="127"/>
  <c r="BQ33" i="127"/>
  <c r="BP33" i="127"/>
  <c r="BN33" i="127"/>
  <c r="BM33" i="127"/>
  <c r="BL33" i="127"/>
  <c r="BK33" i="127"/>
  <c r="BJ33" i="127"/>
  <c r="BI33" i="127"/>
  <c r="BH33" i="127"/>
  <c r="BG33" i="127"/>
  <c r="BF33" i="127"/>
  <c r="BE33" i="127"/>
  <c r="BD33" i="127"/>
  <c r="BC33" i="127"/>
  <c r="BB33" i="127"/>
  <c r="AZ33" i="127"/>
  <c r="AY33" i="127"/>
  <c r="AX33" i="127"/>
  <c r="AW33" i="127"/>
  <c r="AV33" i="127"/>
  <c r="AU33" i="127"/>
  <c r="AT33" i="127"/>
  <c r="AS33" i="127"/>
  <c r="AR33" i="127"/>
  <c r="AQ33" i="127"/>
  <c r="AP33" i="127"/>
  <c r="AO33" i="127"/>
  <c r="AN33" i="127"/>
  <c r="AM33" i="127"/>
  <c r="AL33" i="127"/>
  <c r="AK33" i="127"/>
  <c r="AJ33" i="127"/>
  <c r="AI33" i="127"/>
  <c r="AH33" i="127"/>
  <c r="AF33" i="127"/>
  <c r="AD33" i="127"/>
  <c r="AC33" i="127"/>
  <c r="AB33" i="127"/>
  <c r="AA33" i="127"/>
  <c r="Z33" i="127"/>
  <c r="Y33" i="127"/>
  <c r="X33" i="127"/>
  <c r="W33" i="127"/>
  <c r="V33" i="127"/>
  <c r="U33" i="127"/>
  <c r="T33" i="127"/>
  <c r="S33" i="127"/>
  <c r="M32" i="127"/>
  <c r="M33" i="127" s="1"/>
  <c r="CT31" i="127"/>
  <c r="CS31" i="127"/>
  <c r="CR31" i="127"/>
  <c r="CQ31" i="127"/>
  <c r="CP31" i="127"/>
  <c r="CO31" i="127"/>
  <c r="CN31" i="127"/>
  <c r="CM31" i="127"/>
  <c r="CL31" i="127"/>
  <c r="CK31" i="127"/>
  <c r="CJ31" i="127"/>
  <c r="CI31" i="127"/>
  <c r="CH31" i="127"/>
  <c r="CG31" i="127"/>
  <c r="CF31" i="127"/>
  <c r="CE31" i="127"/>
  <c r="CD31" i="127"/>
  <c r="CC31" i="127"/>
  <c r="CB31" i="127"/>
  <c r="CA31" i="127"/>
  <c r="BZ31" i="127"/>
  <c r="BY31" i="127"/>
  <c r="BX31" i="127"/>
  <c r="BW31" i="127"/>
  <c r="BV31" i="127"/>
  <c r="BU31" i="127"/>
  <c r="BT31" i="127"/>
  <c r="BS31" i="127"/>
  <c r="BR31" i="127"/>
  <c r="BQ31" i="127"/>
  <c r="BP31" i="127"/>
  <c r="BO31" i="127"/>
  <c r="BN31" i="127"/>
  <c r="BM31" i="127"/>
  <c r="BL31" i="127"/>
  <c r="BK31" i="127"/>
  <c r="BJ31" i="127"/>
  <c r="BI31" i="127"/>
  <c r="BH31" i="127"/>
  <c r="BG31" i="127"/>
  <c r="BF31" i="127"/>
  <c r="BE31" i="127"/>
  <c r="BD31" i="127"/>
  <c r="BC31" i="127"/>
  <c r="BB31" i="127"/>
  <c r="AZ31" i="127"/>
  <c r="AY31" i="127"/>
  <c r="AX31" i="127"/>
  <c r="AW31" i="127"/>
  <c r="AV31" i="127"/>
  <c r="AU31" i="127"/>
  <c r="AT31" i="127"/>
  <c r="AS31" i="127"/>
  <c r="AR31" i="127"/>
  <c r="AQ31" i="127"/>
  <c r="AP31" i="127"/>
  <c r="AO31" i="127"/>
  <c r="AN31" i="127"/>
  <c r="AM31" i="127"/>
  <c r="AL31" i="127"/>
  <c r="AK31" i="127"/>
  <c r="AJ31" i="127"/>
  <c r="AI31" i="127"/>
  <c r="AH31" i="127"/>
  <c r="AF31" i="127"/>
  <c r="AD31" i="127"/>
  <c r="AC31" i="127"/>
  <c r="AB31" i="127"/>
  <c r="AA31" i="127"/>
  <c r="Z31" i="127"/>
  <c r="Y31" i="127"/>
  <c r="X31" i="127"/>
  <c r="W31" i="127"/>
  <c r="V31" i="127"/>
  <c r="U31" i="127"/>
  <c r="T31" i="127"/>
  <c r="S31" i="127"/>
  <c r="M30" i="127"/>
  <c r="P30" i="127" s="1"/>
  <c r="CT29" i="127"/>
  <c r="CS29" i="127"/>
  <c r="CR29" i="127"/>
  <c r="CQ29" i="127"/>
  <c r="CP29" i="127"/>
  <c r="CO29" i="127"/>
  <c r="CN29" i="127"/>
  <c r="CM29" i="127"/>
  <c r="CL29" i="127"/>
  <c r="CK29" i="127"/>
  <c r="CJ29" i="127"/>
  <c r="CI29" i="127"/>
  <c r="CH29" i="127"/>
  <c r="CG29" i="127"/>
  <c r="CF29" i="127"/>
  <c r="CE29" i="127"/>
  <c r="CD29" i="127"/>
  <c r="CC29" i="127"/>
  <c r="CB29" i="127"/>
  <c r="CA29" i="127"/>
  <c r="BZ29" i="127"/>
  <c r="BY29" i="127"/>
  <c r="BX29" i="127"/>
  <c r="BW29" i="127"/>
  <c r="BV29" i="127"/>
  <c r="BU29" i="127"/>
  <c r="BT29" i="127"/>
  <c r="BS29" i="127"/>
  <c r="BR29" i="127"/>
  <c r="BQ29" i="127"/>
  <c r="BP29" i="127"/>
  <c r="BO29" i="127"/>
  <c r="BN29" i="127"/>
  <c r="BM29" i="127"/>
  <c r="BL29" i="127"/>
  <c r="BK29" i="127"/>
  <c r="BJ29" i="127"/>
  <c r="BI29" i="127"/>
  <c r="BH29" i="127"/>
  <c r="BG29" i="127"/>
  <c r="BF29" i="127"/>
  <c r="BE29" i="127"/>
  <c r="BD29" i="127"/>
  <c r="BC29" i="127"/>
  <c r="BB29" i="127"/>
  <c r="AZ29" i="127"/>
  <c r="AY29" i="127"/>
  <c r="AX29" i="127"/>
  <c r="AW29" i="127"/>
  <c r="AV29" i="127"/>
  <c r="AU29" i="127"/>
  <c r="AT29" i="127"/>
  <c r="AS29" i="127"/>
  <c r="AR29" i="127"/>
  <c r="AQ29" i="127"/>
  <c r="AP29" i="127"/>
  <c r="AO29" i="127"/>
  <c r="AN29" i="127"/>
  <c r="AM29" i="127"/>
  <c r="AL29" i="127"/>
  <c r="AK29" i="127"/>
  <c r="AJ29" i="127"/>
  <c r="AI29" i="127"/>
  <c r="AH29" i="127"/>
  <c r="AF29" i="127"/>
  <c r="AD29" i="127"/>
  <c r="AC29" i="127"/>
  <c r="AB29" i="127"/>
  <c r="AA29" i="127"/>
  <c r="Z29" i="127"/>
  <c r="Y29" i="127"/>
  <c r="X29" i="127"/>
  <c r="W29" i="127"/>
  <c r="V29" i="127"/>
  <c r="U29" i="127"/>
  <c r="T29" i="127"/>
  <c r="S29" i="127"/>
  <c r="M28" i="127"/>
  <c r="P28" i="127" s="1"/>
  <c r="CT27" i="127"/>
  <c r="CS27" i="127"/>
  <c r="CR27" i="127"/>
  <c r="CQ27" i="127"/>
  <c r="CP27" i="127"/>
  <c r="CO27" i="127"/>
  <c r="CN27" i="127"/>
  <c r="CM27" i="127"/>
  <c r="CL27" i="127"/>
  <c r="CK27" i="127"/>
  <c r="CJ27" i="127"/>
  <c r="CI27" i="127"/>
  <c r="CH27" i="127"/>
  <c r="CG27" i="127"/>
  <c r="CF27" i="127"/>
  <c r="CE27" i="127"/>
  <c r="CD27" i="127"/>
  <c r="CC27" i="127"/>
  <c r="CB27" i="127"/>
  <c r="CA27" i="127"/>
  <c r="BZ27" i="127"/>
  <c r="BY27" i="127"/>
  <c r="BX27" i="127"/>
  <c r="BW27" i="127"/>
  <c r="BV27" i="127"/>
  <c r="BU27" i="127"/>
  <c r="BT27" i="127"/>
  <c r="BS27" i="127"/>
  <c r="BR27" i="127"/>
  <c r="BQ27" i="127"/>
  <c r="BP27" i="127"/>
  <c r="BO27" i="127"/>
  <c r="BN27" i="127"/>
  <c r="BM27" i="127"/>
  <c r="BL27" i="127"/>
  <c r="BK27" i="127"/>
  <c r="BJ27" i="127"/>
  <c r="BI27" i="127"/>
  <c r="BH27" i="127"/>
  <c r="BG27" i="127"/>
  <c r="BF27" i="127"/>
  <c r="BE27" i="127"/>
  <c r="BD27" i="127"/>
  <c r="BC27" i="127"/>
  <c r="BB27" i="127"/>
  <c r="AZ27" i="127"/>
  <c r="AY27" i="127"/>
  <c r="AX27" i="127"/>
  <c r="AW27" i="127"/>
  <c r="AV27" i="127"/>
  <c r="AU27" i="127"/>
  <c r="AT27" i="127"/>
  <c r="AS27" i="127"/>
  <c r="AR27" i="127"/>
  <c r="AQ27" i="127"/>
  <c r="AP27" i="127"/>
  <c r="AO27" i="127"/>
  <c r="AN27" i="127"/>
  <c r="AM27" i="127"/>
  <c r="AL27" i="127"/>
  <c r="AK27" i="127"/>
  <c r="AJ27" i="127"/>
  <c r="AI27" i="127"/>
  <c r="AH27" i="127"/>
  <c r="AF27" i="127"/>
  <c r="AD27" i="127"/>
  <c r="AC27" i="127"/>
  <c r="AB27" i="127"/>
  <c r="AA27" i="127"/>
  <c r="Z27" i="127"/>
  <c r="Y27" i="127"/>
  <c r="X27" i="127"/>
  <c r="W27" i="127"/>
  <c r="V27" i="127"/>
  <c r="U27" i="127"/>
  <c r="T27" i="127"/>
  <c r="S27" i="127"/>
  <c r="M26" i="127"/>
  <c r="M27" i="127" s="1"/>
  <c r="CT25" i="127"/>
  <c r="CS25" i="127"/>
  <c r="CR25" i="127"/>
  <c r="CQ25" i="127"/>
  <c r="CP25" i="127"/>
  <c r="CO25" i="127"/>
  <c r="CN25" i="127"/>
  <c r="CM25" i="127"/>
  <c r="CL25" i="127"/>
  <c r="CK25" i="127"/>
  <c r="CJ25" i="127"/>
  <c r="CI25" i="127"/>
  <c r="CH25" i="127"/>
  <c r="CG25" i="127"/>
  <c r="CF25" i="127"/>
  <c r="CE25" i="127"/>
  <c r="CD25" i="127"/>
  <c r="CC25" i="127"/>
  <c r="CB25" i="127"/>
  <c r="CA25" i="127"/>
  <c r="BZ25" i="127"/>
  <c r="BY25" i="127"/>
  <c r="BX25" i="127"/>
  <c r="BW25" i="127"/>
  <c r="BV25" i="127"/>
  <c r="BU25" i="127"/>
  <c r="BT25" i="127"/>
  <c r="BS25" i="127"/>
  <c r="BR25" i="127"/>
  <c r="BQ25" i="127"/>
  <c r="BP25" i="127"/>
  <c r="BO25" i="127"/>
  <c r="BN25" i="127"/>
  <c r="BM25" i="127"/>
  <c r="BL25" i="127"/>
  <c r="BK25" i="127"/>
  <c r="BJ25" i="127"/>
  <c r="BI25" i="127"/>
  <c r="BH25" i="127"/>
  <c r="BG25" i="127"/>
  <c r="BF25" i="127"/>
  <c r="BE25" i="127"/>
  <c r="BD25" i="127"/>
  <c r="BC25" i="127"/>
  <c r="BB25" i="127"/>
  <c r="AZ25" i="127"/>
  <c r="AY25" i="127"/>
  <c r="AX25" i="127"/>
  <c r="AV25" i="127"/>
  <c r="AU25" i="127"/>
  <c r="AT25" i="127"/>
  <c r="AS25" i="127"/>
  <c r="AR25" i="127"/>
  <c r="AQ25" i="127"/>
  <c r="AP25" i="127"/>
  <c r="AO25" i="127"/>
  <c r="AN25" i="127"/>
  <c r="AM25" i="127"/>
  <c r="AL25" i="127"/>
  <c r="AK25" i="127"/>
  <c r="AJ25" i="127"/>
  <c r="AI25" i="127"/>
  <c r="AH25" i="127"/>
  <c r="AF25" i="127"/>
  <c r="AD25" i="127"/>
  <c r="AC25" i="127"/>
  <c r="AB25" i="127"/>
  <c r="AA25" i="127"/>
  <c r="Z25" i="127"/>
  <c r="Y25" i="127"/>
  <c r="X25" i="127"/>
  <c r="W25" i="127"/>
  <c r="V25" i="127"/>
  <c r="U25" i="127"/>
  <c r="T25" i="127"/>
  <c r="S25" i="127"/>
  <c r="M24" i="127"/>
  <c r="M25" i="127" s="1"/>
  <c r="CT23" i="127"/>
  <c r="CS23" i="127"/>
  <c r="CR23" i="127"/>
  <c r="CQ23" i="127"/>
  <c r="CP23" i="127"/>
  <c r="CO23" i="127"/>
  <c r="CN23" i="127"/>
  <c r="CM23" i="127"/>
  <c r="CL23" i="127"/>
  <c r="CK23" i="127"/>
  <c r="CJ23" i="127"/>
  <c r="CI23" i="127"/>
  <c r="CH23" i="127"/>
  <c r="CG23" i="127"/>
  <c r="CF23" i="127"/>
  <c r="CE23" i="127"/>
  <c r="CD23" i="127"/>
  <c r="CC23" i="127"/>
  <c r="CB23" i="127"/>
  <c r="CA23" i="127"/>
  <c r="BZ23" i="127"/>
  <c r="BY23" i="127"/>
  <c r="BX23" i="127"/>
  <c r="BW23" i="127"/>
  <c r="BV23" i="127"/>
  <c r="BU23" i="127"/>
  <c r="BT23" i="127"/>
  <c r="BS23" i="127"/>
  <c r="BR23" i="127"/>
  <c r="BQ23" i="127"/>
  <c r="BP23" i="127"/>
  <c r="BO23" i="127"/>
  <c r="BN23" i="127"/>
  <c r="BM23" i="127"/>
  <c r="BL23" i="127"/>
  <c r="BK23" i="127"/>
  <c r="BJ23" i="127"/>
  <c r="BI23" i="127"/>
  <c r="BH23" i="127"/>
  <c r="BG23" i="127"/>
  <c r="BF23" i="127"/>
  <c r="BE23" i="127"/>
  <c r="BD23" i="127"/>
  <c r="BC23" i="127"/>
  <c r="BB23" i="127"/>
  <c r="AZ23" i="127"/>
  <c r="AY23" i="127"/>
  <c r="AX23" i="127"/>
  <c r="AV23" i="127"/>
  <c r="AU23" i="127"/>
  <c r="AT23" i="127"/>
  <c r="AS23" i="127"/>
  <c r="AR23" i="127"/>
  <c r="AQ23" i="127"/>
  <c r="AP23" i="127"/>
  <c r="AO23" i="127"/>
  <c r="AN23" i="127"/>
  <c r="AM23" i="127"/>
  <c r="AL23" i="127"/>
  <c r="AK23" i="127"/>
  <c r="AJ23" i="127"/>
  <c r="AI23" i="127"/>
  <c r="AH23" i="127"/>
  <c r="AF23" i="127"/>
  <c r="AD23" i="127"/>
  <c r="AC23" i="127"/>
  <c r="AB23" i="127"/>
  <c r="AA23" i="127"/>
  <c r="Z23" i="127"/>
  <c r="Y23" i="127"/>
  <c r="X23" i="127"/>
  <c r="W23" i="127"/>
  <c r="V23" i="127"/>
  <c r="U23" i="127"/>
  <c r="T23" i="127"/>
  <c r="S23" i="127"/>
  <c r="M22" i="127"/>
  <c r="M23" i="127" s="1"/>
  <c r="CT21" i="127"/>
  <c r="CS21" i="127"/>
  <c r="CR21" i="127"/>
  <c r="CQ21" i="127"/>
  <c r="CP21" i="127"/>
  <c r="CO21" i="127"/>
  <c r="CN21" i="127"/>
  <c r="CM21" i="127"/>
  <c r="CL21" i="127"/>
  <c r="CK21" i="127"/>
  <c r="CJ21" i="127"/>
  <c r="CI21" i="127"/>
  <c r="CH21" i="127"/>
  <c r="CG21" i="127"/>
  <c r="CF21" i="127"/>
  <c r="CE21" i="127"/>
  <c r="CD21" i="127"/>
  <c r="CC21" i="127"/>
  <c r="CB21" i="127"/>
  <c r="CA21" i="127"/>
  <c r="BZ21" i="127"/>
  <c r="BY21" i="127"/>
  <c r="BX21" i="127"/>
  <c r="BW21" i="127"/>
  <c r="BV21" i="127"/>
  <c r="BU21" i="127"/>
  <c r="BT21" i="127"/>
  <c r="BS21" i="127"/>
  <c r="BR21" i="127"/>
  <c r="BQ21" i="127"/>
  <c r="BP21" i="127"/>
  <c r="BO21" i="127"/>
  <c r="BN21" i="127"/>
  <c r="BM21" i="127"/>
  <c r="BL21" i="127"/>
  <c r="BK21" i="127"/>
  <c r="BJ21" i="127"/>
  <c r="BI21" i="127"/>
  <c r="BH21" i="127"/>
  <c r="BG21" i="127"/>
  <c r="BF21" i="127"/>
  <c r="BE21" i="127"/>
  <c r="BD21" i="127"/>
  <c r="BC21" i="127"/>
  <c r="BB21" i="127"/>
  <c r="AZ21" i="127"/>
  <c r="AY21" i="127"/>
  <c r="AX21" i="127"/>
  <c r="AV21" i="127"/>
  <c r="AU21" i="127"/>
  <c r="AT21" i="127"/>
  <c r="AS21" i="127"/>
  <c r="AR21" i="127"/>
  <c r="AQ21" i="127"/>
  <c r="AP21" i="127"/>
  <c r="AO21" i="127"/>
  <c r="AN21" i="127"/>
  <c r="AM21" i="127"/>
  <c r="AL21" i="127"/>
  <c r="AK21" i="127"/>
  <c r="AJ21" i="127"/>
  <c r="AI21" i="127"/>
  <c r="AH21" i="127"/>
  <c r="AF21" i="127"/>
  <c r="AD21" i="127"/>
  <c r="AC21" i="127"/>
  <c r="AB21" i="127"/>
  <c r="AA21" i="127"/>
  <c r="Z21" i="127"/>
  <c r="Y21" i="127"/>
  <c r="X21" i="127"/>
  <c r="W21" i="127"/>
  <c r="V21" i="127"/>
  <c r="U21" i="127"/>
  <c r="T21" i="127"/>
  <c r="S21" i="127"/>
  <c r="M20" i="127"/>
  <c r="M21" i="127" s="1"/>
  <c r="CT19" i="127"/>
  <c r="CS19" i="127"/>
  <c r="CR19" i="127"/>
  <c r="CQ19" i="127"/>
  <c r="CP19" i="127"/>
  <c r="CO19" i="127"/>
  <c r="CN19" i="127"/>
  <c r="CM19" i="127"/>
  <c r="CL19" i="127"/>
  <c r="CK19" i="127"/>
  <c r="CJ19" i="127"/>
  <c r="CI19" i="127"/>
  <c r="CH19" i="127"/>
  <c r="CG19" i="127"/>
  <c r="CF19" i="127"/>
  <c r="CE19" i="127"/>
  <c r="CD19" i="127"/>
  <c r="CC19" i="127"/>
  <c r="CB19" i="127"/>
  <c r="CA19" i="127"/>
  <c r="BZ19" i="127"/>
  <c r="BY19" i="127"/>
  <c r="BX19" i="127"/>
  <c r="BW19" i="127"/>
  <c r="BV19" i="127"/>
  <c r="BU19" i="127"/>
  <c r="BT19" i="127"/>
  <c r="BS19" i="127"/>
  <c r="BR19" i="127"/>
  <c r="BQ19" i="127"/>
  <c r="BP19" i="127"/>
  <c r="BO19" i="127"/>
  <c r="BN19" i="127"/>
  <c r="BM19" i="127"/>
  <c r="BL19" i="127"/>
  <c r="BK19" i="127"/>
  <c r="BJ19" i="127"/>
  <c r="BI19" i="127"/>
  <c r="BH19" i="127"/>
  <c r="BG19" i="127"/>
  <c r="BF19" i="127"/>
  <c r="BE19" i="127"/>
  <c r="BD19" i="127"/>
  <c r="BC19" i="127"/>
  <c r="BB19" i="127"/>
  <c r="AZ19" i="127"/>
  <c r="AY19" i="127"/>
  <c r="AX19" i="127"/>
  <c r="AV19" i="127"/>
  <c r="AU19" i="127"/>
  <c r="AT19" i="127"/>
  <c r="AS19" i="127"/>
  <c r="AR19" i="127"/>
  <c r="AQ19" i="127"/>
  <c r="AP19" i="127"/>
  <c r="AO19" i="127"/>
  <c r="AN19" i="127"/>
  <c r="AM19" i="127"/>
  <c r="AL19" i="127"/>
  <c r="AK19" i="127"/>
  <c r="AJ19" i="127"/>
  <c r="AI19" i="127"/>
  <c r="AH19" i="127"/>
  <c r="AF19" i="127"/>
  <c r="AD19" i="127"/>
  <c r="AC19" i="127"/>
  <c r="AB19" i="127"/>
  <c r="AA19" i="127"/>
  <c r="Z19" i="127"/>
  <c r="Y19" i="127"/>
  <c r="X19" i="127"/>
  <c r="W19" i="127"/>
  <c r="V19" i="127"/>
  <c r="U19" i="127"/>
  <c r="T19" i="127"/>
  <c r="S19" i="127"/>
  <c r="M18" i="127"/>
  <c r="M19" i="127" s="1"/>
  <c r="CT17" i="127"/>
  <c r="CS17" i="127"/>
  <c r="CR17" i="127"/>
  <c r="CQ17" i="127"/>
  <c r="CP17" i="127"/>
  <c r="CO17" i="127"/>
  <c r="CN17" i="127"/>
  <c r="CM17" i="127"/>
  <c r="CL17" i="127"/>
  <c r="CK17" i="127"/>
  <c r="CJ17" i="127"/>
  <c r="CI17" i="127"/>
  <c r="CH17" i="127"/>
  <c r="CG17" i="127"/>
  <c r="CF17" i="127"/>
  <c r="CE17" i="127"/>
  <c r="CD17" i="127"/>
  <c r="CC17" i="127"/>
  <c r="CB17" i="127"/>
  <c r="CA17" i="127"/>
  <c r="BZ17" i="127"/>
  <c r="BY17" i="127"/>
  <c r="BX17" i="127"/>
  <c r="BW17" i="127"/>
  <c r="BV17" i="127"/>
  <c r="BU17" i="127"/>
  <c r="BT17" i="127"/>
  <c r="BS17" i="127"/>
  <c r="BR17" i="127"/>
  <c r="BQ17" i="127"/>
  <c r="BP17" i="127"/>
  <c r="BO17" i="127"/>
  <c r="BN17" i="127"/>
  <c r="BM17" i="127"/>
  <c r="BL17" i="127"/>
  <c r="BK17" i="127"/>
  <c r="BJ17" i="127"/>
  <c r="BI17" i="127"/>
  <c r="BH17" i="127"/>
  <c r="BG17" i="127"/>
  <c r="BF17" i="127"/>
  <c r="BE17" i="127"/>
  <c r="BD17" i="127"/>
  <c r="BC17" i="127"/>
  <c r="BB17" i="127"/>
  <c r="AZ17" i="127"/>
  <c r="AY17" i="127"/>
  <c r="AX17" i="127"/>
  <c r="AV17" i="127"/>
  <c r="AU17" i="127"/>
  <c r="AT17" i="127"/>
  <c r="AS17" i="127"/>
  <c r="AR17" i="127"/>
  <c r="AQ17" i="127"/>
  <c r="AP17" i="127"/>
  <c r="AO17" i="127"/>
  <c r="AN17" i="127"/>
  <c r="AM17" i="127"/>
  <c r="AL17" i="127"/>
  <c r="AK17" i="127"/>
  <c r="AJ17" i="127"/>
  <c r="AI17" i="127"/>
  <c r="AH17" i="127"/>
  <c r="AF17" i="127"/>
  <c r="AD17" i="127"/>
  <c r="AC17" i="127"/>
  <c r="AB17" i="127"/>
  <c r="AA17" i="127"/>
  <c r="Z17" i="127"/>
  <c r="Y17" i="127"/>
  <c r="X17" i="127"/>
  <c r="W17" i="127"/>
  <c r="V17" i="127"/>
  <c r="U17" i="127"/>
  <c r="T17" i="127"/>
  <c r="S17" i="127"/>
  <c r="M16" i="127"/>
  <c r="M17" i="127" s="1"/>
  <c r="CT15" i="127"/>
  <c r="CS15" i="127"/>
  <c r="CR15" i="127"/>
  <c r="CQ15" i="127"/>
  <c r="CP15" i="127"/>
  <c r="CO15" i="127"/>
  <c r="CN15" i="127"/>
  <c r="CM15" i="127"/>
  <c r="CL15" i="127"/>
  <c r="CK15" i="127"/>
  <c r="CJ15" i="127"/>
  <c r="CI15" i="127"/>
  <c r="CH15" i="127"/>
  <c r="CG15" i="127"/>
  <c r="CF15" i="127"/>
  <c r="CE15" i="127"/>
  <c r="CD15" i="127"/>
  <c r="CC15" i="127"/>
  <c r="CB15" i="127"/>
  <c r="CA15" i="127"/>
  <c r="BZ15" i="127"/>
  <c r="BY15" i="127"/>
  <c r="BX15" i="127"/>
  <c r="BW15" i="127"/>
  <c r="BV15" i="127"/>
  <c r="BU15" i="127"/>
  <c r="BT15" i="127"/>
  <c r="BS15" i="127"/>
  <c r="BR15" i="127"/>
  <c r="BQ15" i="127"/>
  <c r="BP15" i="127"/>
  <c r="BO15" i="127"/>
  <c r="BN15" i="127"/>
  <c r="BM15" i="127"/>
  <c r="BL15" i="127"/>
  <c r="BK15" i="127"/>
  <c r="BJ15" i="127"/>
  <c r="BI15" i="127"/>
  <c r="BH15" i="127"/>
  <c r="BG15" i="127"/>
  <c r="BF15" i="127"/>
  <c r="BE15" i="127"/>
  <c r="BD15" i="127"/>
  <c r="BC15" i="127"/>
  <c r="BB15" i="127"/>
  <c r="AZ15" i="127"/>
  <c r="AY15" i="127"/>
  <c r="AX15" i="127"/>
  <c r="AV15" i="127"/>
  <c r="AU15" i="127"/>
  <c r="AT15" i="127"/>
  <c r="AS15" i="127"/>
  <c r="AR15" i="127"/>
  <c r="AQ15" i="127"/>
  <c r="AP15" i="127"/>
  <c r="AO15" i="127"/>
  <c r="AN15" i="127"/>
  <c r="AM15" i="127"/>
  <c r="AL15" i="127"/>
  <c r="AK15" i="127"/>
  <c r="AJ15" i="127"/>
  <c r="AI15" i="127"/>
  <c r="AH15" i="127"/>
  <c r="AF15" i="127"/>
  <c r="AD15" i="127"/>
  <c r="AC15" i="127"/>
  <c r="AB15" i="127"/>
  <c r="AA15" i="127"/>
  <c r="Z15" i="127"/>
  <c r="Y15" i="127"/>
  <c r="X15" i="127"/>
  <c r="W15" i="127"/>
  <c r="V15" i="127"/>
  <c r="U15" i="127"/>
  <c r="T15" i="127"/>
  <c r="S15" i="127"/>
  <c r="M14" i="127"/>
  <c r="M15" i="127" s="1"/>
  <c r="CT13" i="127"/>
  <c r="CS13" i="127"/>
  <c r="CR13" i="127"/>
  <c r="CQ13" i="127"/>
  <c r="CP13" i="127"/>
  <c r="CO13" i="127"/>
  <c r="CN13" i="127"/>
  <c r="CM13" i="127"/>
  <c r="CL13" i="127"/>
  <c r="CK13" i="127"/>
  <c r="CJ13" i="127"/>
  <c r="CI13" i="127"/>
  <c r="CH13" i="127"/>
  <c r="CG13" i="127"/>
  <c r="CF13" i="127"/>
  <c r="CE13" i="127"/>
  <c r="CD13" i="127"/>
  <c r="CC13" i="127"/>
  <c r="CB13" i="127"/>
  <c r="CA13" i="127"/>
  <c r="BZ13" i="127"/>
  <c r="BY13" i="127"/>
  <c r="BX13" i="127"/>
  <c r="BW13" i="127"/>
  <c r="BV13" i="127"/>
  <c r="BU13" i="127"/>
  <c r="BT13" i="127"/>
  <c r="BS13" i="127"/>
  <c r="BR13" i="127"/>
  <c r="BQ13" i="127"/>
  <c r="BP13" i="127"/>
  <c r="BO13" i="127"/>
  <c r="BN13" i="127"/>
  <c r="BM13" i="127"/>
  <c r="BL13" i="127"/>
  <c r="BK13" i="127"/>
  <c r="BJ13" i="127"/>
  <c r="BI13" i="127"/>
  <c r="BH13" i="127"/>
  <c r="BG13" i="127"/>
  <c r="BF13" i="127"/>
  <c r="BE13" i="127"/>
  <c r="BD13" i="127"/>
  <c r="BC13" i="127"/>
  <c r="BB13" i="127"/>
  <c r="AZ13" i="127"/>
  <c r="AY13" i="127"/>
  <c r="AX13" i="127"/>
  <c r="AV13" i="127"/>
  <c r="AU13" i="127"/>
  <c r="AT13" i="127"/>
  <c r="AS13" i="127"/>
  <c r="AR13" i="127"/>
  <c r="AQ13" i="127"/>
  <c r="AP13" i="127"/>
  <c r="AO13" i="127"/>
  <c r="AN13" i="127"/>
  <c r="AM13" i="127"/>
  <c r="AL13" i="127"/>
  <c r="AK13" i="127"/>
  <c r="AJ13" i="127"/>
  <c r="AI13" i="127"/>
  <c r="AH13" i="127"/>
  <c r="AF13" i="127"/>
  <c r="AD13" i="127"/>
  <c r="AC13" i="127"/>
  <c r="AB13" i="127"/>
  <c r="AA13" i="127"/>
  <c r="Z13" i="127"/>
  <c r="Y13" i="127"/>
  <c r="X13" i="127"/>
  <c r="W13" i="127"/>
  <c r="V13" i="127"/>
  <c r="U13" i="127"/>
  <c r="T13" i="127"/>
  <c r="S13" i="127"/>
  <c r="M12" i="127"/>
  <c r="M13" i="127" s="1"/>
  <c r="CT11" i="127"/>
  <c r="CS11" i="127"/>
  <c r="CR11" i="127"/>
  <c r="CQ11" i="127"/>
  <c r="CP11" i="127"/>
  <c r="CO11" i="127"/>
  <c r="CN11" i="127"/>
  <c r="CM11" i="127"/>
  <c r="CL11" i="127"/>
  <c r="CK11" i="127"/>
  <c r="CJ11" i="127"/>
  <c r="CI11" i="127"/>
  <c r="CH11" i="127"/>
  <c r="CG11" i="127"/>
  <c r="CF11" i="127"/>
  <c r="CE11" i="127"/>
  <c r="CD11" i="127"/>
  <c r="CC11" i="127"/>
  <c r="CB11" i="127"/>
  <c r="CA11" i="127"/>
  <c r="BZ11" i="127"/>
  <c r="BY11" i="127"/>
  <c r="BX11" i="127"/>
  <c r="BW11" i="127"/>
  <c r="BV11" i="127"/>
  <c r="BU11" i="127"/>
  <c r="BT11" i="127"/>
  <c r="BS11" i="127"/>
  <c r="BR11" i="127"/>
  <c r="BQ11" i="127"/>
  <c r="BP11" i="127"/>
  <c r="BO11" i="127"/>
  <c r="BN11" i="127"/>
  <c r="BM11" i="127"/>
  <c r="BL11" i="127"/>
  <c r="BK11" i="127"/>
  <c r="BJ11" i="127"/>
  <c r="BI11" i="127"/>
  <c r="BH11" i="127"/>
  <c r="BG11" i="127"/>
  <c r="BF11" i="127"/>
  <c r="BE11" i="127"/>
  <c r="BD11" i="127"/>
  <c r="BC11" i="127"/>
  <c r="BB11" i="127"/>
  <c r="AZ11" i="127"/>
  <c r="AY11" i="127"/>
  <c r="AX11" i="127"/>
  <c r="AV11" i="127"/>
  <c r="AU11" i="127"/>
  <c r="AT11" i="127"/>
  <c r="AS11" i="127"/>
  <c r="AR11" i="127"/>
  <c r="AQ11" i="127"/>
  <c r="AP11" i="127"/>
  <c r="AO11" i="127"/>
  <c r="AN11" i="127"/>
  <c r="AM11" i="127"/>
  <c r="AL11" i="127"/>
  <c r="AK11" i="127"/>
  <c r="AJ11" i="127"/>
  <c r="AI11" i="127"/>
  <c r="AH11" i="127"/>
  <c r="AF11" i="127"/>
  <c r="AD11" i="127"/>
  <c r="AC11" i="127"/>
  <c r="AB11" i="127"/>
  <c r="AA11" i="127"/>
  <c r="Z11" i="127"/>
  <c r="Y11" i="127"/>
  <c r="X11" i="127"/>
  <c r="W11" i="127"/>
  <c r="V11" i="127"/>
  <c r="U11" i="127"/>
  <c r="T11" i="127"/>
  <c r="S11" i="127"/>
  <c r="M10" i="127"/>
  <c r="P10" i="127" s="1"/>
  <c r="CT9" i="127"/>
  <c r="CS9" i="127"/>
  <c r="CR9" i="127"/>
  <c r="CQ9" i="127"/>
  <c r="CP9" i="127"/>
  <c r="CO9" i="127"/>
  <c r="CN9" i="127"/>
  <c r="CM9" i="127"/>
  <c r="CL9" i="127"/>
  <c r="CK9" i="127"/>
  <c r="CJ9" i="127"/>
  <c r="CI9" i="127"/>
  <c r="CH9" i="127"/>
  <c r="CG9" i="127"/>
  <c r="CF9" i="127"/>
  <c r="CE9" i="127"/>
  <c r="CD9" i="127"/>
  <c r="CC9" i="127"/>
  <c r="CB9" i="127"/>
  <c r="CA9" i="127"/>
  <c r="BZ9" i="127"/>
  <c r="BY9" i="127"/>
  <c r="BX9" i="127"/>
  <c r="BW9" i="127"/>
  <c r="BV9" i="127"/>
  <c r="BU9" i="127"/>
  <c r="BT9" i="127"/>
  <c r="BS9" i="127"/>
  <c r="BR9" i="127"/>
  <c r="BQ9" i="127"/>
  <c r="BP9" i="127"/>
  <c r="BO9" i="127"/>
  <c r="BN9" i="127"/>
  <c r="BM9" i="127"/>
  <c r="BL9" i="127"/>
  <c r="BK9" i="127"/>
  <c r="BJ9" i="127"/>
  <c r="BI9" i="127"/>
  <c r="BH9" i="127"/>
  <c r="BG9" i="127"/>
  <c r="BF9" i="127"/>
  <c r="BE9" i="127"/>
  <c r="BD9" i="127"/>
  <c r="BC9" i="127"/>
  <c r="BB9" i="127"/>
  <c r="AZ9" i="127"/>
  <c r="AY9" i="127"/>
  <c r="AX9" i="127"/>
  <c r="AV9" i="127"/>
  <c r="AU9" i="127"/>
  <c r="AT9" i="127"/>
  <c r="AS9" i="127"/>
  <c r="AR9" i="127"/>
  <c r="AQ9" i="127"/>
  <c r="AP9" i="127"/>
  <c r="AO9" i="127"/>
  <c r="AN9" i="127"/>
  <c r="AM9" i="127"/>
  <c r="AL9" i="127"/>
  <c r="AK9" i="127"/>
  <c r="AJ9" i="127"/>
  <c r="AI9" i="127"/>
  <c r="AH9" i="127"/>
  <c r="AF9" i="127"/>
  <c r="AD9" i="127"/>
  <c r="AC9" i="127"/>
  <c r="AB9" i="127"/>
  <c r="AA9" i="127"/>
  <c r="Z9" i="127"/>
  <c r="Y9" i="127"/>
  <c r="X9" i="127"/>
  <c r="W9" i="127"/>
  <c r="V9" i="127"/>
  <c r="U9" i="127"/>
  <c r="T9" i="127"/>
  <c r="S9" i="127"/>
  <c r="M8" i="127"/>
  <c r="CT7" i="127"/>
  <c r="CS7" i="127"/>
  <c r="CR7" i="127"/>
  <c r="CQ7" i="127"/>
  <c r="CP7" i="127"/>
  <c r="CO7" i="127"/>
  <c r="CN7" i="127"/>
  <c r="CM7" i="127"/>
  <c r="CL7" i="127"/>
  <c r="CK7" i="127"/>
  <c r="CJ7" i="127"/>
  <c r="CI7" i="127"/>
  <c r="CH7" i="127"/>
  <c r="CG7" i="127"/>
  <c r="CF7" i="127"/>
  <c r="CE7" i="127"/>
  <c r="CD7" i="127"/>
  <c r="CC7" i="127"/>
  <c r="CB7" i="127"/>
  <c r="CA7" i="127"/>
  <c r="BZ7" i="127"/>
  <c r="BY7" i="127"/>
  <c r="BX7" i="127"/>
  <c r="BW7" i="127"/>
  <c r="BV7" i="127"/>
  <c r="BU7" i="127"/>
  <c r="BT7" i="127"/>
  <c r="BS7" i="127"/>
  <c r="BR7" i="127"/>
  <c r="BQ7" i="127"/>
  <c r="BP7" i="127"/>
  <c r="BO7" i="127"/>
  <c r="BN7" i="127"/>
  <c r="BM7" i="127"/>
  <c r="BL7" i="127"/>
  <c r="BK7" i="127"/>
  <c r="BJ7" i="127"/>
  <c r="BI7" i="127"/>
  <c r="BH7" i="127"/>
  <c r="BG7" i="127"/>
  <c r="BF7" i="127"/>
  <c r="BE7" i="127"/>
  <c r="BD7" i="127"/>
  <c r="BC7" i="127"/>
  <c r="BB7" i="127"/>
  <c r="AZ7" i="127"/>
  <c r="AY7" i="127"/>
  <c r="AX7" i="127"/>
  <c r="AV7" i="127"/>
  <c r="AU7" i="127"/>
  <c r="AT7" i="127"/>
  <c r="AS7" i="127"/>
  <c r="AR7" i="127"/>
  <c r="AQ7" i="127"/>
  <c r="AP7" i="127"/>
  <c r="AO7" i="127"/>
  <c r="AN7" i="127"/>
  <c r="AM7" i="127"/>
  <c r="AL7" i="127"/>
  <c r="AK7" i="127"/>
  <c r="AJ7" i="127"/>
  <c r="AI7" i="127"/>
  <c r="AH7" i="127"/>
  <c r="AF7" i="127"/>
  <c r="AD7" i="127"/>
  <c r="AC7" i="127"/>
  <c r="AB7" i="127"/>
  <c r="AA7" i="127"/>
  <c r="Z7" i="127"/>
  <c r="Y7" i="127"/>
  <c r="X7" i="127"/>
  <c r="W7" i="127"/>
  <c r="V7" i="127"/>
  <c r="U7" i="127"/>
  <c r="T7" i="127"/>
  <c r="S7" i="127"/>
  <c r="M6" i="127"/>
  <c r="M7" i="127" s="1"/>
  <c r="F10" i="389"/>
  <c r="F10" i="427"/>
  <c r="F12" i="426"/>
  <c r="F11" i="425"/>
  <c r="K6" i="425"/>
  <c r="K5" i="425"/>
  <c r="F10" i="424"/>
  <c r="F16" i="423"/>
  <c r="M10" i="423"/>
  <c r="M11" i="423"/>
  <c r="F11" i="422"/>
  <c r="M7" i="422"/>
  <c r="F12" i="421"/>
  <c r="F11" i="420"/>
  <c r="F10" i="419"/>
  <c r="F10" i="418"/>
  <c r="F10" i="417"/>
  <c r="F10" i="416"/>
  <c r="F10" i="415"/>
  <c r="F11" i="414"/>
  <c r="F12" i="413"/>
  <c r="R47" i="127" l="1"/>
  <c r="CU47" i="127"/>
  <c r="CV47" i="127" s="1"/>
  <c r="R74" i="127"/>
  <c r="CU74" i="127"/>
  <c r="CV74" i="127" s="1"/>
  <c r="R147" i="127"/>
  <c r="R148" i="127" s="1"/>
  <c r="P148" i="127"/>
  <c r="CU78" i="127"/>
  <c r="CV78" i="127" s="1"/>
  <c r="R121" i="127"/>
  <c r="CU121" i="127" s="1"/>
  <c r="CU119" i="127"/>
  <c r="CV119" i="127" s="1"/>
  <c r="R49" i="127"/>
  <c r="CU49" i="127" s="1"/>
  <c r="CV49" i="127" s="1"/>
  <c r="CU64" i="127"/>
  <c r="CV64" i="127" s="1"/>
  <c r="CU45" i="127"/>
  <c r="CV45" i="127" s="1"/>
  <c r="R114" i="127"/>
  <c r="CU114" i="127" s="1"/>
  <c r="CV114" i="127" s="1"/>
  <c r="CU113" i="127"/>
  <c r="CV113" i="127" s="1"/>
  <c r="R125" i="127"/>
  <c r="CU125" i="127" s="1"/>
  <c r="CU122" i="127"/>
  <c r="CV122" i="127" s="1"/>
  <c r="AK149" i="127"/>
  <c r="AO149" i="127"/>
  <c r="AS149" i="127"/>
  <c r="Q432" i="128"/>
  <c r="Q433" i="128" s="1"/>
  <c r="M433" i="128"/>
  <c r="P34" i="127"/>
  <c r="R37" i="127"/>
  <c r="R46" i="127"/>
  <c r="CU46" i="127"/>
  <c r="CV46" i="127" s="1"/>
  <c r="P97" i="127"/>
  <c r="P106" i="127"/>
  <c r="M121" i="127"/>
  <c r="R128" i="127"/>
  <c r="CU128" i="127" s="1"/>
  <c r="CV128" i="127" s="1"/>
  <c r="CU126" i="127"/>
  <c r="CV126" i="127" s="1"/>
  <c r="CU111" i="127"/>
  <c r="CV111" i="127" s="1"/>
  <c r="M354" i="128"/>
  <c r="P353" i="128"/>
  <c r="P354" i="128" s="1"/>
  <c r="Q406" i="128"/>
  <c r="Q407" i="128" s="1"/>
  <c r="P432" i="128"/>
  <c r="P11" i="127"/>
  <c r="P14" i="127"/>
  <c r="P20" i="127"/>
  <c r="Q30" i="127"/>
  <c r="Q31" i="127" s="1"/>
  <c r="Q32" i="127"/>
  <c r="Q33" i="127" s="1"/>
  <c r="Q34" i="127"/>
  <c r="P37" i="127"/>
  <c r="BO43" i="127"/>
  <c r="Q91" i="127"/>
  <c r="AH91" i="127" s="1"/>
  <c r="M112" i="127"/>
  <c r="R130" i="127"/>
  <c r="CU137" i="127"/>
  <c r="CV137" i="127" s="1"/>
  <c r="R140" i="127"/>
  <c r="CU140" i="127" s="1"/>
  <c r="CV140" i="127" s="1"/>
  <c r="CU138" i="127"/>
  <c r="CV138" i="127" s="1"/>
  <c r="U149" i="127"/>
  <c r="Y149" i="127"/>
  <c r="AC149" i="127"/>
  <c r="P428" i="128"/>
  <c r="AH428" i="128" s="1"/>
  <c r="M11" i="127"/>
  <c r="M31" i="127"/>
  <c r="N44" i="127" s="1"/>
  <c r="Q37" i="127"/>
  <c r="M92" i="127"/>
  <c r="N94" i="127" s="1"/>
  <c r="Q93" i="127"/>
  <c r="Q94" i="127" s="1"/>
  <c r="M125" i="127"/>
  <c r="N128" i="127" s="1"/>
  <c r="Q130" i="127"/>
  <c r="CU130" i="127" s="1"/>
  <c r="CV130" i="127" s="1"/>
  <c r="Q133" i="127"/>
  <c r="M137" i="127"/>
  <c r="M144" i="127"/>
  <c r="N144" i="127" s="1"/>
  <c r="CU115" i="127"/>
  <c r="CV115" i="127" s="1"/>
  <c r="AH425" i="128"/>
  <c r="Q425" i="128"/>
  <c r="AA488" i="128"/>
  <c r="M424" i="128"/>
  <c r="V434" i="128"/>
  <c r="CU434" i="128" s="1"/>
  <c r="CV434" i="128" s="1"/>
  <c r="M447" i="128"/>
  <c r="Q473" i="128"/>
  <c r="R467" i="128"/>
  <c r="CU467" i="128" s="1"/>
  <c r="CV467" i="128" s="1"/>
  <c r="Q379" i="128"/>
  <c r="Q431" i="128"/>
  <c r="M415" i="128"/>
  <c r="M449" i="128"/>
  <c r="Q468" i="128"/>
  <c r="R468" i="128" s="1"/>
  <c r="CU468" i="128" s="1"/>
  <c r="CV468" i="128" s="1"/>
  <c r="AB488" i="128"/>
  <c r="CA488" i="128"/>
  <c r="CM488" i="128"/>
  <c r="AL488" i="128"/>
  <c r="AX488" i="128"/>
  <c r="BD488" i="128"/>
  <c r="BP488" i="128"/>
  <c r="CB488" i="128"/>
  <c r="CN488" i="128"/>
  <c r="AD488" i="128"/>
  <c r="CO488" i="128"/>
  <c r="Q417" i="128"/>
  <c r="P445" i="128"/>
  <c r="CU465" i="128"/>
  <c r="CV465" i="128" s="1"/>
  <c r="Q469" i="128"/>
  <c r="M476" i="128"/>
  <c r="AF488" i="128"/>
  <c r="AS488" i="128"/>
  <c r="BF488" i="128"/>
  <c r="BR488" i="128"/>
  <c r="CD488" i="128"/>
  <c r="CP488" i="128"/>
  <c r="AR488" i="128"/>
  <c r="CC488" i="128"/>
  <c r="P355" i="128"/>
  <c r="AM488" i="128"/>
  <c r="AY488" i="128"/>
  <c r="P367" i="128"/>
  <c r="P368" i="128" s="1"/>
  <c r="Q445" i="128"/>
  <c r="R445" i="128" s="1"/>
  <c r="BK488" i="128"/>
  <c r="BW488" i="128"/>
  <c r="CI488" i="128"/>
  <c r="T488" i="128"/>
  <c r="AT488" i="128"/>
  <c r="BG488" i="128"/>
  <c r="BS488" i="128"/>
  <c r="CE488" i="128"/>
  <c r="CQ488" i="128"/>
  <c r="BQ488" i="128"/>
  <c r="AW355" i="128"/>
  <c r="AW356" i="128" s="1"/>
  <c r="P375" i="128"/>
  <c r="R375" i="128" s="1"/>
  <c r="CU375" i="128" s="1"/>
  <c r="CV375" i="128" s="1"/>
  <c r="M444" i="128"/>
  <c r="P470" i="128"/>
  <c r="R470" i="128" s="1"/>
  <c r="CU470" i="128" s="1"/>
  <c r="CV470" i="128" s="1"/>
  <c r="AI488" i="128"/>
  <c r="AU488" i="128"/>
  <c r="BH488" i="128"/>
  <c r="BT488" i="128"/>
  <c r="CF488" i="128"/>
  <c r="CR488" i="128"/>
  <c r="BE488" i="128"/>
  <c r="AJ488" i="128"/>
  <c r="AV488" i="128"/>
  <c r="BI488" i="128"/>
  <c r="BU488" i="128"/>
  <c r="CG488" i="128"/>
  <c r="CS488" i="128"/>
  <c r="M405" i="128"/>
  <c r="N405" i="128" s="1"/>
  <c r="M411" i="128"/>
  <c r="M427" i="128"/>
  <c r="N457" i="128"/>
  <c r="R458" i="128"/>
  <c r="CU458" i="128" s="1"/>
  <c r="CV458" i="128" s="1"/>
  <c r="Q471" i="128"/>
  <c r="R471" i="128" s="1"/>
  <c r="AK488" i="128"/>
  <c r="P365" i="128"/>
  <c r="P366" i="128" s="1"/>
  <c r="P392" i="128"/>
  <c r="R392" i="128" s="1"/>
  <c r="CU425" i="128"/>
  <c r="CV425" i="128" s="1"/>
  <c r="BJ488" i="128"/>
  <c r="BV488" i="128"/>
  <c r="CH488" i="128"/>
  <c r="CT488" i="128"/>
  <c r="BL488" i="128"/>
  <c r="BX488" i="128"/>
  <c r="CJ488" i="128"/>
  <c r="S488" i="128"/>
  <c r="X488" i="128"/>
  <c r="M362" i="128"/>
  <c r="Q365" i="128"/>
  <c r="Q366" i="128" s="1"/>
  <c r="R393" i="128"/>
  <c r="M483" i="128"/>
  <c r="Y488" i="128"/>
  <c r="P377" i="128"/>
  <c r="R377" i="128" s="1"/>
  <c r="CU393" i="128"/>
  <c r="CV393" i="128" s="1"/>
  <c r="M422" i="128"/>
  <c r="R479" i="128"/>
  <c r="CU479" i="128" s="1"/>
  <c r="CV479" i="128" s="1"/>
  <c r="R480" i="128"/>
  <c r="R483" i="128" s="1"/>
  <c r="CU483" i="128" s="1"/>
  <c r="CV483" i="128" s="1"/>
  <c r="U488" i="128"/>
  <c r="Z488" i="128"/>
  <c r="AN488" i="128"/>
  <c r="AZ488" i="128"/>
  <c r="BM488" i="128"/>
  <c r="BY488" i="128"/>
  <c r="CK488" i="128"/>
  <c r="M350" i="128"/>
  <c r="M379" i="128"/>
  <c r="P387" i="128"/>
  <c r="P416" i="128"/>
  <c r="AO488" i="128"/>
  <c r="BB488" i="128"/>
  <c r="BN488" i="128"/>
  <c r="BZ488" i="128"/>
  <c r="CL488" i="128"/>
  <c r="Q369" i="128"/>
  <c r="Q370" i="128" s="1"/>
  <c r="P373" i="128"/>
  <c r="Q387" i="128"/>
  <c r="Q416" i="128"/>
  <c r="Q422" i="128" s="1"/>
  <c r="Q448" i="128"/>
  <c r="Q449" i="128" s="1"/>
  <c r="R452" i="128"/>
  <c r="AC488" i="128"/>
  <c r="AQ488" i="128"/>
  <c r="P346" i="128"/>
  <c r="R409" i="128"/>
  <c r="CU409" i="128" s="1"/>
  <c r="CU408" i="128"/>
  <c r="CV408" i="128" s="1"/>
  <c r="CU396" i="128"/>
  <c r="CV396" i="128" s="1"/>
  <c r="R396" i="128"/>
  <c r="BC424" i="128"/>
  <c r="CU424" i="128" s="1"/>
  <c r="CV424" i="128" s="1"/>
  <c r="CU423" i="128"/>
  <c r="CV423" i="128" s="1"/>
  <c r="R417" i="128"/>
  <c r="R469" i="128"/>
  <c r="CU475" i="128"/>
  <c r="CV475" i="128" s="1"/>
  <c r="R476" i="128"/>
  <c r="CU476" i="128" s="1"/>
  <c r="CU383" i="128"/>
  <c r="CV383" i="128" s="1"/>
  <c r="R398" i="128"/>
  <c r="P437" i="128"/>
  <c r="CU390" i="128"/>
  <c r="CV390" i="128" s="1"/>
  <c r="CU461" i="128"/>
  <c r="CV461" i="128" s="1"/>
  <c r="R464" i="128"/>
  <c r="CU464" i="128" s="1"/>
  <c r="P372" i="128"/>
  <c r="R411" i="128"/>
  <c r="CU411" i="128" s="1"/>
  <c r="CV411" i="128" s="1"/>
  <c r="CU410" i="128"/>
  <c r="CV410" i="128" s="1"/>
  <c r="R460" i="128"/>
  <c r="CU460" i="128" s="1"/>
  <c r="CV460" i="128" s="1"/>
  <c r="P362" i="128"/>
  <c r="AW361" i="128"/>
  <c r="AW362" i="128" s="1"/>
  <c r="R385" i="128"/>
  <c r="CU385" i="128" s="1"/>
  <c r="CV385" i="128" s="1"/>
  <c r="R386" i="128"/>
  <c r="CU386" i="128" s="1"/>
  <c r="CV386" i="128" s="1"/>
  <c r="P350" i="128"/>
  <c r="AW349" i="128"/>
  <c r="AW350" i="128" s="1"/>
  <c r="P358" i="128"/>
  <c r="CU358" i="128" s="1"/>
  <c r="R473" i="128"/>
  <c r="CU473" i="128" s="1"/>
  <c r="CV473" i="128" s="1"/>
  <c r="P449" i="128"/>
  <c r="AW345" i="128"/>
  <c r="AW346" i="128" s="1"/>
  <c r="AW357" i="128"/>
  <c r="AW358" i="128" s="1"/>
  <c r="M366" i="128"/>
  <c r="Q371" i="128"/>
  <c r="Q372" i="128" s="1"/>
  <c r="R397" i="128"/>
  <c r="CU397" i="128" s="1"/>
  <c r="CV397" i="128" s="1"/>
  <c r="P419" i="128"/>
  <c r="P421" i="128"/>
  <c r="P426" i="128"/>
  <c r="Q436" i="128"/>
  <c r="Q437" i="128" s="1"/>
  <c r="Q439" i="128"/>
  <c r="R439" i="128" s="1"/>
  <c r="R442" i="128"/>
  <c r="CU442" i="128" s="1"/>
  <c r="CV442" i="128" s="1"/>
  <c r="CU445" i="128"/>
  <c r="CV445" i="128" s="1"/>
  <c r="BC450" i="128"/>
  <c r="M464" i="128"/>
  <c r="N467" i="128" s="1"/>
  <c r="P484" i="128"/>
  <c r="P347" i="128"/>
  <c r="P359" i="128"/>
  <c r="AW359" i="128" s="1"/>
  <c r="AW360" i="128" s="1"/>
  <c r="Q367" i="128"/>
  <c r="Q368" i="128" s="1"/>
  <c r="P388" i="128"/>
  <c r="R388" i="128" s="1"/>
  <c r="R390" i="128"/>
  <c r="P395" i="128"/>
  <c r="R395" i="128" s="1"/>
  <c r="P404" i="128"/>
  <c r="R404" i="128" s="1"/>
  <c r="P412" i="128"/>
  <c r="P414" i="128"/>
  <c r="Q419" i="128"/>
  <c r="Q421" i="128"/>
  <c r="Q426" i="128"/>
  <c r="Q427" i="128" s="1"/>
  <c r="P433" i="128"/>
  <c r="R436" i="128"/>
  <c r="R437" i="128" s="1"/>
  <c r="Q484" i="128"/>
  <c r="Q485" i="128" s="1"/>
  <c r="P356" i="128"/>
  <c r="R380" i="128"/>
  <c r="Q388" i="128"/>
  <c r="M409" i="128"/>
  <c r="Q412" i="128"/>
  <c r="Q414" i="128"/>
  <c r="M346" i="128"/>
  <c r="M358" i="128"/>
  <c r="P400" i="128"/>
  <c r="P402" i="128"/>
  <c r="R402" i="128" s="1"/>
  <c r="P430" i="128"/>
  <c r="P446" i="128"/>
  <c r="R454" i="128"/>
  <c r="M372" i="128"/>
  <c r="CU382" i="128"/>
  <c r="CV382" i="128" s="1"/>
  <c r="P384" i="128"/>
  <c r="P398" i="128"/>
  <c r="Q400" i="128"/>
  <c r="Q405" i="128" s="1"/>
  <c r="M437" i="128"/>
  <c r="N437" i="128" s="1"/>
  <c r="M440" i="128"/>
  <c r="P441" i="128"/>
  <c r="P443" i="128"/>
  <c r="Q446" i="128"/>
  <c r="Q447" i="128" s="1"/>
  <c r="P456" i="128"/>
  <c r="R472" i="128"/>
  <c r="CU472" i="128" s="1"/>
  <c r="CV472" i="128" s="1"/>
  <c r="R474" i="128"/>
  <c r="CU474" i="128" s="1"/>
  <c r="CV474" i="128" s="1"/>
  <c r="P351" i="128"/>
  <c r="P363" i="128"/>
  <c r="AW363" i="128" s="1"/>
  <c r="AW364" i="128" s="1"/>
  <c r="R373" i="128"/>
  <c r="CU373" i="128" s="1"/>
  <c r="CV373" i="128" s="1"/>
  <c r="P391" i="128"/>
  <c r="R391" i="128" s="1"/>
  <c r="P438" i="128"/>
  <c r="Q441" i="128"/>
  <c r="Q443" i="128"/>
  <c r="Q456" i="128"/>
  <c r="Q457" i="128" s="1"/>
  <c r="P486" i="128"/>
  <c r="AW351" i="128"/>
  <c r="AW352" i="128" s="1"/>
  <c r="P369" i="128"/>
  <c r="P406" i="128"/>
  <c r="P418" i="128"/>
  <c r="P420" i="128"/>
  <c r="Q438" i="128"/>
  <c r="Q486" i="128"/>
  <c r="Q487" i="128" s="1"/>
  <c r="P413" i="128"/>
  <c r="R389" i="128"/>
  <c r="CU389" i="128" s="1"/>
  <c r="CV389" i="128" s="1"/>
  <c r="P394" i="128"/>
  <c r="R394" i="128" s="1"/>
  <c r="P403" i="128"/>
  <c r="R403" i="128" s="1"/>
  <c r="M431" i="128"/>
  <c r="N433" i="128" s="1"/>
  <c r="P374" i="128"/>
  <c r="R374" i="128" s="1"/>
  <c r="P376" i="128"/>
  <c r="R376" i="128" s="1"/>
  <c r="P378" i="128"/>
  <c r="P399" i="128"/>
  <c r="P401" i="128"/>
  <c r="P429" i="128"/>
  <c r="AH429" i="128" s="1"/>
  <c r="R45" i="127"/>
  <c r="P118" i="127"/>
  <c r="R144" i="127"/>
  <c r="CU144" i="127" s="1"/>
  <c r="CV144" i="127" s="1"/>
  <c r="P31" i="127"/>
  <c r="CU31" i="127" s="1"/>
  <c r="CV31" i="127" s="1"/>
  <c r="R30" i="127"/>
  <c r="R31" i="127" s="1"/>
  <c r="R50" i="127"/>
  <c r="R51" i="127"/>
  <c r="P29" i="127"/>
  <c r="R28" i="127"/>
  <c r="R29" i="127" s="1"/>
  <c r="M9" i="127"/>
  <c r="AW10" i="127"/>
  <c r="AW11" i="127" s="1"/>
  <c r="P12" i="127"/>
  <c r="Q28" i="127"/>
  <c r="Q29" i="127" s="1"/>
  <c r="R34" i="127"/>
  <c r="R53" i="127"/>
  <c r="CU53" i="127" s="1"/>
  <c r="CV53" i="127" s="1"/>
  <c r="R57" i="127"/>
  <c r="CU57" i="127" s="1"/>
  <c r="CV57" i="127" s="1"/>
  <c r="P61" i="127"/>
  <c r="R64" i="127"/>
  <c r="P87" i="127"/>
  <c r="P93" i="127"/>
  <c r="M101" i="127"/>
  <c r="M105" i="127"/>
  <c r="M110" i="127"/>
  <c r="M116" i="127"/>
  <c r="CV116" i="127" s="1"/>
  <c r="Q117" i="127"/>
  <c r="Q118" i="127" s="1"/>
  <c r="AW14" i="127"/>
  <c r="AW15" i="127" s="1"/>
  <c r="P16" i="127"/>
  <c r="M29" i="127"/>
  <c r="N29" i="127" s="1"/>
  <c r="P35" i="127"/>
  <c r="P38" i="127"/>
  <c r="P50" i="127"/>
  <c r="P54" i="127"/>
  <c r="P58" i="127"/>
  <c r="P65" i="127"/>
  <c r="R65" i="127" s="1"/>
  <c r="Q78" i="127"/>
  <c r="R78" i="127" s="1"/>
  <c r="Q81" i="127"/>
  <c r="R81" i="127" s="1"/>
  <c r="P89" i="127"/>
  <c r="AH93" i="127"/>
  <c r="AH94" i="127" s="1"/>
  <c r="V95" i="127"/>
  <c r="Q97" i="127"/>
  <c r="Q98" i="127" s="1"/>
  <c r="Q102" i="127"/>
  <c r="Q106" i="127"/>
  <c r="Q108" i="127" s="1"/>
  <c r="M118" i="127"/>
  <c r="P18" i="127"/>
  <c r="Q35" i="127"/>
  <c r="Q38" i="127"/>
  <c r="M88" i="127"/>
  <c r="Q89" i="127"/>
  <c r="P131" i="127"/>
  <c r="P134" i="127"/>
  <c r="P62" i="127"/>
  <c r="M66" i="127"/>
  <c r="N66" i="127" s="1"/>
  <c r="Q131" i="127"/>
  <c r="Q134" i="127"/>
  <c r="AW20" i="127"/>
  <c r="AW21" i="127" s="1"/>
  <c r="P22" i="127"/>
  <c r="P51" i="127"/>
  <c r="P55" i="127"/>
  <c r="P59" i="127"/>
  <c r="Q62" i="127"/>
  <c r="P67" i="127"/>
  <c r="P75" i="127"/>
  <c r="P79" i="127"/>
  <c r="P82" i="127"/>
  <c r="P99" i="127"/>
  <c r="P103" i="127"/>
  <c r="P107" i="127"/>
  <c r="P145" i="127"/>
  <c r="P24" i="127"/>
  <c r="P36" i="127"/>
  <c r="P39" i="127"/>
  <c r="P48" i="127"/>
  <c r="Q67" i="127"/>
  <c r="Q68" i="127" s="1"/>
  <c r="Q75" i="127"/>
  <c r="Q79" i="127"/>
  <c r="Q82" i="127"/>
  <c r="P90" i="127"/>
  <c r="Q99" i="127"/>
  <c r="Q101" i="127" s="1"/>
  <c r="Q103" i="127"/>
  <c r="Q145" i="127"/>
  <c r="Q146" i="127" s="1"/>
  <c r="AW24" i="127"/>
  <c r="AW25" i="127" s="1"/>
  <c r="P26" i="127"/>
  <c r="P32" i="127"/>
  <c r="Q90" i="127"/>
  <c r="AH90" i="127" s="1"/>
  <c r="P129" i="127"/>
  <c r="P132" i="127"/>
  <c r="P135" i="127"/>
  <c r="R135" i="127" s="1"/>
  <c r="Q26" i="127"/>
  <c r="Q27" i="127" s="1"/>
  <c r="P52" i="127"/>
  <c r="P56" i="127"/>
  <c r="P60" i="127"/>
  <c r="P63" i="127"/>
  <c r="M76" i="127"/>
  <c r="M83" i="127"/>
  <c r="N85" i="127" s="1"/>
  <c r="P86" i="127"/>
  <c r="Q129" i="127"/>
  <c r="Q132" i="127"/>
  <c r="Q135" i="127"/>
  <c r="P6" i="127"/>
  <c r="Q60" i="127"/>
  <c r="R60" i="127" s="1"/>
  <c r="R69" i="127"/>
  <c r="R71" i="127"/>
  <c r="P73" i="127"/>
  <c r="P77" i="127"/>
  <c r="P80" i="127"/>
  <c r="BC84" i="127"/>
  <c r="Q86" i="127"/>
  <c r="Q88" i="127" s="1"/>
  <c r="P100" i="127"/>
  <c r="P104" i="127"/>
  <c r="P109" i="127"/>
  <c r="AW6" i="127"/>
  <c r="AW7" i="127" s="1"/>
  <c r="P8" i="127"/>
  <c r="R41" i="127"/>
  <c r="Q73" i="127"/>
  <c r="Q77" i="127"/>
  <c r="Q80" i="127"/>
  <c r="Q104" i="127"/>
  <c r="Q109" i="127"/>
  <c r="Q110" i="127" s="1"/>
  <c r="P11" i="423"/>
  <c r="P10" i="423"/>
  <c r="Q11" i="423"/>
  <c r="Q10" i="423"/>
  <c r="F10" i="411"/>
  <c r="F10" i="410"/>
  <c r="F10" i="409"/>
  <c r="F12" i="408"/>
  <c r="F11" i="407"/>
  <c r="F10" i="406"/>
  <c r="F15" i="405"/>
  <c r="F12" i="404"/>
  <c r="F10" i="403"/>
  <c r="F10" i="402"/>
  <c r="F10" i="401"/>
  <c r="F15" i="398"/>
  <c r="F10" i="400"/>
  <c r="F10" i="399"/>
  <c r="F10" i="397"/>
  <c r="F10" i="396"/>
  <c r="R104" i="127" l="1"/>
  <c r="CU104" i="127"/>
  <c r="CV104" i="127" s="1"/>
  <c r="R36" i="127"/>
  <c r="CU36" i="127" s="1"/>
  <c r="CV36" i="127" s="1"/>
  <c r="CU55" i="127"/>
  <c r="CV55" i="127" s="1"/>
  <c r="AH426" i="128"/>
  <c r="AH427" i="128" s="1"/>
  <c r="R133" i="127"/>
  <c r="CU133" i="127" s="1"/>
  <c r="CV133" i="127" s="1"/>
  <c r="P9" i="127"/>
  <c r="CU8" i="127"/>
  <c r="CV8" i="127" s="1"/>
  <c r="R100" i="127"/>
  <c r="CU100" i="127" s="1"/>
  <c r="CV100" i="127" s="1"/>
  <c r="R132" i="127"/>
  <c r="CU132" i="127" s="1"/>
  <c r="CV132" i="127" s="1"/>
  <c r="R129" i="127"/>
  <c r="CU129" i="127" s="1"/>
  <c r="CV129" i="127" s="1"/>
  <c r="CU90" i="127"/>
  <c r="CV90" i="127" s="1"/>
  <c r="P25" i="127"/>
  <c r="CU25" i="127" s="1"/>
  <c r="CV25" i="127" s="1"/>
  <c r="CU24" i="127"/>
  <c r="CV24" i="127" s="1"/>
  <c r="P68" i="127"/>
  <c r="CU68" i="127" s="1"/>
  <c r="CV68" i="127" s="1"/>
  <c r="CU51" i="127"/>
  <c r="CV51" i="127" s="1"/>
  <c r="R131" i="127"/>
  <c r="CU131" i="127"/>
  <c r="CV131" i="127" s="1"/>
  <c r="Q40" i="127"/>
  <c r="P40" i="127"/>
  <c r="CU40" i="127" s="1"/>
  <c r="CV40" i="127" s="1"/>
  <c r="CU29" i="127"/>
  <c r="CV29" i="127" s="1"/>
  <c r="Q440" i="128"/>
  <c r="R441" i="128"/>
  <c r="CU441" i="128" s="1"/>
  <c r="CV441" i="128" s="1"/>
  <c r="CU480" i="128"/>
  <c r="CV480" i="128" s="1"/>
  <c r="R484" i="128"/>
  <c r="R485" i="128" s="1"/>
  <c r="BO371" i="128"/>
  <c r="BO372" i="128" s="1"/>
  <c r="BO488" i="128" s="1"/>
  <c r="CV476" i="128"/>
  <c r="R387" i="128"/>
  <c r="CU387" i="128" s="1"/>
  <c r="CV387" i="128" s="1"/>
  <c r="CU469" i="128"/>
  <c r="CV469" i="128" s="1"/>
  <c r="BO44" i="127"/>
  <c r="CU43" i="127"/>
  <c r="CV43" i="127" s="1"/>
  <c r="CU11" i="127"/>
  <c r="CV11" i="127" s="1"/>
  <c r="CU34" i="127"/>
  <c r="CV34" i="127" s="1"/>
  <c r="CU81" i="127"/>
  <c r="CV81" i="127" s="1"/>
  <c r="R70" i="127"/>
  <c r="CU70" i="127" s="1"/>
  <c r="CV70" i="127" s="1"/>
  <c r="CU69" i="127"/>
  <c r="CV69" i="127" s="1"/>
  <c r="R103" i="127"/>
  <c r="CU103" i="127"/>
  <c r="CV103" i="127" s="1"/>
  <c r="R134" i="127"/>
  <c r="CU134" i="127" s="1"/>
  <c r="CV134" i="127" s="1"/>
  <c r="CU65" i="127"/>
  <c r="CV65" i="127" s="1"/>
  <c r="R11" i="423"/>
  <c r="BO32" i="127"/>
  <c r="BO33" i="127" s="1"/>
  <c r="R48" i="127"/>
  <c r="CU48" i="127" s="1"/>
  <c r="CV48" i="127" s="1"/>
  <c r="P23" i="127"/>
  <c r="CU23" i="127" s="1"/>
  <c r="CV23" i="127" s="1"/>
  <c r="P94" i="127"/>
  <c r="CU94" i="127" s="1"/>
  <c r="CV94" i="127" s="1"/>
  <c r="CU93" i="127"/>
  <c r="CV93" i="127" s="1"/>
  <c r="R61" i="127"/>
  <c r="CU61" i="127" s="1"/>
  <c r="CV61" i="127" s="1"/>
  <c r="R63" i="127"/>
  <c r="CU63" i="127" s="1"/>
  <c r="CV63" i="127" s="1"/>
  <c r="R54" i="127"/>
  <c r="CU54" i="127" s="1"/>
  <c r="CV54" i="127" s="1"/>
  <c r="AW353" i="128"/>
  <c r="AW354" i="128" s="1"/>
  <c r="V435" i="128"/>
  <c r="CU435" i="128" s="1"/>
  <c r="CV435" i="128" s="1"/>
  <c r="N451" i="128"/>
  <c r="R400" i="128"/>
  <c r="R419" i="128"/>
  <c r="CV409" i="128"/>
  <c r="N483" i="128"/>
  <c r="AH432" i="128"/>
  <c r="AH433" i="128" s="1"/>
  <c r="CU37" i="127"/>
  <c r="CV37" i="127" s="1"/>
  <c r="P21" i="127"/>
  <c r="CU21" i="127" s="1"/>
  <c r="CV21" i="127" s="1"/>
  <c r="CU20" i="127"/>
  <c r="CV20" i="127" s="1"/>
  <c r="CU30" i="127"/>
  <c r="CV30" i="127" s="1"/>
  <c r="CV125" i="127"/>
  <c r="CU148" i="127"/>
  <c r="CU91" i="127"/>
  <c r="CV91" i="127" s="1"/>
  <c r="R42" i="127"/>
  <c r="CU42" i="127" s="1"/>
  <c r="CV42" i="127" s="1"/>
  <c r="CU41" i="127"/>
  <c r="CV41" i="127" s="1"/>
  <c r="R80" i="127"/>
  <c r="CU80" i="127"/>
  <c r="CV80" i="127" s="1"/>
  <c r="R56" i="127"/>
  <c r="CU56" i="127" s="1"/>
  <c r="CV56" i="127" s="1"/>
  <c r="P27" i="127"/>
  <c r="CU26" i="127"/>
  <c r="CV26" i="127" s="1"/>
  <c r="R75" i="127"/>
  <c r="CU75" i="127" s="1"/>
  <c r="CV75" i="127" s="1"/>
  <c r="R38" i="127"/>
  <c r="CU38" i="127"/>
  <c r="CV38" i="127" s="1"/>
  <c r="AH87" i="127"/>
  <c r="CU87" i="127" s="1"/>
  <c r="CV87" i="127" s="1"/>
  <c r="R55" i="127"/>
  <c r="CU471" i="128"/>
  <c r="CV471" i="128" s="1"/>
  <c r="CU10" i="127"/>
  <c r="CV10" i="127" s="1"/>
  <c r="P98" i="127"/>
  <c r="CU28" i="127"/>
  <c r="CV28" i="127" s="1"/>
  <c r="P110" i="127"/>
  <c r="BC85" i="127"/>
  <c r="CU84" i="127"/>
  <c r="CV84" i="127" s="1"/>
  <c r="R72" i="127"/>
  <c r="CU72" i="127" s="1"/>
  <c r="CV72" i="127" s="1"/>
  <c r="CU71" i="127"/>
  <c r="CV71" i="127" s="1"/>
  <c r="P7" i="127"/>
  <c r="CU7" i="127" s="1"/>
  <c r="CV7" i="127" s="1"/>
  <c r="CU6" i="127"/>
  <c r="CV6" i="127" s="1"/>
  <c r="CU60" i="127"/>
  <c r="CV60" i="127" s="1"/>
  <c r="CU135" i="127"/>
  <c r="CV135" i="127" s="1"/>
  <c r="P33" i="127"/>
  <c r="CU33" i="127" s="1"/>
  <c r="CV33" i="127" s="1"/>
  <c r="CU32" i="127"/>
  <c r="CV32" i="127" s="1"/>
  <c r="R39" i="127"/>
  <c r="CU39" i="127"/>
  <c r="CV39" i="127" s="1"/>
  <c r="R107" i="127"/>
  <c r="CU107" i="127" s="1"/>
  <c r="CV107" i="127" s="1"/>
  <c r="R79" i="127"/>
  <c r="CU79" i="127"/>
  <c r="CV79" i="127" s="1"/>
  <c r="R59" i="127"/>
  <c r="CU59" i="127" s="1"/>
  <c r="CV59" i="127" s="1"/>
  <c r="R62" i="127"/>
  <c r="CU62" i="127"/>
  <c r="CV62" i="127" s="1"/>
  <c r="N118" i="127"/>
  <c r="N149" i="127" s="1"/>
  <c r="V96" i="127"/>
  <c r="CU95" i="127"/>
  <c r="CV95" i="127" s="1"/>
  <c r="CU50" i="127"/>
  <c r="CV50" i="127" s="1"/>
  <c r="P17" i="127"/>
  <c r="R52" i="127"/>
  <c r="CU52" i="127" s="1"/>
  <c r="CV52" i="127" s="1"/>
  <c r="R73" i="127"/>
  <c r="CU73" i="127" s="1"/>
  <c r="CV73" i="127" s="1"/>
  <c r="R58" i="127"/>
  <c r="CU58" i="127" s="1"/>
  <c r="CV58" i="127" s="1"/>
  <c r="R82" i="127"/>
  <c r="CU82" i="127" s="1"/>
  <c r="CV82" i="127" s="1"/>
  <c r="P427" i="128"/>
  <c r="CU427" i="128" s="1"/>
  <c r="CV427" i="128" s="1"/>
  <c r="R446" i="128"/>
  <c r="R447" i="128" s="1"/>
  <c r="Q415" i="128"/>
  <c r="CU433" i="128"/>
  <c r="CV433" i="128" s="1"/>
  <c r="CU357" i="128"/>
  <c r="CV357" i="128" s="1"/>
  <c r="N112" i="127"/>
  <c r="P15" i="127"/>
  <c r="CU15" i="127" s="1"/>
  <c r="CV15" i="127" s="1"/>
  <c r="CU14" i="127"/>
  <c r="CV14" i="127" s="1"/>
  <c r="CU106" i="127"/>
  <c r="CV106" i="127" s="1"/>
  <c r="CV121" i="127"/>
  <c r="CU147" i="127"/>
  <c r="CV147" i="127" s="1"/>
  <c r="CV112" i="127"/>
  <c r="CU349" i="128"/>
  <c r="CV349" i="128" s="1"/>
  <c r="CU350" i="128"/>
  <c r="CV350" i="128" s="1"/>
  <c r="R453" i="128"/>
  <c r="CU453" i="128" s="1"/>
  <c r="CV453" i="128" s="1"/>
  <c r="CU452" i="128"/>
  <c r="CV452" i="128" s="1"/>
  <c r="N383" i="128"/>
  <c r="N424" i="128"/>
  <c r="CU377" i="128"/>
  <c r="CV377" i="128" s="1"/>
  <c r="CU429" i="128"/>
  <c r="CV429" i="128" s="1"/>
  <c r="W448" i="128"/>
  <c r="W449" i="128" s="1"/>
  <c r="W488" i="128" s="1"/>
  <c r="CU355" i="128"/>
  <c r="CV355" i="128" s="1"/>
  <c r="CU439" i="128"/>
  <c r="CV439" i="128" s="1"/>
  <c r="P431" i="128"/>
  <c r="CU356" i="128"/>
  <c r="CV356" i="128" s="1"/>
  <c r="CU362" i="128"/>
  <c r="CV362" i="128" s="1"/>
  <c r="R365" i="128"/>
  <c r="R366" i="128" s="1"/>
  <c r="CU366" i="128" s="1"/>
  <c r="CV366" i="128" s="1"/>
  <c r="CU392" i="128"/>
  <c r="CV392" i="128" s="1"/>
  <c r="P422" i="128"/>
  <c r="CV358" i="128"/>
  <c r="N368" i="128"/>
  <c r="R416" i="128"/>
  <c r="CU416" i="128" s="1"/>
  <c r="CV416" i="128" s="1"/>
  <c r="CU419" i="128"/>
  <c r="CV419" i="128" s="1"/>
  <c r="P487" i="128"/>
  <c r="P360" i="128"/>
  <c r="CU360" i="128" s="1"/>
  <c r="CV360" i="128" s="1"/>
  <c r="CU359" i="128"/>
  <c r="CV359" i="128" s="1"/>
  <c r="CU361" i="128"/>
  <c r="CV361" i="128" s="1"/>
  <c r="CU371" i="128"/>
  <c r="CV371" i="128" s="1"/>
  <c r="P405" i="128"/>
  <c r="R438" i="128"/>
  <c r="R440" i="128" s="1"/>
  <c r="CU372" i="128"/>
  <c r="CV372" i="128" s="1"/>
  <c r="R486" i="128"/>
  <c r="R487" i="128" s="1"/>
  <c r="Q444" i="128"/>
  <c r="Q488" i="128" s="1"/>
  <c r="P457" i="128"/>
  <c r="R455" i="128"/>
  <c r="CU455" i="128" s="1"/>
  <c r="CV455" i="128" s="1"/>
  <c r="CU454" i="128"/>
  <c r="CV454" i="128" s="1"/>
  <c r="P485" i="128"/>
  <c r="CU485" i="128" s="1"/>
  <c r="CV485" i="128" s="1"/>
  <c r="CU484" i="128"/>
  <c r="CV484" i="128" s="1"/>
  <c r="CV464" i="128"/>
  <c r="P348" i="128"/>
  <c r="P440" i="128"/>
  <c r="CU440" i="128" s="1"/>
  <c r="CV440" i="128" s="1"/>
  <c r="CU446" i="128"/>
  <c r="CV446" i="128" s="1"/>
  <c r="R399" i="128"/>
  <c r="CU399" i="128" s="1"/>
  <c r="CV399" i="128" s="1"/>
  <c r="P447" i="128"/>
  <c r="CU447" i="128" s="1"/>
  <c r="CV447" i="128" s="1"/>
  <c r="R381" i="128"/>
  <c r="CU381" i="128" s="1"/>
  <c r="CV381" i="128" s="1"/>
  <c r="CU380" i="128"/>
  <c r="CV380" i="128" s="1"/>
  <c r="CU354" i="128"/>
  <c r="CV354" i="128" s="1"/>
  <c r="CU436" i="128"/>
  <c r="CV436" i="128" s="1"/>
  <c r="CU376" i="128"/>
  <c r="CV376" i="128" s="1"/>
  <c r="CU443" i="128"/>
  <c r="CV443" i="128" s="1"/>
  <c r="BC451" i="128"/>
  <c r="CU450" i="128"/>
  <c r="CV450" i="128" s="1"/>
  <c r="R444" i="128"/>
  <c r="CU374" i="128"/>
  <c r="CV374" i="128" s="1"/>
  <c r="R420" i="128"/>
  <c r="CU420" i="128" s="1"/>
  <c r="CV420" i="128" s="1"/>
  <c r="CU391" i="128"/>
  <c r="CV391" i="128" s="1"/>
  <c r="P444" i="128"/>
  <c r="R412" i="128"/>
  <c r="CU412" i="128" s="1"/>
  <c r="CV412" i="128" s="1"/>
  <c r="R367" i="128"/>
  <c r="R368" i="128" s="1"/>
  <c r="CU368" i="128" s="1"/>
  <c r="CV368" i="128" s="1"/>
  <c r="P415" i="128"/>
  <c r="R414" i="128"/>
  <c r="CU414" i="128" s="1"/>
  <c r="CV414" i="128" s="1"/>
  <c r="CU437" i="128"/>
  <c r="CV437" i="128" s="1"/>
  <c r="AP456" i="128"/>
  <c r="AP457" i="128" s="1"/>
  <c r="AP488" i="128" s="1"/>
  <c r="R384" i="128"/>
  <c r="CU404" i="128"/>
  <c r="CV404" i="128" s="1"/>
  <c r="R443" i="128"/>
  <c r="R418" i="128"/>
  <c r="CU418" i="128" s="1"/>
  <c r="CV418" i="128" s="1"/>
  <c r="CU403" i="128"/>
  <c r="CV403" i="128" s="1"/>
  <c r="CU395" i="128"/>
  <c r="CV395" i="128" s="1"/>
  <c r="CU449" i="128"/>
  <c r="CV449" i="128" s="1"/>
  <c r="AH430" i="128"/>
  <c r="CU430" i="128" s="1"/>
  <c r="CV430" i="128" s="1"/>
  <c r="CU417" i="128"/>
  <c r="CV417" i="128" s="1"/>
  <c r="R378" i="128"/>
  <c r="CU378" i="128" s="1"/>
  <c r="CV378" i="128" s="1"/>
  <c r="R406" i="128"/>
  <c r="R407" i="128" s="1"/>
  <c r="P407" i="128"/>
  <c r="CU394" i="128"/>
  <c r="CV394" i="128" s="1"/>
  <c r="R369" i="128"/>
  <c r="R370" i="128" s="1"/>
  <c r="P370" i="128"/>
  <c r="CU363" i="128"/>
  <c r="CV363" i="128" s="1"/>
  <c r="P364" i="128"/>
  <c r="CU364" i="128" s="1"/>
  <c r="CV364" i="128" s="1"/>
  <c r="P379" i="128"/>
  <c r="AW347" i="128"/>
  <c r="AW348" i="128" s="1"/>
  <c r="AW488" i="128" s="1"/>
  <c r="CU448" i="128"/>
  <c r="CV448" i="128" s="1"/>
  <c r="CU353" i="128"/>
  <c r="CV353" i="128" s="1"/>
  <c r="R421" i="128"/>
  <c r="CU421" i="128" s="1"/>
  <c r="CV421" i="128" s="1"/>
  <c r="R413" i="128"/>
  <c r="CU413" i="128" s="1"/>
  <c r="CV413" i="128" s="1"/>
  <c r="CU345" i="128"/>
  <c r="CV345" i="128" s="1"/>
  <c r="CU402" i="128"/>
  <c r="CV402" i="128" s="1"/>
  <c r="R379" i="128"/>
  <c r="CU400" i="128"/>
  <c r="CV400" i="128" s="1"/>
  <c r="P352" i="128"/>
  <c r="CU352" i="128" s="1"/>
  <c r="CV352" i="128" s="1"/>
  <c r="CU351" i="128"/>
  <c r="CV351" i="128" s="1"/>
  <c r="CU398" i="128"/>
  <c r="CV398" i="128" s="1"/>
  <c r="CU388" i="128"/>
  <c r="CV388" i="128" s="1"/>
  <c r="CU426" i="128"/>
  <c r="CV426" i="128" s="1"/>
  <c r="R401" i="128"/>
  <c r="CU401" i="128" s="1"/>
  <c r="CV401" i="128" s="1"/>
  <c r="CU428" i="128"/>
  <c r="CV428" i="128" s="1"/>
  <c r="CU346" i="128"/>
  <c r="CV346" i="128" s="1"/>
  <c r="P66" i="127"/>
  <c r="P88" i="127"/>
  <c r="AW8" i="127"/>
  <c r="AW9" i="127" s="1"/>
  <c r="R35" i="127"/>
  <c r="CU35" i="127" s="1"/>
  <c r="CV35" i="127" s="1"/>
  <c r="R97" i="127"/>
  <c r="R98" i="127" s="1"/>
  <c r="P83" i="127"/>
  <c r="R67" i="127"/>
  <c r="R68" i="127" s="1"/>
  <c r="Q83" i="127"/>
  <c r="P76" i="127"/>
  <c r="R106" i="127"/>
  <c r="R108" i="127" s="1"/>
  <c r="P105" i="127"/>
  <c r="Q76" i="127"/>
  <c r="Q92" i="127"/>
  <c r="P92" i="127"/>
  <c r="R40" i="127"/>
  <c r="AP117" i="127"/>
  <c r="AP118" i="127" s="1"/>
  <c r="AP149" i="127" s="1"/>
  <c r="Q105" i="127"/>
  <c r="Q149" i="127" s="1"/>
  <c r="Q66" i="127"/>
  <c r="AW22" i="127"/>
  <c r="AW23" i="127" s="1"/>
  <c r="AH86" i="127"/>
  <c r="AH88" i="127" s="1"/>
  <c r="R26" i="127"/>
  <c r="R27" i="127" s="1"/>
  <c r="P108" i="127"/>
  <c r="CU108" i="127" s="1"/>
  <c r="CV108" i="127" s="1"/>
  <c r="P101" i="127"/>
  <c r="AW16" i="127"/>
  <c r="AW17" i="127" s="1"/>
  <c r="R102" i="127"/>
  <c r="R105" i="127" s="1"/>
  <c r="W109" i="127"/>
  <c r="W110" i="127" s="1"/>
  <c r="W149" i="127" s="1"/>
  <c r="P146" i="127"/>
  <c r="R145" i="127"/>
  <c r="R146" i="127" s="1"/>
  <c r="AW12" i="127"/>
  <c r="AW13" i="127" s="1"/>
  <c r="P13" i="127"/>
  <c r="P19" i="127"/>
  <c r="AW18" i="127"/>
  <c r="AW19" i="127" s="1"/>
  <c r="AW149" i="127" s="1"/>
  <c r="AH89" i="127"/>
  <c r="AH92" i="127" s="1"/>
  <c r="AH149" i="127" s="1"/>
  <c r="R77" i="127"/>
  <c r="CU77" i="127" s="1"/>
  <c r="CV77" i="127" s="1"/>
  <c r="R99" i="127"/>
  <c r="R101" i="127" s="1"/>
  <c r="R76" i="127"/>
  <c r="R10" i="423"/>
  <c r="CY337" i="128"/>
  <c r="CX337" i="128"/>
  <c r="CW337" i="128"/>
  <c r="BA337" i="128"/>
  <c r="AG337" i="128"/>
  <c r="AE337" i="128"/>
  <c r="CT336" i="128"/>
  <c r="CS336" i="128"/>
  <c r="CR336" i="128"/>
  <c r="CQ336" i="128"/>
  <c r="CP336" i="128"/>
  <c r="CO336" i="128"/>
  <c r="CN336" i="128"/>
  <c r="CM336" i="128"/>
  <c r="CL336" i="128"/>
  <c r="CK336" i="128"/>
  <c r="CJ336" i="128"/>
  <c r="CI336" i="128"/>
  <c r="CH336" i="128"/>
  <c r="CG336" i="128"/>
  <c r="CF336" i="128"/>
  <c r="CE336" i="128"/>
  <c r="CD336" i="128"/>
  <c r="CC336" i="128"/>
  <c r="CB336" i="128"/>
  <c r="CA336" i="128"/>
  <c r="BZ336" i="128"/>
  <c r="BY336" i="128"/>
  <c r="BX336" i="128"/>
  <c r="BW336" i="128"/>
  <c r="BV336" i="128"/>
  <c r="BU336" i="128"/>
  <c r="BT336" i="128"/>
  <c r="BS336" i="128"/>
  <c r="BR336" i="128"/>
  <c r="BQ336" i="128"/>
  <c r="BP336" i="128"/>
  <c r="BO336" i="128"/>
  <c r="BN336" i="128"/>
  <c r="BM336" i="128"/>
  <c r="BL336" i="128"/>
  <c r="BK336" i="128"/>
  <c r="BJ336" i="128"/>
  <c r="BH336" i="128"/>
  <c r="BG336" i="128"/>
  <c r="BF336" i="128"/>
  <c r="BE336" i="128"/>
  <c r="BD336" i="128"/>
  <c r="BC336" i="128"/>
  <c r="BB336" i="128"/>
  <c r="AZ336" i="128"/>
  <c r="AY336" i="128"/>
  <c r="AX336" i="128"/>
  <c r="AW336" i="128"/>
  <c r="AV336" i="128"/>
  <c r="AU336" i="128"/>
  <c r="AT336" i="128"/>
  <c r="AS336" i="128"/>
  <c r="AR336" i="128"/>
  <c r="AQ336" i="128"/>
  <c r="AP336" i="128"/>
  <c r="AO336" i="128"/>
  <c r="AN336" i="128"/>
  <c r="AM336" i="128"/>
  <c r="AL336" i="128"/>
  <c r="AK336" i="128"/>
  <c r="AJ336" i="128"/>
  <c r="AI336" i="128"/>
  <c r="AH336" i="128"/>
  <c r="AF336" i="128"/>
  <c r="AD336" i="128"/>
  <c r="AC336" i="128"/>
  <c r="AB336" i="128"/>
  <c r="AA336" i="128"/>
  <c r="Z336" i="128"/>
  <c r="Y336" i="128"/>
  <c r="X336" i="128"/>
  <c r="W336" i="128"/>
  <c r="V336" i="128"/>
  <c r="U336" i="128"/>
  <c r="T336" i="128"/>
  <c r="S336" i="128"/>
  <c r="M335" i="128"/>
  <c r="BI335" i="128" s="1"/>
  <c r="CT334" i="128"/>
  <c r="CS334" i="128"/>
  <c r="CR334" i="128"/>
  <c r="CQ334" i="128"/>
  <c r="CP334" i="128"/>
  <c r="CO334" i="128"/>
  <c r="CN334" i="128"/>
  <c r="CM334" i="128"/>
  <c r="CL334" i="128"/>
  <c r="CK334" i="128"/>
  <c r="CJ334" i="128"/>
  <c r="CI334" i="128"/>
  <c r="CH334" i="128"/>
  <c r="CG334" i="128"/>
  <c r="CF334" i="128"/>
  <c r="CE334" i="128"/>
  <c r="CD334" i="128"/>
  <c r="CC334" i="128"/>
  <c r="CB334" i="128"/>
  <c r="CA334" i="128"/>
  <c r="BZ334" i="128"/>
  <c r="BY334" i="128"/>
  <c r="BX334" i="128"/>
  <c r="BW334" i="128"/>
  <c r="BV334" i="128"/>
  <c r="BU334" i="128"/>
  <c r="BT334" i="128"/>
  <c r="BS334" i="128"/>
  <c r="BR334" i="128"/>
  <c r="BQ334" i="128"/>
  <c r="BP334" i="128"/>
  <c r="BO334" i="128"/>
  <c r="BN334" i="128"/>
  <c r="BM334" i="128"/>
  <c r="BL334" i="128"/>
  <c r="BK334" i="128"/>
  <c r="BJ334" i="128"/>
  <c r="BH334" i="128"/>
  <c r="BG334" i="128"/>
  <c r="BF334" i="128"/>
  <c r="BE334" i="128"/>
  <c r="BD334" i="128"/>
  <c r="BC334" i="128"/>
  <c r="BB334" i="128"/>
  <c r="AZ334" i="128"/>
  <c r="AY334" i="128"/>
  <c r="AX334" i="128"/>
  <c r="AW334" i="128"/>
  <c r="AV334" i="128"/>
  <c r="AT334" i="128"/>
  <c r="AS334" i="128"/>
  <c r="AR334" i="128"/>
  <c r="AQ334" i="128"/>
  <c r="AP334" i="128"/>
  <c r="AO334" i="128"/>
  <c r="AN334" i="128"/>
  <c r="AM334" i="128"/>
  <c r="AL334" i="128"/>
  <c r="AK334" i="128"/>
  <c r="AJ334" i="128"/>
  <c r="AI334" i="128"/>
  <c r="AH334" i="128"/>
  <c r="AF334" i="128"/>
  <c r="AD334" i="128"/>
  <c r="AC334" i="128"/>
  <c r="AB334" i="128"/>
  <c r="AA334" i="128"/>
  <c r="Z334" i="128"/>
  <c r="Y334" i="128"/>
  <c r="X334" i="128"/>
  <c r="W334" i="128"/>
  <c r="V334" i="128"/>
  <c r="U334" i="128"/>
  <c r="T334" i="128"/>
  <c r="S334" i="128"/>
  <c r="M333" i="128"/>
  <c r="BI333" i="128" s="1"/>
  <c r="CU333" i="128" s="1"/>
  <c r="CV333" i="128" s="1"/>
  <c r="M332" i="128"/>
  <c r="CT331" i="128"/>
  <c r="CS331" i="128"/>
  <c r="CR331" i="128"/>
  <c r="CQ331" i="128"/>
  <c r="CP331" i="128"/>
  <c r="CO331" i="128"/>
  <c r="CN331" i="128"/>
  <c r="CM331" i="128"/>
  <c r="CL331" i="128"/>
  <c r="CK331" i="128"/>
  <c r="CJ331" i="128"/>
  <c r="CI331" i="128"/>
  <c r="CH331" i="128"/>
  <c r="CG331" i="128"/>
  <c r="CF331" i="128"/>
  <c r="CE331" i="128"/>
  <c r="CD331" i="128"/>
  <c r="CC331" i="128"/>
  <c r="CB331" i="128"/>
  <c r="CA331" i="128"/>
  <c r="BZ331" i="128"/>
  <c r="BY331" i="128"/>
  <c r="BX331" i="128"/>
  <c r="BW331" i="128"/>
  <c r="BV331" i="128"/>
  <c r="BU331" i="128"/>
  <c r="BT331" i="128"/>
  <c r="BS331" i="128"/>
  <c r="BR331" i="128"/>
  <c r="BQ331" i="128"/>
  <c r="BP331" i="128"/>
  <c r="BO331" i="128"/>
  <c r="BN331" i="128"/>
  <c r="BM331" i="128"/>
  <c r="BL331" i="128"/>
  <c r="BK331" i="128"/>
  <c r="BJ331" i="128"/>
  <c r="BI331" i="128"/>
  <c r="BH331" i="128"/>
  <c r="BG331" i="128"/>
  <c r="BF331" i="128"/>
  <c r="BE331" i="128"/>
  <c r="BD331" i="128"/>
  <c r="BC331" i="128"/>
  <c r="BB331" i="128"/>
  <c r="AZ331" i="128"/>
  <c r="AY331" i="128"/>
  <c r="AX331" i="128"/>
  <c r="AV331" i="128"/>
  <c r="AU331" i="128"/>
  <c r="AT331" i="128"/>
  <c r="AS331" i="128"/>
  <c r="AR331" i="128"/>
  <c r="AQ331" i="128"/>
  <c r="AP331" i="128"/>
  <c r="AO331" i="128"/>
  <c r="AN331" i="128"/>
  <c r="AM331" i="128"/>
  <c r="AL331" i="128"/>
  <c r="AK331" i="128"/>
  <c r="AJ331" i="128"/>
  <c r="AI331" i="128"/>
  <c r="AH331" i="128"/>
  <c r="AF331" i="128"/>
  <c r="AD331" i="128"/>
  <c r="AC331" i="128"/>
  <c r="AB331" i="128"/>
  <c r="AA331" i="128"/>
  <c r="Z331" i="128"/>
  <c r="Y331" i="128"/>
  <c r="X331" i="128"/>
  <c r="W331" i="128"/>
  <c r="V331" i="128"/>
  <c r="U331" i="128"/>
  <c r="T331" i="128"/>
  <c r="S331" i="128"/>
  <c r="M330" i="128"/>
  <c r="M331" i="128" s="1"/>
  <c r="N331" i="128" s="1"/>
  <c r="CT329" i="128"/>
  <c r="CS329" i="128"/>
  <c r="CR329" i="128"/>
  <c r="CQ329" i="128"/>
  <c r="CP329" i="128"/>
  <c r="CO329" i="128"/>
  <c r="CN329" i="128"/>
  <c r="CM329" i="128"/>
  <c r="CL329" i="128"/>
  <c r="CK329" i="128"/>
  <c r="CJ329" i="128"/>
  <c r="CI329" i="128"/>
  <c r="CH329" i="128"/>
  <c r="CG329" i="128"/>
  <c r="CF329" i="128"/>
  <c r="CE329" i="128"/>
  <c r="CD329" i="128"/>
  <c r="CC329" i="128"/>
  <c r="CB329" i="128"/>
  <c r="CA329" i="128"/>
  <c r="BZ329" i="128"/>
  <c r="BY329" i="128"/>
  <c r="BX329" i="128"/>
  <c r="BW329" i="128"/>
  <c r="BV329" i="128"/>
  <c r="BU329" i="128"/>
  <c r="BT329" i="128"/>
  <c r="BS329" i="128"/>
  <c r="BR329" i="128"/>
  <c r="BQ329" i="128"/>
  <c r="BP329" i="128"/>
  <c r="BO329" i="128"/>
  <c r="BN329" i="128"/>
  <c r="BM329" i="128"/>
  <c r="BL329" i="128"/>
  <c r="BK329" i="128"/>
  <c r="BJ329" i="128"/>
  <c r="BI329" i="128"/>
  <c r="BH329" i="128"/>
  <c r="BG329" i="128"/>
  <c r="BF329" i="128"/>
  <c r="BE329" i="128"/>
  <c r="BD329" i="128"/>
  <c r="BC329" i="128"/>
  <c r="BB329" i="128"/>
  <c r="AZ329" i="128"/>
  <c r="AY329" i="128"/>
  <c r="AX329" i="128"/>
  <c r="AW329" i="128"/>
  <c r="AV329" i="128"/>
  <c r="AU329" i="128"/>
  <c r="AT329" i="128"/>
  <c r="AS329" i="128"/>
  <c r="AR329" i="128"/>
  <c r="AQ329" i="128"/>
  <c r="AP329" i="128"/>
  <c r="AO329" i="128"/>
  <c r="AN329" i="128"/>
  <c r="AM329" i="128"/>
  <c r="AL329" i="128"/>
  <c r="AK329" i="128"/>
  <c r="AJ329" i="128"/>
  <c r="AI329" i="128"/>
  <c r="AH329" i="128"/>
  <c r="AF329" i="128"/>
  <c r="AD329" i="128"/>
  <c r="AC329" i="128"/>
  <c r="AB329" i="128"/>
  <c r="AA329" i="128"/>
  <c r="Z329" i="128"/>
  <c r="Y329" i="128"/>
  <c r="X329" i="128"/>
  <c r="W329" i="128"/>
  <c r="V329" i="128"/>
  <c r="U329" i="128"/>
  <c r="T329" i="128"/>
  <c r="S329" i="128"/>
  <c r="M328" i="128"/>
  <c r="M329" i="128" s="1"/>
  <c r="N329" i="128" s="1"/>
  <c r="CT327" i="128"/>
  <c r="CS327" i="128"/>
  <c r="CR327" i="128"/>
  <c r="CQ327" i="128"/>
  <c r="CP327" i="128"/>
  <c r="CO327" i="128"/>
  <c r="CN327" i="128"/>
  <c r="CM327" i="128"/>
  <c r="CL327" i="128"/>
  <c r="CK327" i="128"/>
  <c r="CJ327" i="128"/>
  <c r="CI327" i="128"/>
  <c r="CH327" i="128"/>
  <c r="CG327" i="128"/>
  <c r="CF327" i="128"/>
  <c r="CE327" i="128"/>
  <c r="CD327" i="128"/>
  <c r="CC327" i="128"/>
  <c r="CB327" i="128"/>
  <c r="CA327" i="128"/>
  <c r="BZ327" i="128"/>
  <c r="BY327" i="128"/>
  <c r="BX327" i="128"/>
  <c r="BW327" i="128"/>
  <c r="BV327" i="128"/>
  <c r="BU327" i="128"/>
  <c r="BT327" i="128"/>
  <c r="BS327" i="128"/>
  <c r="BR327" i="128"/>
  <c r="BQ327" i="128"/>
  <c r="BP327" i="128"/>
  <c r="BN327" i="128"/>
  <c r="BM327" i="128"/>
  <c r="BL327" i="128"/>
  <c r="BK327" i="128"/>
  <c r="BJ327" i="128"/>
  <c r="BI327" i="128"/>
  <c r="BH327" i="128"/>
  <c r="BG327" i="128"/>
  <c r="BF327" i="128"/>
  <c r="BE327" i="128"/>
  <c r="BD327" i="128"/>
  <c r="BC327" i="128"/>
  <c r="BB327" i="128"/>
  <c r="AZ327" i="128"/>
  <c r="AY327" i="128"/>
  <c r="AX327" i="128"/>
  <c r="AW327" i="128"/>
  <c r="AV327" i="128"/>
  <c r="AU327" i="128"/>
  <c r="AT327" i="128"/>
  <c r="AS327" i="128"/>
  <c r="AR327" i="128"/>
  <c r="AQ327" i="128"/>
  <c r="AP327" i="128"/>
  <c r="AO327" i="128"/>
  <c r="AN327" i="128"/>
  <c r="AM327" i="128"/>
  <c r="AL327" i="128"/>
  <c r="AK327" i="128"/>
  <c r="AJ327" i="128"/>
  <c r="AI327" i="128"/>
  <c r="AH327" i="128"/>
  <c r="AF327" i="128"/>
  <c r="AD327" i="128"/>
  <c r="AC327" i="128"/>
  <c r="AB327" i="128"/>
  <c r="AA327" i="128"/>
  <c r="Z327" i="128"/>
  <c r="Y327" i="128"/>
  <c r="X327" i="128"/>
  <c r="W327" i="128"/>
  <c r="V327" i="128"/>
  <c r="U327" i="128"/>
  <c r="T327" i="128"/>
  <c r="S327" i="128"/>
  <c r="M326" i="128"/>
  <c r="M327" i="128" s="1"/>
  <c r="CT325" i="128"/>
  <c r="CS325" i="128"/>
  <c r="CR325" i="128"/>
  <c r="CQ325" i="128"/>
  <c r="CP325" i="128"/>
  <c r="CO325" i="128"/>
  <c r="CN325" i="128"/>
  <c r="CM325" i="128"/>
  <c r="CL325" i="128"/>
  <c r="CK325" i="128"/>
  <c r="CJ325" i="128"/>
  <c r="CI325" i="128"/>
  <c r="CH325" i="128"/>
  <c r="CG325" i="128"/>
  <c r="CF325" i="128"/>
  <c r="CE325" i="128"/>
  <c r="CD325" i="128"/>
  <c r="CC325" i="128"/>
  <c r="CB325" i="128"/>
  <c r="CA325" i="128"/>
  <c r="BZ325" i="128"/>
  <c r="BY325" i="128"/>
  <c r="BX325" i="128"/>
  <c r="BW325" i="128"/>
  <c r="BV325" i="128"/>
  <c r="BU325" i="128"/>
  <c r="BT325" i="128"/>
  <c r="BS325" i="128"/>
  <c r="BR325" i="128"/>
  <c r="BQ325" i="128"/>
  <c r="BP325" i="128"/>
  <c r="BO325" i="128"/>
  <c r="BN325" i="128"/>
  <c r="BM325" i="128"/>
  <c r="BL325" i="128"/>
  <c r="BK325" i="128"/>
  <c r="BJ325" i="128"/>
  <c r="BI325" i="128"/>
  <c r="BH325" i="128"/>
  <c r="BG325" i="128"/>
  <c r="BF325" i="128"/>
  <c r="BE325" i="128"/>
  <c r="BD325" i="128"/>
  <c r="BB325" i="128"/>
  <c r="AZ325" i="128"/>
  <c r="AY325" i="128"/>
  <c r="AX325" i="128"/>
  <c r="AW325" i="128"/>
  <c r="AV325" i="128"/>
  <c r="AU325" i="128"/>
  <c r="AT325" i="128"/>
  <c r="AS325" i="128"/>
  <c r="AR325" i="128"/>
  <c r="AQ325" i="128"/>
  <c r="AP325" i="128"/>
  <c r="AO325" i="128"/>
  <c r="AN325" i="128"/>
  <c r="AM325" i="128"/>
  <c r="AL325" i="128"/>
  <c r="AK325" i="128"/>
  <c r="AJ325" i="128"/>
  <c r="AI325" i="128"/>
  <c r="AH325" i="128"/>
  <c r="AF325" i="128"/>
  <c r="AD325" i="128"/>
  <c r="AC325" i="128"/>
  <c r="AB325" i="128"/>
  <c r="AA325" i="128"/>
  <c r="Z325" i="128"/>
  <c r="Y325" i="128"/>
  <c r="X325" i="128"/>
  <c r="W325" i="128"/>
  <c r="V325" i="128"/>
  <c r="U325" i="128"/>
  <c r="T325" i="128"/>
  <c r="S325" i="128"/>
  <c r="M324" i="128"/>
  <c r="M325" i="128" s="1"/>
  <c r="CT323" i="128"/>
  <c r="CS323" i="128"/>
  <c r="CR323" i="128"/>
  <c r="CQ323" i="128"/>
  <c r="CP323" i="128"/>
  <c r="CO323" i="128"/>
  <c r="CN323" i="128"/>
  <c r="CM323" i="128"/>
  <c r="CL323" i="128"/>
  <c r="CK323" i="128"/>
  <c r="CJ323" i="128"/>
  <c r="CI323" i="128"/>
  <c r="CH323" i="128"/>
  <c r="CG323" i="128"/>
  <c r="CF323" i="128"/>
  <c r="CE323" i="128"/>
  <c r="CD323" i="128"/>
  <c r="CC323" i="128"/>
  <c r="CB323" i="128"/>
  <c r="CA323" i="128"/>
  <c r="BZ323" i="128"/>
  <c r="BY323" i="128"/>
  <c r="BX323" i="128"/>
  <c r="BW323" i="128"/>
  <c r="BV323" i="128"/>
  <c r="BU323" i="128"/>
  <c r="BT323" i="128"/>
  <c r="BS323" i="128"/>
  <c r="BR323" i="128"/>
  <c r="BQ323" i="128"/>
  <c r="BP323" i="128"/>
  <c r="BO323" i="128"/>
  <c r="BN323" i="128"/>
  <c r="BM323" i="128"/>
  <c r="BL323" i="128"/>
  <c r="BK323" i="128"/>
  <c r="BJ323" i="128"/>
  <c r="BI323" i="128"/>
  <c r="BH323" i="128"/>
  <c r="BG323" i="128"/>
  <c r="BF323" i="128"/>
  <c r="BE323" i="128"/>
  <c r="BD323" i="128"/>
  <c r="BC323" i="128"/>
  <c r="BB323" i="128"/>
  <c r="AZ323" i="128"/>
  <c r="AY323" i="128"/>
  <c r="AX323" i="128"/>
  <c r="AW323" i="128"/>
  <c r="AV323" i="128"/>
  <c r="AU323" i="128"/>
  <c r="AT323" i="128"/>
  <c r="AS323" i="128"/>
  <c r="AR323" i="128"/>
  <c r="AQ323" i="128"/>
  <c r="AP323" i="128"/>
  <c r="AO323" i="128"/>
  <c r="AN323" i="128"/>
  <c r="AM323" i="128"/>
  <c r="AL323" i="128"/>
  <c r="AK323" i="128"/>
  <c r="AJ323" i="128"/>
  <c r="AI323" i="128"/>
  <c r="AH323" i="128"/>
  <c r="AF323" i="128"/>
  <c r="AD323" i="128"/>
  <c r="AC323" i="128"/>
  <c r="AB323" i="128"/>
  <c r="AA323" i="128"/>
  <c r="Z323" i="128"/>
  <c r="Y323" i="128"/>
  <c r="X323" i="128"/>
  <c r="W323" i="128"/>
  <c r="V323" i="128"/>
  <c r="U323" i="128"/>
  <c r="T323" i="128"/>
  <c r="S323" i="128"/>
  <c r="M322" i="128"/>
  <c r="Q322" i="128" s="1"/>
  <c r="M321" i="128"/>
  <c r="Q321" i="128" s="1"/>
  <c r="M320" i="128"/>
  <c r="Q320" i="128" s="1"/>
  <c r="CT319" i="128"/>
  <c r="CS319" i="128"/>
  <c r="CR319" i="128"/>
  <c r="CQ319" i="128"/>
  <c r="CP319" i="128"/>
  <c r="CO319" i="128"/>
  <c r="CN319" i="128"/>
  <c r="CM319" i="128"/>
  <c r="CL319" i="128"/>
  <c r="CK319" i="128"/>
  <c r="CJ319" i="128"/>
  <c r="CI319" i="128"/>
  <c r="CH319" i="128"/>
  <c r="CG319" i="128"/>
  <c r="CF319" i="128"/>
  <c r="CE319" i="128"/>
  <c r="CD319" i="128"/>
  <c r="CC319" i="128"/>
  <c r="CB319" i="128"/>
  <c r="CA319" i="128"/>
  <c r="BZ319" i="128"/>
  <c r="BY319" i="128"/>
  <c r="BX319" i="128"/>
  <c r="BW319" i="128"/>
  <c r="BV319" i="128"/>
  <c r="BU319" i="128"/>
  <c r="BT319" i="128"/>
  <c r="BS319" i="128"/>
  <c r="BR319" i="128"/>
  <c r="BQ319" i="128"/>
  <c r="BP319" i="128"/>
  <c r="BO319" i="128"/>
  <c r="BN319" i="128"/>
  <c r="BM319" i="128"/>
  <c r="BL319" i="128"/>
  <c r="BK319" i="128"/>
  <c r="BJ319" i="128"/>
  <c r="BI319" i="128"/>
  <c r="BH319" i="128"/>
  <c r="BG319" i="128"/>
  <c r="BF319" i="128"/>
  <c r="BE319" i="128"/>
  <c r="BD319" i="128"/>
  <c r="BC319" i="128"/>
  <c r="BB319" i="128"/>
  <c r="AZ319" i="128"/>
  <c r="AY319" i="128"/>
  <c r="AX319" i="128"/>
  <c r="AW319" i="128"/>
  <c r="AV319" i="128"/>
  <c r="AT319" i="128"/>
  <c r="AS319" i="128"/>
  <c r="AR319" i="128"/>
  <c r="AQ319" i="128"/>
  <c r="AP319" i="128"/>
  <c r="AO319" i="128"/>
  <c r="AN319" i="128"/>
  <c r="AM319" i="128"/>
  <c r="AL319" i="128"/>
  <c r="AK319" i="128"/>
  <c r="AJ319" i="128"/>
  <c r="AI319" i="128"/>
  <c r="AH319" i="128"/>
  <c r="AF319" i="128"/>
  <c r="AD319" i="128"/>
  <c r="AC319" i="128"/>
  <c r="AB319" i="128"/>
  <c r="AA319" i="128"/>
  <c r="Z319" i="128"/>
  <c r="Y319" i="128"/>
  <c r="X319" i="128"/>
  <c r="W319" i="128"/>
  <c r="V319" i="128"/>
  <c r="U319" i="128"/>
  <c r="T319" i="128"/>
  <c r="S319" i="128"/>
  <c r="M318" i="128"/>
  <c r="Q318" i="128" s="1"/>
  <c r="Q319" i="128" s="1"/>
  <c r="CT317" i="128"/>
  <c r="CS317" i="128"/>
  <c r="CR317" i="128"/>
  <c r="CQ317" i="128"/>
  <c r="CP317" i="128"/>
  <c r="CO317" i="128"/>
  <c r="CN317" i="128"/>
  <c r="CM317" i="128"/>
  <c r="CL317" i="128"/>
  <c r="CK317" i="128"/>
  <c r="CJ317" i="128"/>
  <c r="CI317" i="128"/>
  <c r="CH317" i="128"/>
  <c r="CG317" i="128"/>
  <c r="CF317" i="128"/>
  <c r="CE317" i="128"/>
  <c r="CD317" i="128"/>
  <c r="CC317" i="128"/>
  <c r="CB317" i="128"/>
  <c r="CA317" i="128"/>
  <c r="BZ317" i="128"/>
  <c r="BY317" i="128"/>
  <c r="BX317" i="128"/>
  <c r="BW317" i="128"/>
  <c r="BV317" i="128"/>
  <c r="BU317" i="128"/>
  <c r="BT317" i="128"/>
  <c r="BS317" i="128"/>
  <c r="BR317" i="128"/>
  <c r="BQ317" i="128"/>
  <c r="BP317" i="128"/>
  <c r="BO317" i="128"/>
  <c r="BN317" i="128"/>
  <c r="BM317" i="128"/>
  <c r="BL317" i="128"/>
  <c r="BK317" i="128"/>
  <c r="BJ317" i="128"/>
  <c r="BI317" i="128"/>
  <c r="BH317" i="128"/>
  <c r="BG317" i="128"/>
  <c r="BF317" i="128"/>
  <c r="BE317" i="128"/>
  <c r="BD317" i="128"/>
  <c r="BC317" i="128"/>
  <c r="AZ317" i="128"/>
  <c r="AY317" i="128"/>
  <c r="AX317" i="128"/>
  <c r="AW317" i="128"/>
  <c r="AV317" i="128"/>
  <c r="AU317" i="128"/>
  <c r="AT317" i="128"/>
  <c r="AS317" i="128"/>
  <c r="AR317" i="128"/>
  <c r="AQ317" i="128"/>
  <c r="AP317" i="128"/>
  <c r="AO317" i="128"/>
  <c r="AN317" i="128"/>
  <c r="AM317" i="128"/>
  <c r="AL317" i="128"/>
  <c r="AK317" i="128"/>
  <c r="AJ317" i="128"/>
  <c r="AI317" i="128"/>
  <c r="AH317" i="128"/>
  <c r="AF317" i="128"/>
  <c r="AD317" i="128"/>
  <c r="AC317" i="128"/>
  <c r="AB317" i="128"/>
  <c r="AA317" i="128"/>
  <c r="Z317" i="128"/>
  <c r="Y317" i="128"/>
  <c r="X317" i="128"/>
  <c r="W317" i="128"/>
  <c r="V317" i="128"/>
  <c r="U317" i="128"/>
  <c r="T317" i="128"/>
  <c r="S317" i="128"/>
  <c r="M316" i="128"/>
  <c r="M317" i="128" s="1"/>
  <c r="CT315" i="128"/>
  <c r="CS315" i="128"/>
  <c r="CR315" i="128"/>
  <c r="CQ315" i="128"/>
  <c r="CP315" i="128"/>
  <c r="CO315" i="128"/>
  <c r="CN315" i="128"/>
  <c r="CM315" i="128"/>
  <c r="CL315" i="128"/>
  <c r="CK315" i="128"/>
  <c r="CJ315" i="128"/>
  <c r="CI315" i="128"/>
  <c r="CH315" i="128"/>
  <c r="CG315" i="128"/>
  <c r="CF315" i="128"/>
  <c r="CE315" i="128"/>
  <c r="CD315" i="128"/>
  <c r="CC315" i="128"/>
  <c r="CB315" i="128"/>
  <c r="CA315" i="128"/>
  <c r="BZ315" i="128"/>
  <c r="BY315" i="128"/>
  <c r="BX315" i="128"/>
  <c r="BW315" i="128"/>
  <c r="BV315" i="128"/>
  <c r="BU315" i="128"/>
  <c r="BT315" i="128"/>
  <c r="BS315" i="128"/>
  <c r="BR315" i="128"/>
  <c r="BQ315" i="128"/>
  <c r="BP315" i="128"/>
  <c r="BO315" i="128"/>
  <c r="BN315" i="128"/>
  <c r="BM315" i="128"/>
  <c r="BL315" i="128"/>
  <c r="BK315" i="128"/>
  <c r="BJ315" i="128"/>
  <c r="BI315" i="128"/>
  <c r="BH315" i="128"/>
  <c r="BG315" i="128"/>
  <c r="BF315" i="128"/>
  <c r="BE315" i="128"/>
  <c r="BD315" i="128"/>
  <c r="BC315" i="128"/>
  <c r="AZ315" i="128"/>
  <c r="AY315" i="128"/>
  <c r="AX315" i="128"/>
  <c r="AW315" i="128"/>
  <c r="AV315" i="128"/>
  <c r="AU315" i="128"/>
  <c r="AT315" i="128"/>
  <c r="AS315" i="128"/>
  <c r="AR315" i="128"/>
  <c r="AQ315" i="128"/>
  <c r="AP315" i="128"/>
  <c r="AO315" i="128"/>
  <c r="AN315" i="128"/>
  <c r="AM315" i="128"/>
  <c r="AL315" i="128"/>
  <c r="AK315" i="128"/>
  <c r="AJ315" i="128"/>
  <c r="AI315" i="128"/>
  <c r="AH315" i="128"/>
  <c r="AF315" i="128"/>
  <c r="AD315" i="128"/>
  <c r="AC315" i="128"/>
  <c r="AB315" i="128"/>
  <c r="AA315" i="128"/>
  <c r="Z315" i="128"/>
  <c r="Y315" i="128"/>
  <c r="X315" i="128"/>
  <c r="W315" i="128"/>
  <c r="V315" i="128"/>
  <c r="U315" i="128"/>
  <c r="T315" i="128"/>
  <c r="S315" i="128"/>
  <c r="M314" i="128"/>
  <c r="Q314" i="128" s="1"/>
  <c r="Q315" i="128" s="1"/>
  <c r="CT313" i="128"/>
  <c r="CS313" i="128"/>
  <c r="CR313" i="128"/>
  <c r="CQ313" i="128"/>
  <c r="CP313" i="128"/>
  <c r="CO313" i="128"/>
  <c r="CN313" i="128"/>
  <c r="CM313" i="128"/>
  <c r="CL313" i="128"/>
  <c r="CK313" i="128"/>
  <c r="CJ313" i="128"/>
  <c r="CI313" i="128"/>
  <c r="CH313" i="128"/>
  <c r="CG313" i="128"/>
  <c r="CF313" i="128"/>
  <c r="CE313" i="128"/>
  <c r="CD313" i="128"/>
  <c r="CC313" i="128"/>
  <c r="CB313" i="128"/>
  <c r="CA313" i="128"/>
  <c r="BZ313" i="128"/>
  <c r="BY313" i="128"/>
  <c r="BX313" i="128"/>
  <c r="BW313" i="128"/>
  <c r="BV313" i="128"/>
  <c r="BU313" i="128"/>
  <c r="BT313" i="128"/>
  <c r="BS313" i="128"/>
  <c r="BR313" i="128"/>
  <c r="BQ313" i="128"/>
  <c r="BP313" i="128"/>
  <c r="BO313" i="128"/>
  <c r="BN313" i="128"/>
  <c r="BM313" i="128"/>
  <c r="BL313" i="128"/>
  <c r="BK313" i="128"/>
  <c r="BJ313" i="128"/>
  <c r="BI313" i="128"/>
  <c r="BH313" i="128"/>
  <c r="BG313" i="128"/>
  <c r="BF313" i="128"/>
  <c r="BE313" i="128"/>
  <c r="BD313" i="128"/>
  <c r="BC313" i="128"/>
  <c r="AZ313" i="128"/>
  <c r="AY313" i="128"/>
  <c r="AX313" i="128"/>
  <c r="AW313" i="128"/>
  <c r="AV313" i="128"/>
  <c r="AU313" i="128"/>
  <c r="AT313" i="128"/>
  <c r="AS313" i="128"/>
  <c r="AR313" i="128"/>
  <c r="AQ313" i="128"/>
  <c r="AP313" i="128"/>
  <c r="AO313" i="128"/>
  <c r="AN313" i="128"/>
  <c r="AM313" i="128"/>
  <c r="AL313" i="128"/>
  <c r="AK313" i="128"/>
  <c r="AJ313" i="128"/>
  <c r="AI313" i="128"/>
  <c r="AH313" i="128"/>
  <c r="AF313" i="128"/>
  <c r="AD313" i="128"/>
  <c r="AC313" i="128"/>
  <c r="AB313" i="128"/>
  <c r="AA313" i="128"/>
  <c r="Z313" i="128"/>
  <c r="Y313" i="128"/>
  <c r="X313" i="128"/>
  <c r="W313" i="128"/>
  <c r="V313" i="128"/>
  <c r="U313" i="128"/>
  <c r="T313" i="128"/>
  <c r="S313" i="128"/>
  <c r="M312" i="128"/>
  <c r="M313" i="128" s="1"/>
  <c r="CT311" i="128"/>
  <c r="CS311" i="128"/>
  <c r="CR311" i="128"/>
  <c r="CQ311" i="128"/>
  <c r="CP311" i="128"/>
  <c r="CO311" i="128"/>
  <c r="CN311" i="128"/>
  <c r="CM311" i="128"/>
  <c r="CL311" i="128"/>
  <c r="CK311" i="128"/>
  <c r="CJ311" i="128"/>
  <c r="CI311" i="128"/>
  <c r="CH311" i="128"/>
  <c r="CG311" i="128"/>
  <c r="CF311" i="128"/>
  <c r="CE311" i="128"/>
  <c r="CD311" i="128"/>
  <c r="CC311" i="128"/>
  <c r="CB311" i="128"/>
  <c r="CA311" i="128"/>
  <c r="BZ311" i="128"/>
  <c r="BY311" i="128"/>
  <c r="BX311" i="128"/>
  <c r="BW311" i="128"/>
  <c r="BV311" i="128"/>
  <c r="BU311" i="128"/>
  <c r="BT311" i="128"/>
  <c r="BS311" i="128"/>
  <c r="BR311" i="128"/>
  <c r="BQ311" i="128"/>
  <c r="BP311" i="128"/>
  <c r="BN311" i="128"/>
  <c r="BM311" i="128"/>
  <c r="BL311" i="128"/>
  <c r="BK311" i="128"/>
  <c r="BJ311" i="128"/>
  <c r="BI311" i="128"/>
  <c r="BH311" i="128"/>
  <c r="BG311" i="128"/>
  <c r="BF311" i="128"/>
  <c r="BE311" i="128"/>
  <c r="BD311" i="128"/>
  <c r="BC311" i="128"/>
  <c r="BB311" i="128"/>
  <c r="AZ311" i="128"/>
  <c r="AY311" i="128"/>
  <c r="AX311" i="128"/>
  <c r="AW311" i="128"/>
  <c r="AV311" i="128"/>
  <c r="AU311" i="128"/>
  <c r="AT311" i="128"/>
  <c r="AS311" i="128"/>
  <c r="AR311" i="128"/>
  <c r="AQ311" i="128"/>
  <c r="AP311" i="128"/>
  <c r="AO311" i="128"/>
  <c r="AN311" i="128"/>
  <c r="AM311" i="128"/>
  <c r="AL311" i="128"/>
  <c r="AK311" i="128"/>
  <c r="AJ311" i="128"/>
  <c r="AI311" i="128"/>
  <c r="AH311" i="128"/>
  <c r="AF311" i="128"/>
  <c r="AD311" i="128"/>
  <c r="AC311" i="128"/>
  <c r="AB311" i="128"/>
  <c r="AA311" i="128"/>
  <c r="Z311" i="128"/>
  <c r="Y311" i="128"/>
  <c r="X311" i="128"/>
  <c r="W311" i="128"/>
  <c r="V311" i="128"/>
  <c r="U311" i="128"/>
  <c r="T311" i="128"/>
  <c r="S311" i="128"/>
  <c r="R311" i="128"/>
  <c r="M310" i="128"/>
  <c r="Q310" i="128" s="1"/>
  <c r="Q311" i="128" s="1"/>
  <c r="CT309" i="128"/>
  <c r="CS309" i="128"/>
  <c r="CR309" i="128"/>
  <c r="CQ309" i="128"/>
  <c r="CP309" i="128"/>
  <c r="CO309" i="128"/>
  <c r="CN309" i="128"/>
  <c r="CM309" i="128"/>
  <c r="CL309" i="128"/>
  <c r="CK309" i="128"/>
  <c r="CJ309" i="128"/>
  <c r="CI309" i="128"/>
  <c r="CH309" i="128"/>
  <c r="CG309" i="128"/>
  <c r="CF309" i="128"/>
  <c r="CE309" i="128"/>
  <c r="CD309" i="128"/>
  <c r="CC309" i="128"/>
  <c r="CB309" i="128"/>
  <c r="CA309" i="128"/>
  <c r="BZ309" i="128"/>
  <c r="BY309" i="128"/>
  <c r="BX309" i="128"/>
  <c r="BW309" i="128"/>
  <c r="BV309" i="128"/>
  <c r="BU309" i="128"/>
  <c r="BT309" i="128"/>
  <c r="BS309" i="128"/>
  <c r="BR309" i="128"/>
  <c r="BQ309" i="128"/>
  <c r="BP309" i="128"/>
  <c r="BN309" i="128"/>
  <c r="BM309" i="128"/>
  <c r="BL309" i="128"/>
  <c r="BK309" i="128"/>
  <c r="BJ309" i="128"/>
  <c r="BI309" i="128"/>
  <c r="BH309" i="128"/>
  <c r="BG309" i="128"/>
  <c r="BF309" i="128"/>
  <c r="BE309" i="128"/>
  <c r="BD309" i="128"/>
  <c r="BC309" i="128"/>
  <c r="BB309" i="128"/>
  <c r="AZ309" i="128"/>
  <c r="AY309" i="128"/>
  <c r="AX309" i="128"/>
  <c r="AW309" i="128"/>
  <c r="AV309" i="128"/>
  <c r="AU309" i="128"/>
  <c r="AT309" i="128"/>
  <c r="AS309" i="128"/>
  <c r="AR309" i="128"/>
  <c r="AQ309" i="128"/>
  <c r="AP309" i="128"/>
  <c r="AO309" i="128"/>
  <c r="AN309" i="128"/>
  <c r="AM309" i="128"/>
  <c r="AL309" i="128"/>
  <c r="AK309" i="128"/>
  <c r="AJ309" i="128"/>
  <c r="AI309" i="128"/>
  <c r="AH309" i="128"/>
  <c r="AF309" i="128"/>
  <c r="AD309" i="128"/>
  <c r="AC309" i="128"/>
  <c r="AB309" i="128"/>
  <c r="AA309" i="128"/>
  <c r="Z309" i="128"/>
  <c r="Y309" i="128"/>
  <c r="X309" i="128"/>
  <c r="W309" i="128"/>
  <c r="V309" i="128"/>
  <c r="U309" i="128"/>
  <c r="T309" i="128"/>
  <c r="S309" i="128"/>
  <c r="R309" i="128"/>
  <c r="M308" i="128"/>
  <c r="Q308" i="128" s="1"/>
  <c r="Q309" i="128" s="1"/>
  <c r="CT307" i="128"/>
  <c r="CS307" i="128"/>
  <c r="CR307" i="128"/>
  <c r="CQ307" i="128"/>
  <c r="CP307" i="128"/>
  <c r="CO307" i="128"/>
  <c r="CN307" i="128"/>
  <c r="CM307" i="128"/>
  <c r="CL307" i="128"/>
  <c r="CK307" i="128"/>
  <c r="CJ307" i="128"/>
  <c r="CI307" i="128"/>
  <c r="CH307" i="128"/>
  <c r="CG307" i="128"/>
  <c r="CF307" i="128"/>
  <c r="CE307" i="128"/>
  <c r="CD307" i="128"/>
  <c r="CC307" i="128"/>
  <c r="CB307" i="128"/>
  <c r="CA307" i="128"/>
  <c r="BZ307" i="128"/>
  <c r="BY307" i="128"/>
  <c r="BX307" i="128"/>
  <c r="BW307" i="128"/>
  <c r="BV307" i="128"/>
  <c r="BU307" i="128"/>
  <c r="BT307" i="128"/>
  <c r="BS307" i="128"/>
  <c r="BR307" i="128"/>
  <c r="BQ307" i="128"/>
  <c r="BP307" i="128"/>
  <c r="BN307" i="128"/>
  <c r="BM307" i="128"/>
  <c r="BL307" i="128"/>
  <c r="BK307" i="128"/>
  <c r="BJ307" i="128"/>
  <c r="BI307" i="128"/>
  <c r="BH307" i="128"/>
  <c r="BG307" i="128"/>
  <c r="BF307" i="128"/>
  <c r="BE307" i="128"/>
  <c r="BD307" i="128"/>
  <c r="BC307" i="128"/>
  <c r="BB307" i="128"/>
  <c r="AZ307" i="128"/>
  <c r="AY307" i="128"/>
  <c r="AX307" i="128"/>
  <c r="AW307" i="128"/>
  <c r="AV307" i="128"/>
  <c r="AU307" i="128"/>
  <c r="AT307" i="128"/>
  <c r="AS307" i="128"/>
  <c r="AR307" i="128"/>
  <c r="AQ307" i="128"/>
  <c r="AP307" i="128"/>
  <c r="AO307" i="128"/>
  <c r="AN307" i="128"/>
  <c r="AM307" i="128"/>
  <c r="AL307" i="128"/>
  <c r="AK307" i="128"/>
  <c r="AJ307" i="128"/>
  <c r="AI307" i="128"/>
  <c r="AH307" i="128"/>
  <c r="AF307" i="128"/>
  <c r="AD307" i="128"/>
  <c r="AC307" i="128"/>
  <c r="AB307" i="128"/>
  <c r="AA307" i="128"/>
  <c r="Z307" i="128"/>
  <c r="Y307" i="128"/>
  <c r="X307" i="128"/>
  <c r="W307" i="128"/>
  <c r="V307" i="128"/>
  <c r="U307" i="128"/>
  <c r="T307" i="128"/>
  <c r="S307" i="128"/>
  <c r="M306" i="128"/>
  <c r="Q306" i="128" s="1"/>
  <c r="CT305" i="128"/>
  <c r="CS305" i="128"/>
  <c r="CR305" i="128"/>
  <c r="CQ305" i="128"/>
  <c r="CP305" i="128"/>
  <c r="CO305" i="128"/>
  <c r="CN305" i="128"/>
  <c r="CM305" i="128"/>
  <c r="CL305" i="128"/>
  <c r="CK305" i="128"/>
  <c r="CJ305" i="128"/>
  <c r="CI305" i="128"/>
  <c r="CH305" i="128"/>
  <c r="CG305" i="128"/>
  <c r="CF305" i="128"/>
  <c r="CE305" i="128"/>
  <c r="CD305" i="128"/>
  <c r="CC305" i="128"/>
  <c r="CB305" i="128"/>
  <c r="CA305" i="128"/>
  <c r="BZ305" i="128"/>
  <c r="BY305" i="128"/>
  <c r="BX305" i="128"/>
  <c r="BW305" i="128"/>
  <c r="BV305" i="128"/>
  <c r="BU305" i="128"/>
  <c r="BT305" i="128"/>
  <c r="BR305" i="128"/>
  <c r="BQ305" i="128"/>
  <c r="BP305" i="128"/>
  <c r="BO305" i="128"/>
  <c r="BN305" i="128"/>
  <c r="BM305" i="128"/>
  <c r="BL305" i="128"/>
  <c r="BK305" i="128"/>
  <c r="BJ305" i="128"/>
  <c r="BI305" i="128"/>
  <c r="BH305" i="128"/>
  <c r="BG305" i="128"/>
  <c r="BF305" i="128"/>
  <c r="BE305" i="128"/>
  <c r="BD305" i="128"/>
  <c r="BC305" i="128"/>
  <c r="BB305" i="128"/>
  <c r="AZ305" i="128"/>
  <c r="AY305" i="128"/>
  <c r="AX305" i="128"/>
  <c r="AW305" i="128"/>
  <c r="AV305" i="128"/>
  <c r="AU305" i="128"/>
  <c r="AT305" i="128"/>
  <c r="AS305" i="128"/>
  <c r="AR305" i="128"/>
  <c r="AQ305" i="128"/>
  <c r="AP305" i="128"/>
  <c r="AO305" i="128"/>
  <c r="AN305" i="128"/>
  <c r="AM305" i="128"/>
  <c r="AL305" i="128"/>
  <c r="AK305" i="128"/>
  <c r="AJ305" i="128"/>
  <c r="AI305" i="128"/>
  <c r="AH305" i="128"/>
  <c r="AF305" i="128"/>
  <c r="AD305" i="128"/>
  <c r="AC305" i="128"/>
  <c r="AB305" i="128"/>
  <c r="AA305" i="128"/>
  <c r="Z305" i="128"/>
  <c r="Y305" i="128"/>
  <c r="X305" i="128"/>
  <c r="W305" i="128"/>
  <c r="V305" i="128"/>
  <c r="U305" i="128"/>
  <c r="T305" i="128"/>
  <c r="S305" i="128"/>
  <c r="M304" i="128"/>
  <c r="P304" i="128" s="1"/>
  <c r="CT303" i="128"/>
  <c r="CS303" i="128"/>
  <c r="CR303" i="128"/>
  <c r="CQ303" i="128"/>
  <c r="CP303" i="128"/>
  <c r="CO303" i="128"/>
  <c r="CN303" i="128"/>
  <c r="CM303" i="128"/>
  <c r="CL303" i="128"/>
  <c r="CK303" i="128"/>
  <c r="CJ303" i="128"/>
  <c r="CI303" i="128"/>
  <c r="CH303" i="128"/>
  <c r="CG303" i="128"/>
  <c r="CF303" i="128"/>
  <c r="CE303" i="128"/>
  <c r="CD303" i="128"/>
  <c r="CC303" i="128"/>
  <c r="CB303" i="128"/>
  <c r="CA303" i="128"/>
  <c r="BZ303" i="128"/>
  <c r="BY303" i="128"/>
  <c r="BX303" i="128"/>
  <c r="BW303" i="128"/>
  <c r="BV303" i="128"/>
  <c r="BU303" i="128"/>
  <c r="BT303" i="128"/>
  <c r="BS303" i="128"/>
  <c r="BR303" i="128"/>
  <c r="BQ303" i="128"/>
  <c r="BP303" i="128"/>
  <c r="BO303" i="128"/>
  <c r="BN303" i="128"/>
  <c r="BM303" i="128"/>
  <c r="BL303" i="128"/>
  <c r="BK303" i="128"/>
  <c r="BJ303" i="128"/>
  <c r="BI303" i="128"/>
  <c r="BH303" i="128"/>
  <c r="BG303" i="128"/>
  <c r="BF303" i="128"/>
  <c r="BE303" i="128"/>
  <c r="BD303" i="128"/>
  <c r="BC303" i="128"/>
  <c r="BB303" i="128"/>
  <c r="AZ303" i="128"/>
  <c r="AY303" i="128"/>
  <c r="AX303" i="128"/>
  <c r="AW303" i="128"/>
  <c r="AV303" i="128"/>
  <c r="AU303" i="128"/>
  <c r="AT303" i="128"/>
  <c r="AS303" i="128"/>
  <c r="AR303" i="128"/>
  <c r="AQ303" i="128"/>
  <c r="AP303" i="128"/>
  <c r="AO303" i="128"/>
  <c r="AN303" i="128"/>
  <c r="AM303" i="128"/>
  <c r="AL303" i="128"/>
  <c r="AK303" i="128"/>
  <c r="AJ303" i="128"/>
  <c r="AI303" i="128"/>
  <c r="AH303" i="128"/>
  <c r="AF303" i="128"/>
  <c r="AD303" i="128"/>
  <c r="AC303" i="128"/>
  <c r="AB303" i="128"/>
  <c r="AA303" i="128"/>
  <c r="Z303" i="128"/>
  <c r="Y303" i="128"/>
  <c r="X303" i="128"/>
  <c r="W303" i="128"/>
  <c r="V303" i="128"/>
  <c r="U303" i="128"/>
  <c r="T303" i="128"/>
  <c r="S303" i="128"/>
  <c r="M302" i="128"/>
  <c r="M303" i="128" s="1"/>
  <c r="N303" i="128" s="1"/>
  <c r="CT301" i="128"/>
  <c r="CS301" i="128"/>
  <c r="CR301" i="128"/>
  <c r="CQ301" i="128"/>
  <c r="CP301" i="128"/>
  <c r="CO301" i="128"/>
  <c r="CN301" i="128"/>
  <c r="CM301" i="128"/>
  <c r="CL301" i="128"/>
  <c r="CK301" i="128"/>
  <c r="CJ301" i="128"/>
  <c r="CI301" i="128"/>
  <c r="CH301" i="128"/>
  <c r="CG301" i="128"/>
  <c r="CF301" i="128"/>
  <c r="CE301" i="128"/>
  <c r="CD301" i="128"/>
  <c r="CC301" i="128"/>
  <c r="CB301" i="128"/>
  <c r="CA301" i="128"/>
  <c r="BZ301" i="128"/>
  <c r="BY301" i="128"/>
  <c r="BX301" i="128"/>
  <c r="BW301" i="128"/>
  <c r="BV301" i="128"/>
  <c r="BU301" i="128"/>
  <c r="BT301" i="128"/>
  <c r="BS301" i="128"/>
  <c r="BR301" i="128"/>
  <c r="BQ301" i="128"/>
  <c r="BP301" i="128"/>
  <c r="BO301" i="128"/>
  <c r="BN301" i="128"/>
  <c r="BM301" i="128"/>
  <c r="BL301" i="128"/>
  <c r="BK301" i="128"/>
  <c r="BJ301" i="128"/>
  <c r="BI301" i="128"/>
  <c r="BH301" i="128"/>
  <c r="BG301" i="128"/>
  <c r="BF301" i="128"/>
  <c r="BE301" i="128"/>
  <c r="BD301" i="128"/>
  <c r="BC301" i="128"/>
  <c r="BB301" i="128"/>
  <c r="AZ301" i="128"/>
  <c r="AY301" i="128"/>
  <c r="AX301" i="128"/>
  <c r="AW301" i="128"/>
  <c r="AV301" i="128"/>
  <c r="AU301" i="128"/>
  <c r="AT301" i="128"/>
  <c r="AS301" i="128"/>
  <c r="AR301" i="128"/>
  <c r="AQ301" i="128"/>
  <c r="AP301" i="128"/>
  <c r="AO301" i="128"/>
  <c r="AN301" i="128"/>
  <c r="AM301" i="128"/>
  <c r="AL301" i="128"/>
  <c r="AK301" i="128"/>
  <c r="AJ301" i="128"/>
  <c r="AI301" i="128"/>
  <c r="AH301" i="128"/>
  <c r="AF301" i="128"/>
  <c r="AD301" i="128"/>
  <c r="AC301" i="128"/>
  <c r="AB301" i="128"/>
  <c r="AA301" i="128"/>
  <c r="Z301" i="128"/>
  <c r="Y301" i="128"/>
  <c r="X301" i="128"/>
  <c r="W301" i="128"/>
  <c r="V301" i="128"/>
  <c r="U301" i="128"/>
  <c r="T301" i="128"/>
  <c r="S301" i="128"/>
  <c r="M300" i="128"/>
  <c r="P300" i="128" s="1"/>
  <c r="CT299" i="128"/>
  <c r="CS299" i="128"/>
  <c r="CR299" i="128"/>
  <c r="CQ299" i="128"/>
  <c r="CP299" i="128"/>
  <c r="CO299" i="128"/>
  <c r="CN299" i="128"/>
  <c r="CM299" i="128"/>
  <c r="CL299" i="128"/>
  <c r="CK299" i="128"/>
  <c r="CJ299" i="128"/>
  <c r="CI299" i="128"/>
  <c r="CH299" i="128"/>
  <c r="CG299" i="128"/>
  <c r="CF299" i="128"/>
  <c r="CE299" i="128"/>
  <c r="CD299" i="128"/>
  <c r="CC299" i="128"/>
  <c r="CB299" i="128"/>
  <c r="CA299" i="128"/>
  <c r="BZ299" i="128"/>
  <c r="BY299" i="128"/>
  <c r="BX299" i="128"/>
  <c r="BW299" i="128"/>
  <c r="BV299" i="128"/>
  <c r="BU299" i="128"/>
  <c r="BT299" i="128"/>
  <c r="BS299" i="128"/>
  <c r="BR299" i="128"/>
  <c r="BQ299" i="128"/>
  <c r="BP299" i="128"/>
  <c r="BO299" i="128"/>
  <c r="BN299" i="128"/>
  <c r="BM299" i="128"/>
  <c r="BL299" i="128"/>
  <c r="BK299" i="128"/>
  <c r="BJ299" i="128"/>
  <c r="BI299" i="128"/>
  <c r="BH299" i="128"/>
  <c r="BG299" i="128"/>
  <c r="BF299" i="128"/>
  <c r="BE299" i="128"/>
  <c r="BD299" i="128"/>
  <c r="BC299" i="128"/>
  <c r="BB299" i="128"/>
  <c r="AZ299" i="128"/>
  <c r="AY299" i="128"/>
  <c r="AX299" i="128"/>
  <c r="AW299" i="128"/>
  <c r="AV299" i="128"/>
  <c r="AU299" i="128"/>
  <c r="AT299" i="128"/>
  <c r="AS299" i="128"/>
  <c r="AR299" i="128"/>
  <c r="AQ299" i="128"/>
  <c r="AP299" i="128"/>
  <c r="AO299" i="128"/>
  <c r="AN299" i="128"/>
  <c r="AM299" i="128"/>
  <c r="AL299" i="128"/>
  <c r="AK299" i="128"/>
  <c r="AJ299" i="128"/>
  <c r="AI299" i="128"/>
  <c r="AH299" i="128"/>
  <c r="AF299" i="128"/>
  <c r="AD299" i="128"/>
  <c r="AC299" i="128"/>
  <c r="AB299" i="128"/>
  <c r="AA299" i="128"/>
  <c r="Z299" i="128"/>
  <c r="Y299" i="128"/>
  <c r="X299" i="128"/>
  <c r="W299" i="128"/>
  <c r="V299" i="128"/>
  <c r="U299" i="128"/>
  <c r="T299" i="128"/>
  <c r="S299" i="128"/>
  <c r="M298" i="128"/>
  <c r="R298" i="128" s="1"/>
  <c r="CT297" i="128"/>
  <c r="CS297" i="128"/>
  <c r="CR297" i="128"/>
  <c r="CQ297" i="128"/>
  <c r="CP297" i="128"/>
  <c r="CO297" i="128"/>
  <c r="CN297" i="128"/>
  <c r="CM297" i="128"/>
  <c r="CL297" i="128"/>
  <c r="CK297" i="128"/>
  <c r="CJ297" i="128"/>
  <c r="CI297" i="128"/>
  <c r="CH297" i="128"/>
  <c r="CG297" i="128"/>
  <c r="CF297" i="128"/>
  <c r="CE297" i="128"/>
  <c r="CD297" i="128"/>
  <c r="CC297" i="128"/>
  <c r="CB297" i="128"/>
  <c r="CA297" i="128"/>
  <c r="BZ297" i="128"/>
  <c r="BY297" i="128"/>
  <c r="BX297" i="128"/>
  <c r="BW297" i="128"/>
  <c r="BV297" i="128"/>
  <c r="BU297" i="128"/>
  <c r="BT297" i="128"/>
  <c r="BS297" i="128"/>
  <c r="BR297" i="128"/>
  <c r="BQ297" i="128"/>
  <c r="BP297" i="128"/>
  <c r="BO297" i="128"/>
  <c r="BN297" i="128"/>
  <c r="BM297" i="128"/>
  <c r="BL297" i="128"/>
  <c r="BK297" i="128"/>
  <c r="BJ297" i="128"/>
  <c r="BI297" i="128"/>
  <c r="BH297" i="128"/>
  <c r="BG297" i="128"/>
  <c r="BF297" i="128"/>
  <c r="BE297" i="128"/>
  <c r="BD297" i="128"/>
  <c r="BC297" i="128"/>
  <c r="BB297" i="128"/>
  <c r="AZ297" i="128"/>
  <c r="AY297" i="128"/>
  <c r="AX297" i="128"/>
  <c r="AW297" i="128"/>
  <c r="AV297" i="128"/>
  <c r="AU297" i="128"/>
  <c r="AT297" i="128"/>
  <c r="AS297" i="128"/>
  <c r="AR297" i="128"/>
  <c r="AQ297" i="128"/>
  <c r="AP297" i="128"/>
  <c r="AO297" i="128"/>
  <c r="AN297" i="128"/>
  <c r="AM297" i="128"/>
  <c r="AL297" i="128"/>
  <c r="AK297" i="128"/>
  <c r="AJ297" i="128"/>
  <c r="AI297" i="128"/>
  <c r="AH297" i="128"/>
  <c r="AF297" i="128"/>
  <c r="AD297" i="128"/>
  <c r="AC297" i="128"/>
  <c r="AB297" i="128"/>
  <c r="AA297" i="128"/>
  <c r="Z297" i="128"/>
  <c r="Y297" i="128"/>
  <c r="X297" i="128"/>
  <c r="W297" i="128"/>
  <c r="V297" i="128"/>
  <c r="U297" i="128"/>
  <c r="T297" i="128"/>
  <c r="S297" i="128"/>
  <c r="M296" i="128"/>
  <c r="Q296" i="128" s="1"/>
  <c r="M295" i="128"/>
  <c r="Q295" i="128" s="1"/>
  <c r="M294" i="128"/>
  <c r="Q294" i="128" s="1"/>
  <c r="M293" i="128"/>
  <c r="P293" i="128" s="1"/>
  <c r="CT292" i="128"/>
  <c r="CS292" i="128"/>
  <c r="CR292" i="128"/>
  <c r="CQ292" i="128"/>
  <c r="CP292" i="128"/>
  <c r="CO292" i="128"/>
  <c r="CN292" i="128"/>
  <c r="CM292" i="128"/>
  <c r="CL292" i="128"/>
  <c r="CK292" i="128"/>
  <c r="CJ292" i="128"/>
  <c r="CI292" i="128"/>
  <c r="CH292" i="128"/>
  <c r="CG292" i="128"/>
  <c r="CF292" i="128"/>
  <c r="CE292" i="128"/>
  <c r="CD292" i="128"/>
  <c r="CC292" i="128"/>
  <c r="CB292" i="128"/>
  <c r="CA292" i="128"/>
  <c r="BZ292" i="128"/>
  <c r="BY292" i="128"/>
  <c r="BX292" i="128"/>
  <c r="BW292" i="128"/>
  <c r="BV292" i="128"/>
  <c r="BU292" i="128"/>
  <c r="BT292" i="128"/>
  <c r="BS292" i="128"/>
  <c r="BR292" i="128"/>
  <c r="BQ292" i="128"/>
  <c r="BP292" i="128"/>
  <c r="BO292" i="128"/>
  <c r="BN292" i="128"/>
  <c r="BM292" i="128"/>
  <c r="BL292" i="128"/>
  <c r="BK292" i="128"/>
  <c r="BJ292" i="128"/>
  <c r="BI292" i="128"/>
  <c r="BH292" i="128"/>
  <c r="BG292" i="128"/>
  <c r="BF292" i="128"/>
  <c r="BE292" i="128"/>
  <c r="BD292" i="128"/>
  <c r="BC292" i="128"/>
  <c r="BB292" i="128"/>
  <c r="AZ292" i="128"/>
  <c r="AY292" i="128"/>
  <c r="AX292" i="128"/>
  <c r="AW292" i="128"/>
  <c r="AV292" i="128"/>
  <c r="AU292" i="128"/>
  <c r="AT292" i="128"/>
  <c r="AS292" i="128"/>
  <c r="AR292" i="128"/>
  <c r="AQ292" i="128"/>
  <c r="AP292" i="128"/>
  <c r="AO292" i="128"/>
  <c r="AN292" i="128"/>
  <c r="AM292" i="128"/>
  <c r="AL292" i="128"/>
  <c r="AK292" i="128"/>
  <c r="AJ292" i="128"/>
  <c r="AI292" i="128"/>
  <c r="AH292" i="128"/>
  <c r="AF292" i="128"/>
  <c r="AD292" i="128"/>
  <c r="AC292" i="128"/>
  <c r="AB292" i="128"/>
  <c r="AA292" i="128"/>
  <c r="Z292" i="128"/>
  <c r="Y292" i="128"/>
  <c r="X292" i="128"/>
  <c r="W292" i="128"/>
  <c r="V292" i="128"/>
  <c r="U292" i="128"/>
  <c r="T292" i="128"/>
  <c r="S292" i="128"/>
  <c r="M291" i="128"/>
  <c r="R291" i="128" s="1"/>
  <c r="CU291" i="128" s="1"/>
  <c r="CV291" i="128" s="1"/>
  <c r="M290" i="128"/>
  <c r="R290" i="128" s="1"/>
  <c r="CU290" i="128" s="1"/>
  <c r="CV290" i="128" s="1"/>
  <c r="R289" i="128"/>
  <c r="CU289" i="128" s="1"/>
  <c r="CV289" i="128" s="1"/>
  <c r="M289" i="128"/>
  <c r="CT288" i="128"/>
  <c r="CS288" i="128"/>
  <c r="CR288" i="128"/>
  <c r="CQ288" i="128"/>
  <c r="CP288" i="128"/>
  <c r="CO288" i="128"/>
  <c r="CN288" i="128"/>
  <c r="CM288" i="128"/>
  <c r="CL288" i="128"/>
  <c r="CK288" i="128"/>
  <c r="CJ288" i="128"/>
  <c r="CI288" i="128"/>
  <c r="CH288" i="128"/>
  <c r="CG288" i="128"/>
  <c r="CF288" i="128"/>
  <c r="CE288" i="128"/>
  <c r="CD288" i="128"/>
  <c r="CC288" i="128"/>
  <c r="CB288" i="128"/>
  <c r="CA288" i="128"/>
  <c r="BZ288" i="128"/>
  <c r="BY288" i="128"/>
  <c r="BX288" i="128"/>
  <c r="BW288" i="128"/>
  <c r="BV288" i="128"/>
  <c r="BU288" i="128"/>
  <c r="BT288" i="128"/>
  <c r="BS288" i="128"/>
  <c r="BR288" i="128"/>
  <c r="BQ288" i="128"/>
  <c r="BP288" i="128"/>
  <c r="BO288" i="128"/>
  <c r="BN288" i="128"/>
  <c r="BM288" i="128"/>
  <c r="BL288" i="128"/>
  <c r="BK288" i="128"/>
  <c r="BJ288" i="128"/>
  <c r="BI288" i="128"/>
  <c r="BH288" i="128"/>
  <c r="BG288" i="128"/>
  <c r="BF288" i="128"/>
  <c r="BE288" i="128"/>
  <c r="BD288" i="128"/>
  <c r="BC288" i="128"/>
  <c r="BB288" i="128"/>
  <c r="AZ288" i="128"/>
  <c r="AY288" i="128"/>
  <c r="AX288" i="128"/>
  <c r="AV288" i="128"/>
  <c r="AU288" i="128"/>
  <c r="AT288" i="128"/>
  <c r="AS288" i="128"/>
  <c r="AR288" i="128"/>
  <c r="AQ288" i="128"/>
  <c r="AP288" i="128"/>
  <c r="AO288" i="128"/>
  <c r="AN288" i="128"/>
  <c r="AM288" i="128"/>
  <c r="AL288" i="128"/>
  <c r="AK288" i="128"/>
  <c r="AJ288" i="128"/>
  <c r="AI288" i="128"/>
  <c r="AH288" i="128"/>
  <c r="AF288" i="128"/>
  <c r="AD288" i="128"/>
  <c r="AC288" i="128"/>
  <c r="AB288" i="128"/>
  <c r="AA288" i="128"/>
  <c r="Z288" i="128"/>
  <c r="Y288" i="128"/>
  <c r="X288" i="128"/>
  <c r="W288" i="128"/>
  <c r="V288" i="128"/>
  <c r="U288" i="128"/>
  <c r="T288" i="128"/>
  <c r="S288" i="128"/>
  <c r="M287" i="128"/>
  <c r="P287" i="128" s="1"/>
  <c r="CT286" i="128"/>
  <c r="CS286" i="128"/>
  <c r="CR286" i="128"/>
  <c r="CQ286" i="128"/>
  <c r="CP286" i="128"/>
  <c r="CO286" i="128"/>
  <c r="CN286" i="128"/>
  <c r="CM286" i="128"/>
  <c r="CL286" i="128"/>
  <c r="CK286" i="128"/>
  <c r="CJ286" i="128"/>
  <c r="CI286" i="128"/>
  <c r="CH286" i="128"/>
  <c r="CG286" i="128"/>
  <c r="CF286" i="128"/>
  <c r="CE286" i="128"/>
  <c r="CD286" i="128"/>
  <c r="CC286" i="128"/>
  <c r="CB286" i="128"/>
  <c r="CA286" i="128"/>
  <c r="BZ286" i="128"/>
  <c r="BY286" i="128"/>
  <c r="BX286" i="128"/>
  <c r="BW286" i="128"/>
  <c r="BV286" i="128"/>
  <c r="BU286" i="128"/>
  <c r="BT286" i="128"/>
  <c r="BS286" i="128"/>
  <c r="BR286" i="128"/>
  <c r="BQ286" i="128"/>
  <c r="BP286" i="128"/>
  <c r="BO286" i="128"/>
  <c r="BN286" i="128"/>
  <c r="BM286" i="128"/>
  <c r="BL286" i="128"/>
  <c r="BK286" i="128"/>
  <c r="BJ286" i="128"/>
  <c r="BI286" i="128"/>
  <c r="BH286" i="128"/>
  <c r="BG286" i="128"/>
  <c r="BF286" i="128"/>
  <c r="BE286" i="128"/>
  <c r="BD286" i="128"/>
  <c r="BC286" i="128"/>
  <c r="BB286" i="128"/>
  <c r="AZ286" i="128"/>
  <c r="AY286" i="128"/>
  <c r="AX286" i="128"/>
  <c r="AV286" i="128"/>
  <c r="AU286" i="128"/>
  <c r="AT286" i="128"/>
  <c r="AS286" i="128"/>
  <c r="AR286" i="128"/>
  <c r="AQ286" i="128"/>
  <c r="AP286" i="128"/>
  <c r="AO286" i="128"/>
  <c r="AN286" i="128"/>
  <c r="AM286" i="128"/>
  <c r="AL286" i="128"/>
  <c r="AK286" i="128"/>
  <c r="AJ286" i="128"/>
  <c r="AI286" i="128"/>
  <c r="AH286" i="128"/>
  <c r="AF286" i="128"/>
  <c r="AD286" i="128"/>
  <c r="AC286" i="128"/>
  <c r="AB286" i="128"/>
  <c r="AA286" i="128"/>
  <c r="Z286" i="128"/>
  <c r="Y286" i="128"/>
  <c r="X286" i="128"/>
  <c r="W286" i="128"/>
  <c r="V286" i="128"/>
  <c r="U286" i="128"/>
  <c r="T286" i="128"/>
  <c r="S286" i="128"/>
  <c r="M285" i="128"/>
  <c r="CT284" i="128"/>
  <c r="CS284" i="128"/>
  <c r="CR284" i="128"/>
  <c r="CQ284" i="128"/>
  <c r="CP284" i="128"/>
  <c r="CO284" i="128"/>
  <c r="CN284" i="128"/>
  <c r="CM284" i="128"/>
  <c r="CL284" i="128"/>
  <c r="CK284" i="128"/>
  <c r="CJ284" i="128"/>
  <c r="CI284" i="128"/>
  <c r="CH284" i="128"/>
  <c r="CG284" i="128"/>
  <c r="CF284" i="128"/>
  <c r="CE284" i="128"/>
  <c r="CD284" i="128"/>
  <c r="CC284" i="128"/>
  <c r="CB284" i="128"/>
  <c r="CA284" i="128"/>
  <c r="BZ284" i="128"/>
  <c r="BY284" i="128"/>
  <c r="BX284" i="128"/>
  <c r="BW284" i="128"/>
  <c r="BV284" i="128"/>
  <c r="BU284" i="128"/>
  <c r="BT284" i="128"/>
  <c r="BS284" i="128"/>
  <c r="BR284" i="128"/>
  <c r="BQ284" i="128"/>
  <c r="BP284" i="128"/>
  <c r="BN284" i="128"/>
  <c r="BM284" i="128"/>
  <c r="BL284" i="128"/>
  <c r="BK284" i="128"/>
  <c r="BJ284" i="128"/>
  <c r="BI284" i="128"/>
  <c r="BH284" i="128"/>
  <c r="BG284" i="128"/>
  <c r="BF284" i="128"/>
  <c r="BE284" i="128"/>
  <c r="BD284" i="128"/>
  <c r="BC284" i="128"/>
  <c r="BB284" i="128"/>
  <c r="AZ284" i="128"/>
  <c r="AY284" i="128"/>
  <c r="AX284" i="128"/>
  <c r="AW284" i="128"/>
  <c r="AV284" i="128"/>
  <c r="AU284" i="128"/>
  <c r="AT284" i="128"/>
  <c r="AS284" i="128"/>
  <c r="AR284" i="128"/>
  <c r="AQ284" i="128"/>
  <c r="AP284" i="128"/>
  <c r="AO284" i="128"/>
  <c r="AN284" i="128"/>
  <c r="AM284" i="128"/>
  <c r="AL284" i="128"/>
  <c r="AK284" i="128"/>
  <c r="AJ284" i="128"/>
  <c r="AI284" i="128"/>
  <c r="AH284" i="128"/>
  <c r="AF284" i="128"/>
  <c r="AD284" i="128"/>
  <c r="AC284" i="128"/>
  <c r="AB284" i="128"/>
  <c r="AA284" i="128"/>
  <c r="Z284" i="128"/>
  <c r="Y284" i="128"/>
  <c r="X284" i="128"/>
  <c r="W284" i="128"/>
  <c r="V284" i="128"/>
  <c r="U284" i="128"/>
  <c r="T284" i="128"/>
  <c r="S284" i="128"/>
  <c r="Q284" i="128"/>
  <c r="P284" i="128"/>
  <c r="M283" i="128"/>
  <c r="M284" i="128" s="1"/>
  <c r="CT282" i="128"/>
  <c r="CS282" i="128"/>
  <c r="CR282" i="128"/>
  <c r="CQ282" i="128"/>
  <c r="CP282" i="128"/>
  <c r="CO282" i="128"/>
  <c r="CN282" i="128"/>
  <c r="CM282" i="128"/>
  <c r="CL282" i="128"/>
  <c r="CK282" i="128"/>
  <c r="CJ282" i="128"/>
  <c r="CI282" i="128"/>
  <c r="CH282" i="128"/>
  <c r="CG282" i="128"/>
  <c r="CF282" i="128"/>
  <c r="CE282" i="128"/>
  <c r="CD282" i="128"/>
  <c r="CC282" i="128"/>
  <c r="CB282" i="128"/>
  <c r="CA282" i="128"/>
  <c r="BZ282" i="128"/>
  <c r="BY282" i="128"/>
  <c r="BX282" i="128"/>
  <c r="BW282" i="128"/>
  <c r="BV282" i="128"/>
  <c r="BU282" i="128"/>
  <c r="BT282" i="128"/>
  <c r="BS282" i="128"/>
  <c r="BR282" i="128"/>
  <c r="BQ282" i="128"/>
  <c r="BP282" i="128"/>
  <c r="BN282" i="128"/>
  <c r="BM282" i="128"/>
  <c r="BL282" i="128"/>
  <c r="BK282" i="128"/>
  <c r="BJ282" i="128"/>
  <c r="BI282" i="128"/>
  <c r="BH282" i="128"/>
  <c r="BG282" i="128"/>
  <c r="BF282" i="128"/>
  <c r="BE282" i="128"/>
  <c r="BD282" i="128"/>
  <c r="BC282" i="128"/>
  <c r="BB282" i="128"/>
  <c r="AZ282" i="128"/>
  <c r="AY282" i="128"/>
  <c r="AX282" i="128"/>
  <c r="AW282" i="128"/>
  <c r="AV282" i="128"/>
  <c r="AU282" i="128"/>
  <c r="AT282" i="128"/>
  <c r="AS282" i="128"/>
  <c r="AR282" i="128"/>
  <c r="AQ282" i="128"/>
  <c r="AP282" i="128"/>
  <c r="AO282" i="128"/>
  <c r="AN282" i="128"/>
  <c r="AM282" i="128"/>
  <c r="AL282" i="128"/>
  <c r="AK282" i="128"/>
  <c r="AJ282" i="128"/>
  <c r="AI282" i="128"/>
  <c r="AH282" i="128"/>
  <c r="AF282" i="128"/>
  <c r="AD282" i="128"/>
  <c r="AC282" i="128"/>
  <c r="AB282" i="128"/>
  <c r="AA282" i="128"/>
  <c r="Z282" i="128"/>
  <c r="Y282" i="128"/>
  <c r="X282" i="128"/>
  <c r="W282" i="128"/>
  <c r="V282" i="128"/>
  <c r="U282" i="128"/>
  <c r="T282" i="128"/>
  <c r="S282" i="128"/>
  <c r="M281" i="128"/>
  <c r="M282" i="128" s="1"/>
  <c r="CT280" i="128"/>
  <c r="CS280" i="128"/>
  <c r="CR280" i="128"/>
  <c r="CQ280" i="128"/>
  <c r="CP280" i="128"/>
  <c r="CO280" i="128"/>
  <c r="CN280" i="128"/>
  <c r="CM280" i="128"/>
  <c r="CL280" i="128"/>
  <c r="CK280" i="128"/>
  <c r="CJ280" i="128"/>
  <c r="CI280" i="128"/>
  <c r="CH280" i="128"/>
  <c r="CG280" i="128"/>
  <c r="CF280" i="128"/>
  <c r="CE280" i="128"/>
  <c r="CD280" i="128"/>
  <c r="CC280" i="128"/>
  <c r="CB280" i="128"/>
  <c r="CA280" i="128"/>
  <c r="BZ280" i="128"/>
  <c r="BX280" i="128"/>
  <c r="BW280" i="128"/>
  <c r="BV280" i="128"/>
  <c r="BU280" i="128"/>
  <c r="BT280" i="128"/>
  <c r="BS280" i="128"/>
  <c r="BR280" i="128"/>
  <c r="BQ280" i="128"/>
  <c r="BP280" i="128"/>
  <c r="BO280" i="128"/>
  <c r="BN280" i="128"/>
  <c r="BM280" i="128"/>
  <c r="BL280" i="128"/>
  <c r="BK280" i="128"/>
  <c r="BJ280" i="128"/>
  <c r="BI280" i="128"/>
  <c r="BH280" i="128"/>
  <c r="BG280" i="128"/>
  <c r="BF280" i="128"/>
  <c r="BE280" i="128"/>
  <c r="BD280" i="128"/>
  <c r="BC280" i="128"/>
  <c r="BB280" i="128"/>
  <c r="AZ280" i="128"/>
  <c r="AY280" i="128"/>
  <c r="AX280" i="128"/>
  <c r="AW280" i="128"/>
  <c r="AV280" i="128"/>
  <c r="AU280" i="128"/>
  <c r="AT280" i="128"/>
  <c r="AS280" i="128"/>
  <c r="AR280" i="128"/>
  <c r="AQ280" i="128"/>
  <c r="AP280" i="128"/>
  <c r="AO280" i="128"/>
  <c r="AN280" i="128"/>
  <c r="AM280" i="128"/>
  <c r="AL280" i="128"/>
  <c r="AK280" i="128"/>
  <c r="AJ280" i="128"/>
  <c r="AI280" i="128"/>
  <c r="AH280" i="128"/>
  <c r="AF280" i="128"/>
  <c r="AD280" i="128"/>
  <c r="AC280" i="128"/>
  <c r="AB280" i="128"/>
  <c r="AA280" i="128"/>
  <c r="Z280" i="128"/>
  <c r="Y280" i="128"/>
  <c r="X280" i="128"/>
  <c r="W280" i="128"/>
  <c r="V280" i="128"/>
  <c r="U280" i="128"/>
  <c r="T280" i="128"/>
  <c r="S280" i="128"/>
  <c r="M279" i="128"/>
  <c r="P279" i="128" s="1"/>
  <c r="CT278" i="128"/>
  <c r="CS278" i="128"/>
  <c r="CR278" i="128"/>
  <c r="CQ278" i="128"/>
  <c r="CP278" i="128"/>
  <c r="CO278" i="128"/>
  <c r="CN278" i="128"/>
  <c r="CM278" i="128"/>
  <c r="CL278" i="128"/>
  <c r="CK278" i="128"/>
  <c r="CJ278" i="128"/>
  <c r="CI278" i="128"/>
  <c r="CH278" i="128"/>
  <c r="CG278" i="128"/>
  <c r="CF278" i="128"/>
  <c r="CE278" i="128"/>
  <c r="CD278" i="128"/>
  <c r="CC278" i="128"/>
  <c r="CB278" i="128"/>
  <c r="CA278" i="128"/>
  <c r="BZ278" i="128"/>
  <c r="BY278" i="128"/>
  <c r="BX278" i="128"/>
  <c r="BV278" i="128"/>
  <c r="BU278" i="128"/>
  <c r="BT278" i="128"/>
  <c r="BS278" i="128"/>
  <c r="BR278" i="128"/>
  <c r="BQ278" i="128"/>
  <c r="BP278" i="128"/>
  <c r="BO278" i="128"/>
  <c r="BN278" i="128"/>
  <c r="BM278" i="128"/>
  <c r="BL278" i="128"/>
  <c r="BK278" i="128"/>
  <c r="BJ278" i="128"/>
  <c r="BI278" i="128"/>
  <c r="BH278" i="128"/>
  <c r="BG278" i="128"/>
  <c r="BF278" i="128"/>
  <c r="BE278" i="128"/>
  <c r="BD278" i="128"/>
  <c r="BC278" i="128"/>
  <c r="BB278" i="128"/>
  <c r="AZ278" i="128"/>
  <c r="AY278" i="128"/>
  <c r="AX278" i="128"/>
  <c r="AW278" i="128"/>
  <c r="AV278" i="128"/>
  <c r="AU278" i="128"/>
  <c r="AT278" i="128"/>
  <c r="AS278" i="128"/>
  <c r="AR278" i="128"/>
  <c r="AQ278" i="128"/>
  <c r="AP278" i="128"/>
  <c r="AO278" i="128"/>
  <c r="AN278" i="128"/>
  <c r="AM278" i="128"/>
  <c r="AL278" i="128"/>
  <c r="AK278" i="128"/>
  <c r="AJ278" i="128"/>
  <c r="AI278" i="128"/>
  <c r="AH278" i="128"/>
  <c r="AF278" i="128"/>
  <c r="AD278" i="128"/>
  <c r="AC278" i="128"/>
  <c r="AB278" i="128"/>
  <c r="AA278" i="128"/>
  <c r="Z278" i="128"/>
  <c r="Y278" i="128"/>
  <c r="X278" i="128"/>
  <c r="W278" i="128"/>
  <c r="V278" i="128"/>
  <c r="U278" i="128"/>
  <c r="T278" i="128"/>
  <c r="S278" i="128"/>
  <c r="M277" i="128"/>
  <c r="P277" i="128" s="1"/>
  <c r="M276" i="128"/>
  <c r="M275" i="128"/>
  <c r="CT274" i="128"/>
  <c r="CS274" i="128"/>
  <c r="CR274" i="128"/>
  <c r="CQ274" i="128"/>
  <c r="CP274" i="128"/>
  <c r="CO274" i="128"/>
  <c r="CN274" i="128"/>
  <c r="CM274" i="128"/>
  <c r="CL274" i="128"/>
  <c r="CK274" i="128"/>
  <c r="CJ274" i="128"/>
  <c r="CI274" i="128"/>
  <c r="CH274" i="128"/>
  <c r="CG274" i="128"/>
  <c r="CF274" i="128"/>
  <c r="CE274" i="128"/>
  <c r="CD274" i="128"/>
  <c r="CC274" i="128"/>
  <c r="CB274" i="128"/>
  <c r="CA274" i="128"/>
  <c r="BZ274" i="128"/>
  <c r="BY274" i="128"/>
  <c r="BX274" i="128"/>
  <c r="BW274" i="128"/>
  <c r="BV274" i="128"/>
  <c r="BU274" i="128"/>
  <c r="BT274" i="128"/>
  <c r="BS274" i="128"/>
  <c r="BR274" i="128"/>
  <c r="BQ274" i="128"/>
  <c r="BP274" i="128"/>
  <c r="BO274" i="128"/>
  <c r="BN274" i="128"/>
  <c r="BM274" i="128"/>
  <c r="BL274" i="128"/>
  <c r="BK274" i="128"/>
  <c r="BJ274" i="128"/>
  <c r="BI274" i="128"/>
  <c r="BH274" i="128"/>
  <c r="BG274" i="128"/>
  <c r="BF274" i="128"/>
  <c r="BE274" i="128"/>
  <c r="BD274" i="128"/>
  <c r="BC274" i="128"/>
  <c r="BB274" i="128"/>
  <c r="AZ274" i="128"/>
  <c r="AY274" i="128"/>
  <c r="AX274" i="128"/>
  <c r="AV274" i="128"/>
  <c r="AU274" i="128"/>
  <c r="AT274" i="128"/>
  <c r="AS274" i="128"/>
  <c r="AR274" i="128"/>
  <c r="AQ274" i="128"/>
  <c r="AP274" i="128"/>
  <c r="AO274" i="128"/>
  <c r="AN274" i="128"/>
  <c r="AM274" i="128"/>
  <c r="AL274" i="128"/>
  <c r="AK274" i="128"/>
  <c r="AJ274" i="128"/>
  <c r="AI274" i="128"/>
  <c r="AH274" i="128"/>
  <c r="AF274" i="128"/>
  <c r="AD274" i="128"/>
  <c r="AC274" i="128"/>
  <c r="AB274" i="128"/>
  <c r="AA274" i="128"/>
  <c r="Z274" i="128"/>
  <c r="Y274" i="128"/>
  <c r="X274" i="128"/>
  <c r="W274" i="128"/>
  <c r="V274" i="128"/>
  <c r="U274" i="128"/>
  <c r="T274" i="128"/>
  <c r="S274" i="128"/>
  <c r="M273" i="128"/>
  <c r="M274" i="128" s="1"/>
  <c r="CT272" i="128"/>
  <c r="CS272" i="128"/>
  <c r="CR272" i="128"/>
  <c r="CQ272" i="128"/>
  <c r="CP272" i="128"/>
  <c r="CO272" i="128"/>
  <c r="CN272" i="128"/>
  <c r="CM272" i="128"/>
  <c r="CL272" i="128"/>
  <c r="CK272" i="128"/>
  <c r="CJ272" i="128"/>
  <c r="CI272" i="128"/>
  <c r="CH272" i="128"/>
  <c r="CG272" i="128"/>
  <c r="CF272" i="128"/>
  <c r="CE272" i="128"/>
  <c r="CD272" i="128"/>
  <c r="CC272" i="128"/>
  <c r="CB272" i="128"/>
  <c r="CA272" i="128"/>
  <c r="BZ272" i="128"/>
  <c r="BY272" i="128"/>
  <c r="BX272" i="128"/>
  <c r="BW272" i="128"/>
  <c r="BV272" i="128"/>
  <c r="BU272" i="128"/>
  <c r="BT272" i="128"/>
  <c r="BS272" i="128"/>
  <c r="BR272" i="128"/>
  <c r="BQ272" i="128"/>
  <c r="BP272" i="128"/>
  <c r="BO272" i="128"/>
  <c r="BN272" i="128"/>
  <c r="BM272" i="128"/>
  <c r="BL272" i="128"/>
  <c r="BK272" i="128"/>
  <c r="BJ272" i="128"/>
  <c r="BI272" i="128"/>
  <c r="BH272" i="128"/>
  <c r="BG272" i="128"/>
  <c r="BF272" i="128"/>
  <c r="BE272" i="128"/>
  <c r="BD272" i="128"/>
  <c r="BC272" i="128"/>
  <c r="BB272" i="128"/>
  <c r="AZ272" i="128"/>
  <c r="AY272" i="128"/>
  <c r="AX272" i="128"/>
  <c r="AV272" i="128"/>
  <c r="AU272" i="128"/>
  <c r="AT272" i="128"/>
  <c r="AS272" i="128"/>
  <c r="AR272" i="128"/>
  <c r="AQ272" i="128"/>
  <c r="AP272" i="128"/>
  <c r="AO272" i="128"/>
  <c r="AN272" i="128"/>
  <c r="AM272" i="128"/>
  <c r="AL272" i="128"/>
  <c r="AK272" i="128"/>
  <c r="AJ272" i="128"/>
  <c r="AI272" i="128"/>
  <c r="AH272" i="128"/>
  <c r="AF272" i="128"/>
  <c r="AD272" i="128"/>
  <c r="AC272" i="128"/>
  <c r="AB272" i="128"/>
  <c r="AA272" i="128"/>
  <c r="Z272" i="128"/>
  <c r="Y272" i="128"/>
  <c r="X272" i="128"/>
  <c r="W272" i="128"/>
  <c r="V272" i="128"/>
  <c r="U272" i="128"/>
  <c r="T272" i="128"/>
  <c r="S272" i="128"/>
  <c r="M271" i="128"/>
  <c r="P271" i="128" s="1"/>
  <c r="CT270" i="128"/>
  <c r="CS270" i="128"/>
  <c r="CR270" i="128"/>
  <c r="CQ270" i="128"/>
  <c r="CP270" i="128"/>
  <c r="CO270" i="128"/>
  <c r="CN270" i="128"/>
  <c r="CM270" i="128"/>
  <c r="CL270" i="128"/>
  <c r="CK270" i="128"/>
  <c r="CJ270" i="128"/>
  <c r="CI270" i="128"/>
  <c r="CH270" i="128"/>
  <c r="CG270" i="128"/>
  <c r="CF270" i="128"/>
  <c r="CE270" i="128"/>
  <c r="CD270" i="128"/>
  <c r="CC270" i="128"/>
  <c r="CB270" i="128"/>
  <c r="CA270" i="128"/>
  <c r="BZ270" i="128"/>
  <c r="BY270" i="128"/>
  <c r="BX270" i="128"/>
  <c r="BW270" i="128"/>
  <c r="BV270" i="128"/>
  <c r="BU270" i="128"/>
  <c r="BT270" i="128"/>
  <c r="BS270" i="128"/>
  <c r="BR270" i="128"/>
  <c r="BQ270" i="128"/>
  <c r="BP270" i="128"/>
  <c r="BO270" i="128"/>
  <c r="BN270" i="128"/>
  <c r="BM270" i="128"/>
  <c r="BL270" i="128"/>
  <c r="BK270" i="128"/>
  <c r="BJ270" i="128"/>
  <c r="BI270" i="128"/>
  <c r="BH270" i="128"/>
  <c r="BG270" i="128"/>
  <c r="BF270" i="128"/>
  <c r="BE270" i="128"/>
  <c r="BD270" i="128"/>
  <c r="BC270" i="128"/>
  <c r="BB270" i="128"/>
  <c r="AZ270" i="128"/>
  <c r="AY270" i="128"/>
  <c r="AX270" i="128"/>
  <c r="AV270" i="128"/>
  <c r="AU270" i="128"/>
  <c r="AT270" i="128"/>
  <c r="AS270" i="128"/>
  <c r="AR270" i="128"/>
  <c r="AQ270" i="128"/>
  <c r="AP270" i="128"/>
  <c r="AO270" i="128"/>
  <c r="AN270" i="128"/>
  <c r="AM270" i="128"/>
  <c r="AL270" i="128"/>
  <c r="AK270" i="128"/>
  <c r="AJ270" i="128"/>
  <c r="AI270" i="128"/>
  <c r="AH270" i="128"/>
  <c r="AF270" i="128"/>
  <c r="AD270" i="128"/>
  <c r="AC270" i="128"/>
  <c r="AB270" i="128"/>
  <c r="AA270" i="128"/>
  <c r="Z270" i="128"/>
  <c r="Y270" i="128"/>
  <c r="X270" i="128"/>
  <c r="W270" i="128"/>
  <c r="V270" i="128"/>
  <c r="U270" i="128"/>
  <c r="T270" i="128"/>
  <c r="S270" i="128"/>
  <c r="M269" i="128"/>
  <c r="P269" i="128" s="1"/>
  <c r="CT268" i="128"/>
  <c r="CS268" i="128"/>
  <c r="CR268" i="128"/>
  <c r="CQ268" i="128"/>
  <c r="CP268" i="128"/>
  <c r="CO268" i="128"/>
  <c r="CN268" i="128"/>
  <c r="CM268" i="128"/>
  <c r="CL268" i="128"/>
  <c r="CK268" i="128"/>
  <c r="CJ268" i="128"/>
  <c r="CI268" i="128"/>
  <c r="CH268" i="128"/>
  <c r="CG268" i="128"/>
  <c r="CF268" i="128"/>
  <c r="CE268" i="128"/>
  <c r="CD268" i="128"/>
  <c r="CC268" i="128"/>
  <c r="CB268" i="128"/>
  <c r="CA268" i="128"/>
  <c r="BZ268" i="128"/>
  <c r="BY268" i="128"/>
  <c r="BX268" i="128"/>
  <c r="BW268" i="128"/>
  <c r="BV268" i="128"/>
  <c r="BU268" i="128"/>
  <c r="BT268" i="128"/>
  <c r="BS268" i="128"/>
  <c r="BR268" i="128"/>
  <c r="BQ268" i="128"/>
  <c r="BP268" i="128"/>
  <c r="BO268" i="128"/>
  <c r="BN268" i="128"/>
  <c r="BM268" i="128"/>
  <c r="BL268" i="128"/>
  <c r="BK268" i="128"/>
  <c r="BJ268" i="128"/>
  <c r="BI268" i="128"/>
  <c r="BH268" i="128"/>
  <c r="BG268" i="128"/>
  <c r="BF268" i="128"/>
  <c r="BE268" i="128"/>
  <c r="BD268" i="128"/>
  <c r="BC268" i="128"/>
  <c r="BB268" i="128"/>
  <c r="AZ268" i="128"/>
  <c r="AY268" i="128"/>
  <c r="AX268" i="128"/>
  <c r="AW268" i="128"/>
  <c r="AV268" i="128"/>
  <c r="AU268" i="128"/>
  <c r="AT268" i="128"/>
  <c r="AS268" i="128"/>
  <c r="AR268" i="128"/>
  <c r="AQ268" i="128"/>
  <c r="AP268" i="128"/>
  <c r="AO268" i="128"/>
  <c r="AN268" i="128"/>
  <c r="AM268" i="128"/>
  <c r="AL268" i="128"/>
  <c r="AK268" i="128"/>
  <c r="AJ268" i="128"/>
  <c r="AI268" i="128"/>
  <c r="AH268" i="128"/>
  <c r="AF268" i="128"/>
  <c r="AD268" i="128"/>
  <c r="AC268" i="128"/>
  <c r="AB268" i="128"/>
  <c r="AA268" i="128"/>
  <c r="Z268" i="128"/>
  <c r="Y268" i="128"/>
  <c r="X268" i="128"/>
  <c r="W268" i="128"/>
  <c r="V268" i="128"/>
  <c r="U268" i="128"/>
  <c r="T268" i="128"/>
  <c r="S268" i="128"/>
  <c r="M267" i="128"/>
  <c r="M268" i="128" s="1"/>
  <c r="CT266" i="128"/>
  <c r="CS266" i="128"/>
  <c r="CR266" i="128"/>
  <c r="CQ266" i="128"/>
  <c r="CP266" i="128"/>
  <c r="CO266" i="128"/>
  <c r="CN266" i="128"/>
  <c r="CM266" i="128"/>
  <c r="CL266" i="128"/>
  <c r="CK266" i="128"/>
  <c r="CJ266" i="128"/>
  <c r="CI266" i="128"/>
  <c r="CH266" i="128"/>
  <c r="CG266" i="128"/>
  <c r="CF266" i="128"/>
  <c r="CE266" i="128"/>
  <c r="CD266" i="128"/>
  <c r="CC266" i="128"/>
  <c r="CB266" i="128"/>
  <c r="CA266" i="128"/>
  <c r="BZ266" i="128"/>
  <c r="BY266" i="128"/>
  <c r="BX266" i="128"/>
  <c r="BW266" i="128"/>
  <c r="BV266" i="128"/>
  <c r="BU266" i="128"/>
  <c r="BT266" i="128"/>
  <c r="BS266" i="128"/>
  <c r="BR266" i="128"/>
  <c r="BQ266" i="128"/>
  <c r="BP266" i="128"/>
  <c r="BO266" i="128"/>
  <c r="BN266" i="128"/>
  <c r="BM266" i="128"/>
  <c r="BL266" i="128"/>
  <c r="BK266" i="128"/>
  <c r="BJ266" i="128"/>
  <c r="BI266" i="128"/>
  <c r="BH266" i="128"/>
  <c r="BG266" i="128"/>
  <c r="BF266" i="128"/>
  <c r="BE266" i="128"/>
  <c r="BD266" i="128"/>
  <c r="BC266" i="128"/>
  <c r="BB266" i="128"/>
  <c r="AZ266" i="128"/>
  <c r="AY266" i="128"/>
  <c r="AX266" i="128"/>
  <c r="AV266" i="128"/>
  <c r="AU266" i="128"/>
  <c r="AT266" i="128"/>
  <c r="AS266" i="128"/>
  <c r="AR266" i="128"/>
  <c r="AQ266" i="128"/>
  <c r="AP266" i="128"/>
  <c r="AO266" i="128"/>
  <c r="AN266" i="128"/>
  <c r="AM266" i="128"/>
  <c r="AL266" i="128"/>
  <c r="AK266" i="128"/>
  <c r="AJ266" i="128"/>
  <c r="AI266" i="128"/>
  <c r="AH266" i="128"/>
  <c r="AF266" i="128"/>
  <c r="AD266" i="128"/>
  <c r="AC266" i="128"/>
  <c r="AB266" i="128"/>
  <c r="AA266" i="128"/>
  <c r="Z266" i="128"/>
  <c r="Y266" i="128"/>
  <c r="X266" i="128"/>
  <c r="W266" i="128"/>
  <c r="V266" i="128"/>
  <c r="U266" i="128"/>
  <c r="T266" i="128"/>
  <c r="S266" i="128"/>
  <c r="M265" i="128"/>
  <c r="M266" i="128" s="1"/>
  <c r="CT264" i="128"/>
  <c r="CS264" i="128"/>
  <c r="CR264" i="128"/>
  <c r="CQ264" i="128"/>
  <c r="CP264" i="128"/>
  <c r="CO264" i="128"/>
  <c r="CN264" i="128"/>
  <c r="CM264" i="128"/>
  <c r="CL264" i="128"/>
  <c r="CK264" i="128"/>
  <c r="CJ264" i="128"/>
  <c r="CI264" i="128"/>
  <c r="CH264" i="128"/>
  <c r="CG264" i="128"/>
  <c r="CF264" i="128"/>
  <c r="CE264" i="128"/>
  <c r="CD264" i="128"/>
  <c r="CC264" i="128"/>
  <c r="CB264" i="128"/>
  <c r="CA264" i="128"/>
  <c r="BZ264" i="128"/>
  <c r="BX264" i="128"/>
  <c r="BW264" i="128"/>
  <c r="BV264" i="128"/>
  <c r="BU264" i="128"/>
  <c r="BT264" i="128"/>
  <c r="BS264" i="128"/>
  <c r="BR264" i="128"/>
  <c r="BQ264" i="128"/>
  <c r="BP264" i="128"/>
  <c r="BO264" i="128"/>
  <c r="BN264" i="128"/>
  <c r="BM264" i="128"/>
  <c r="BL264" i="128"/>
  <c r="BK264" i="128"/>
  <c r="BJ264" i="128"/>
  <c r="BI264" i="128"/>
  <c r="BH264" i="128"/>
  <c r="BG264" i="128"/>
  <c r="BF264" i="128"/>
  <c r="BE264" i="128"/>
  <c r="BD264" i="128"/>
  <c r="BC264" i="128"/>
  <c r="BB264" i="128"/>
  <c r="AZ264" i="128"/>
  <c r="AY264" i="128"/>
  <c r="AX264" i="128"/>
  <c r="AW264" i="128"/>
  <c r="AV264" i="128"/>
  <c r="AU264" i="128"/>
  <c r="AT264" i="128"/>
  <c r="AS264" i="128"/>
  <c r="AR264" i="128"/>
  <c r="AQ264" i="128"/>
  <c r="AP264" i="128"/>
  <c r="AO264" i="128"/>
  <c r="AN264" i="128"/>
  <c r="AM264" i="128"/>
  <c r="AL264" i="128"/>
  <c r="AK264" i="128"/>
  <c r="AJ264" i="128"/>
  <c r="AI264" i="128"/>
  <c r="AH264" i="128"/>
  <c r="AF264" i="128"/>
  <c r="AD264" i="128"/>
  <c r="AC264" i="128"/>
  <c r="AB264" i="128"/>
  <c r="AA264" i="128"/>
  <c r="Z264" i="128"/>
  <c r="Y264" i="128"/>
  <c r="X264" i="128"/>
  <c r="W264" i="128"/>
  <c r="V264" i="128"/>
  <c r="U264" i="128"/>
  <c r="T264" i="128"/>
  <c r="S264" i="128"/>
  <c r="M263" i="128"/>
  <c r="M264" i="128" s="1"/>
  <c r="N264" i="128" s="1"/>
  <c r="CT262" i="128"/>
  <c r="CS262" i="128"/>
  <c r="CR262" i="128"/>
  <c r="CQ262" i="128"/>
  <c r="CP262" i="128"/>
  <c r="CO262" i="128"/>
  <c r="CN262" i="128"/>
  <c r="CM262" i="128"/>
  <c r="CL262" i="128"/>
  <c r="CK262" i="128"/>
  <c r="CJ262" i="128"/>
  <c r="CI262" i="128"/>
  <c r="CH262" i="128"/>
  <c r="CG262" i="128"/>
  <c r="CF262" i="128"/>
  <c r="CE262" i="128"/>
  <c r="CD262" i="128"/>
  <c r="CC262" i="128"/>
  <c r="CB262" i="128"/>
  <c r="CA262" i="128"/>
  <c r="BZ262" i="128"/>
  <c r="BY262" i="128"/>
  <c r="BX262" i="128"/>
  <c r="BW262" i="128"/>
  <c r="BV262" i="128"/>
  <c r="BU262" i="128"/>
  <c r="BT262" i="128"/>
  <c r="BS262" i="128"/>
  <c r="BR262" i="128"/>
  <c r="BQ262" i="128"/>
  <c r="BP262" i="128"/>
  <c r="BO262" i="128"/>
  <c r="BN262" i="128"/>
  <c r="BM262" i="128"/>
  <c r="BL262" i="128"/>
  <c r="BK262" i="128"/>
  <c r="BJ262" i="128"/>
  <c r="BI262" i="128"/>
  <c r="BH262" i="128"/>
  <c r="BG262" i="128"/>
  <c r="BF262" i="128"/>
  <c r="BE262" i="128"/>
  <c r="BD262" i="128"/>
  <c r="BC262" i="128"/>
  <c r="AZ262" i="128"/>
  <c r="AY262" i="128"/>
  <c r="AX262" i="128"/>
  <c r="AW262" i="128"/>
  <c r="AV262" i="128"/>
  <c r="AU262" i="128"/>
  <c r="AT262" i="128"/>
  <c r="AS262" i="128"/>
  <c r="AR262" i="128"/>
  <c r="AQ262" i="128"/>
  <c r="AP262" i="128"/>
  <c r="AO262" i="128"/>
  <c r="AN262" i="128"/>
  <c r="AM262" i="128"/>
  <c r="AL262" i="128"/>
  <c r="AK262" i="128"/>
  <c r="AJ262" i="128"/>
  <c r="AI262" i="128"/>
  <c r="AH262" i="128"/>
  <c r="AF262" i="128"/>
  <c r="AD262" i="128"/>
  <c r="AC262" i="128"/>
  <c r="AB262" i="128"/>
  <c r="AA262" i="128"/>
  <c r="Z262" i="128"/>
  <c r="Y262" i="128"/>
  <c r="X262" i="128"/>
  <c r="W262" i="128"/>
  <c r="V262" i="128"/>
  <c r="U262" i="128"/>
  <c r="T262" i="128"/>
  <c r="S262" i="128"/>
  <c r="M261" i="128"/>
  <c r="BB261" i="128" s="1"/>
  <c r="CT260" i="128"/>
  <c r="CS260" i="128"/>
  <c r="CR260" i="128"/>
  <c r="CQ260" i="128"/>
  <c r="CP260" i="128"/>
  <c r="CO260" i="128"/>
  <c r="CN260" i="128"/>
  <c r="CM260" i="128"/>
  <c r="CL260" i="128"/>
  <c r="CK260" i="128"/>
  <c r="CJ260" i="128"/>
  <c r="CH260" i="128"/>
  <c r="CG260" i="128"/>
  <c r="CF260" i="128"/>
  <c r="CE260" i="128"/>
  <c r="CD260" i="128"/>
  <c r="CC260" i="128"/>
  <c r="CB260" i="128"/>
  <c r="CA260" i="128"/>
  <c r="BZ260" i="128"/>
  <c r="BY260" i="128"/>
  <c r="BX260" i="128"/>
  <c r="BW260" i="128"/>
  <c r="BV260" i="128"/>
  <c r="BU260" i="128"/>
  <c r="BT260" i="128"/>
  <c r="BS260" i="128"/>
  <c r="BR260" i="128"/>
  <c r="BQ260" i="128"/>
  <c r="BP260" i="128"/>
  <c r="BO260" i="128"/>
  <c r="BN260" i="128"/>
  <c r="BM260" i="128"/>
  <c r="BL260" i="128"/>
  <c r="BK260" i="128"/>
  <c r="BJ260" i="128"/>
  <c r="BI260" i="128"/>
  <c r="BH260" i="128"/>
  <c r="BG260" i="128"/>
  <c r="BF260" i="128"/>
  <c r="BE260" i="128"/>
  <c r="BD260" i="128"/>
  <c r="BC260" i="128"/>
  <c r="BB260" i="128"/>
  <c r="AZ260" i="128"/>
  <c r="AY260" i="128"/>
  <c r="AX260" i="128"/>
  <c r="AW260" i="128"/>
  <c r="AV260" i="128"/>
  <c r="AU260" i="128"/>
  <c r="AT260" i="128"/>
  <c r="AS260" i="128"/>
  <c r="AR260" i="128"/>
  <c r="AQ260" i="128"/>
  <c r="AP260" i="128"/>
  <c r="AO260" i="128"/>
  <c r="AN260" i="128"/>
  <c r="AM260" i="128"/>
  <c r="AL260" i="128"/>
  <c r="AK260" i="128"/>
  <c r="AJ260" i="128"/>
  <c r="AI260" i="128"/>
  <c r="AH260" i="128"/>
  <c r="AF260" i="128"/>
  <c r="AD260" i="128"/>
  <c r="AC260" i="128"/>
  <c r="AB260" i="128"/>
  <c r="AA260" i="128"/>
  <c r="Z260" i="128"/>
  <c r="Y260" i="128"/>
  <c r="X260" i="128"/>
  <c r="W260" i="128"/>
  <c r="V260" i="128"/>
  <c r="U260" i="128"/>
  <c r="T260" i="128"/>
  <c r="S260" i="128"/>
  <c r="M259" i="128"/>
  <c r="M260" i="128" s="1"/>
  <c r="N260" i="128" s="1"/>
  <c r="CT258" i="128"/>
  <c r="CS258" i="128"/>
  <c r="CR258" i="128"/>
  <c r="CQ258" i="128"/>
  <c r="CP258" i="128"/>
  <c r="CO258" i="128"/>
  <c r="CN258" i="128"/>
  <c r="CM258" i="128"/>
  <c r="CL258" i="128"/>
  <c r="CK258" i="128"/>
  <c r="CJ258" i="128"/>
  <c r="CI258" i="128"/>
  <c r="CH258" i="128"/>
  <c r="CG258" i="128"/>
  <c r="CF258" i="128"/>
  <c r="CE258" i="128"/>
  <c r="CD258" i="128"/>
  <c r="CC258" i="128"/>
  <c r="CB258" i="128"/>
  <c r="CA258" i="128"/>
  <c r="BZ258" i="128"/>
  <c r="BY258" i="128"/>
  <c r="BX258" i="128"/>
  <c r="BW258" i="128"/>
  <c r="BV258" i="128"/>
  <c r="BU258" i="128"/>
  <c r="BT258" i="128"/>
  <c r="BR258" i="128"/>
  <c r="BQ258" i="128"/>
  <c r="BP258" i="128"/>
  <c r="BO258" i="128"/>
  <c r="BN258" i="128"/>
  <c r="BM258" i="128"/>
  <c r="BL258" i="128"/>
  <c r="BK258" i="128"/>
  <c r="BJ258" i="128"/>
  <c r="BI258" i="128"/>
  <c r="BH258" i="128"/>
  <c r="BG258" i="128"/>
  <c r="BF258" i="128"/>
  <c r="BE258" i="128"/>
  <c r="BD258" i="128"/>
  <c r="BC258" i="128"/>
  <c r="BB258" i="128"/>
  <c r="AZ258" i="128"/>
  <c r="AY258" i="128"/>
  <c r="AX258" i="128"/>
  <c r="AW258" i="128"/>
  <c r="AV258" i="128"/>
  <c r="AU258" i="128"/>
  <c r="AT258" i="128"/>
  <c r="AS258" i="128"/>
  <c r="AR258" i="128"/>
  <c r="AQ258" i="128"/>
  <c r="AP258" i="128"/>
  <c r="AO258" i="128"/>
  <c r="AN258" i="128"/>
  <c r="AM258" i="128"/>
  <c r="AL258" i="128"/>
  <c r="AK258" i="128"/>
  <c r="AJ258" i="128"/>
  <c r="AI258" i="128"/>
  <c r="AH258" i="128"/>
  <c r="AF258" i="128"/>
  <c r="AD258" i="128"/>
  <c r="AC258" i="128"/>
  <c r="AB258" i="128"/>
  <c r="AA258" i="128"/>
  <c r="Z258" i="128"/>
  <c r="Y258" i="128"/>
  <c r="X258" i="128"/>
  <c r="W258" i="128"/>
  <c r="V258" i="128"/>
  <c r="U258" i="128"/>
  <c r="T258" i="128"/>
  <c r="S258" i="128"/>
  <c r="M257" i="128"/>
  <c r="P257" i="128" s="1"/>
  <c r="CT256" i="128"/>
  <c r="CS256" i="128"/>
  <c r="CR256" i="128"/>
  <c r="CQ256" i="128"/>
  <c r="CP256" i="128"/>
  <c r="CO256" i="128"/>
  <c r="CN256" i="128"/>
  <c r="CF256" i="128"/>
  <c r="CE256" i="128"/>
  <c r="CD256" i="128"/>
  <c r="CC256" i="128"/>
  <c r="CB256" i="128"/>
  <c r="CA256" i="128"/>
  <c r="BZ256" i="128"/>
  <c r="BY256" i="128"/>
  <c r="BX256" i="128"/>
  <c r="BW256" i="128"/>
  <c r="BV256" i="128"/>
  <c r="BU256" i="128"/>
  <c r="BT256" i="128"/>
  <c r="BR256" i="128"/>
  <c r="BQ256" i="128"/>
  <c r="BP256" i="128"/>
  <c r="BO256" i="128"/>
  <c r="BN256" i="128"/>
  <c r="BM256" i="128"/>
  <c r="BL256" i="128"/>
  <c r="BK256" i="128"/>
  <c r="BJ256" i="128"/>
  <c r="BI256" i="128"/>
  <c r="BH256" i="128"/>
  <c r="BG256" i="128"/>
  <c r="BF256" i="128"/>
  <c r="BE256" i="128"/>
  <c r="BD256" i="128"/>
  <c r="BC256" i="128"/>
  <c r="BB256" i="128"/>
  <c r="AZ256" i="128"/>
  <c r="AY256" i="128"/>
  <c r="AX256" i="128"/>
  <c r="AW256" i="128"/>
  <c r="AV256" i="128"/>
  <c r="AU256" i="128"/>
  <c r="AT256" i="128"/>
  <c r="AS256" i="128"/>
  <c r="AR256" i="128"/>
  <c r="AQ256" i="128"/>
  <c r="AP256" i="128"/>
  <c r="AO256" i="128"/>
  <c r="AN256" i="128"/>
  <c r="AM256" i="128"/>
  <c r="AL256" i="128"/>
  <c r="AK256" i="128"/>
  <c r="AJ256" i="128"/>
  <c r="AI256" i="128"/>
  <c r="AH256" i="128"/>
  <c r="AF256" i="128"/>
  <c r="AD256" i="128"/>
  <c r="AC256" i="128"/>
  <c r="AB256" i="128"/>
  <c r="AA256" i="128"/>
  <c r="Z256" i="128"/>
  <c r="Y256" i="128"/>
  <c r="X256" i="128"/>
  <c r="W256" i="128"/>
  <c r="V256" i="128"/>
  <c r="U256" i="128"/>
  <c r="T256" i="128"/>
  <c r="S256" i="128"/>
  <c r="M255" i="128"/>
  <c r="Q255" i="128" s="1"/>
  <c r="CT254" i="128"/>
  <c r="CS254" i="128"/>
  <c r="CR254" i="128"/>
  <c r="CQ254" i="128"/>
  <c r="CP254" i="128"/>
  <c r="CO254" i="128"/>
  <c r="CN254" i="128"/>
  <c r="CM254" i="128"/>
  <c r="CL254" i="128"/>
  <c r="CK254" i="128"/>
  <c r="CJ254" i="128"/>
  <c r="CI254" i="128"/>
  <c r="CH254" i="128"/>
  <c r="CG254" i="128"/>
  <c r="CF254" i="128"/>
  <c r="CE254" i="128"/>
  <c r="CD254" i="128"/>
  <c r="CC254" i="128"/>
  <c r="CB254" i="128"/>
  <c r="CA254" i="128"/>
  <c r="BZ254" i="128"/>
  <c r="BY254" i="128"/>
  <c r="BX254" i="128"/>
  <c r="BW254" i="128"/>
  <c r="BV254" i="128"/>
  <c r="BU254" i="128"/>
  <c r="BT254" i="128"/>
  <c r="BS254" i="128"/>
  <c r="BR254" i="128"/>
  <c r="BQ254" i="128"/>
  <c r="BP254" i="128"/>
  <c r="BO254" i="128"/>
  <c r="BN254" i="128"/>
  <c r="BM254" i="128"/>
  <c r="BL254" i="128"/>
  <c r="BK254" i="128"/>
  <c r="BJ254" i="128"/>
  <c r="BI254" i="128"/>
  <c r="BH254" i="128"/>
  <c r="BG254" i="128"/>
  <c r="BF254" i="128"/>
  <c r="BE254" i="128"/>
  <c r="BD254" i="128"/>
  <c r="BC254" i="128"/>
  <c r="BB254" i="128"/>
  <c r="AZ254" i="128"/>
  <c r="AY254" i="128"/>
  <c r="AX254" i="128"/>
  <c r="AW254" i="128"/>
  <c r="AV254" i="128"/>
  <c r="AU254" i="128"/>
  <c r="AT254" i="128"/>
  <c r="AS254" i="128"/>
  <c r="AR254" i="128"/>
  <c r="AQ254" i="128"/>
  <c r="AP254" i="128"/>
  <c r="AO254" i="128"/>
  <c r="AN254" i="128"/>
  <c r="AM254" i="128"/>
  <c r="AL254" i="128"/>
  <c r="AK254" i="128"/>
  <c r="AJ254" i="128"/>
  <c r="AI254" i="128"/>
  <c r="AH254" i="128"/>
  <c r="AF254" i="128"/>
  <c r="AD254" i="128"/>
  <c r="AC254" i="128"/>
  <c r="AB254" i="128"/>
  <c r="AA254" i="128"/>
  <c r="Z254" i="128"/>
  <c r="Y254" i="128"/>
  <c r="X254" i="128"/>
  <c r="W254" i="128"/>
  <c r="V254" i="128"/>
  <c r="U254" i="128"/>
  <c r="T254" i="128"/>
  <c r="S254" i="128"/>
  <c r="M253" i="128"/>
  <c r="P253" i="128" s="1"/>
  <c r="M252" i="128"/>
  <c r="M251" i="128"/>
  <c r="P251" i="128" s="1"/>
  <c r="CT250" i="128"/>
  <c r="CS250" i="128"/>
  <c r="CR250" i="128"/>
  <c r="CQ250" i="128"/>
  <c r="CP250" i="128"/>
  <c r="CO250" i="128"/>
  <c r="CN250" i="128"/>
  <c r="CM250" i="128"/>
  <c r="CL250" i="128"/>
  <c r="CK250" i="128"/>
  <c r="CJ250" i="128"/>
  <c r="CI250" i="128"/>
  <c r="CH250" i="128"/>
  <c r="CG250" i="128"/>
  <c r="CF250" i="128"/>
  <c r="CE250" i="128"/>
  <c r="CD250" i="128"/>
  <c r="CC250" i="128"/>
  <c r="CB250" i="128"/>
  <c r="CA250" i="128"/>
  <c r="BZ250" i="128"/>
  <c r="BY250" i="128"/>
  <c r="BX250" i="128"/>
  <c r="BW250" i="128"/>
  <c r="BV250" i="128"/>
  <c r="BU250" i="128"/>
  <c r="BT250" i="128"/>
  <c r="BS250" i="128"/>
  <c r="BR250" i="128"/>
  <c r="BQ250" i="128"/>
  <c r="BP250" i="128"/>
  <c r="BO250" i="128"/>
  <c r="BN250" i="128"/>
  <c r="BM250" i="128"/>
  <c r="BL250" i="128"/>
  <c r="BK250" i="128"/>
  <c r="BJ250" i="128"/>
  <c r="BI250" i="128"/>
  <c r="BH250" i="128"/>
  <c r="BG250" i="128"/>
  <c r="BF250" i="128"/>
  <c r="BE250" i="128"/>
  <c r="BD250" i="128"/>
  <c r="BC250" i="128"/>
  <c r="BB250" i="128"/>
  <c r="AZ250" i="128"/>
  <c r="AY250" i="128"/>
  <c r="AX250" i="128"/>
  <c r="AV250" i="128"/>
  <c r="AU250" i="128"/>
  <c r="AT250" i="128"/>
  <c r="AS250" i="128"/>
  <c r="AR250" i="128"/>
  <c r="AQ250" i="128"/>
  <c r="AP250" i="128"/>
  <c r="AO250" i="128"/>
  <c r="AN250" i="128"/>
  <c r="AM250" i="128"/>
  <c r="AL250" i="128"/>
  <c r="AK250" i="128"/>
  <c r="AJ250" i="128"/>
  <c r="AI250" i="128"/>
  <c r="AH250" i="128"/>
  <c r="AF250" i="128"/>
  <c r="AD250" i="128"/>
  <c r="AC250" i="128"/>
  <c r="AB250" i="128"/>
  <c r="AA250" i="128"/>
  <c r="Z250" i="128"/>
  <c r="Y250" i="128"/>
  <c r="X250" i="128"/>
  <c r="W250" i="128"/>
  <c r="V250" i="128"/>
  <c r="U250" i="128"/>
  <c r="T250" i="128"/>
  <c r="S250" i="128"/>
  <c r="AW249" i="128"/>
  <c r="CU249" i="128" s="1"/>
  <c r="CV249" i="128" s="1"/>
  <c r="M249" i="128"/>
  <c r="M250" i="128" s="1"/>
  <c r="CT248" i="128"/>
  <c r="CS248" i="128"/>
  <c r="CR248" i="128"/>
  <c r="CQ248" i="128"/>
  <c r="CP248" i="128"/>
  <c r="CO248" i="128"/>
  <c r="CN248" i="128"/>
  <c r="CM248" i="128"/>
  <c r="CL248" i="128"/>
  <c r="CK248" i="128"/>
  <c r="CJ248" i="128"/>
  <c r="CI248" i="128"/>
  <c r="CH248" i="128"/>
  <c r="CG248" i="128"/>
  <c r="CF248" i="128"/>
  <c r="CE248" i="128"/>
  <c r="CD248" i="128"/>
  <c r="CC248" i="128"/>
  <c r="CB248" i="128"/>
  <c r="CA248" i="128"/>
  <c r="BZ248" i="128"/>
  <c r="BY248" i="128"/>
  <c r="BX248" i="128"/>
  <c r="BW248" i="128"/>
  <c r="BV248" i="128"/>
  <c r="BU248" i="128"/>
  <c r="BT248" i="128"/>
  <c r="BS248" i="128"/>
  <c r="BR248" i="128"/>
  <c r="BQ248" i="128"/>
  <c r="BP248" i="128"/>
  <c r="BO248" i="128"/>
  <c r="BN248" i="128"/>
  <c r="BM248" i="128"/>
  <c r="BL248" i="128"/>
  <c r="BK248" i="128"/>
  <c r="BJ248" i="128"/>
  <c r="BI248" i="128"/>
  <c r="BH248" i="128"/>
  <c r="BG248" i="128"/>
  <c r="BF248" i="128"/>
  <c r="BE248" i="128"/>
  <c r="BD248" i="128"/>
  <c r="BC248" i="128"/>
  <c r="BB248" i="128"/>
  <c r="AZ248" i="128"/>
  <c r="AY248" i="128"/>
  <c r="AX248" i="128"/>
  <c r="AW248" i="128"/>
  <c r="AV248" i="128"/>
  <c r="AU248" i="128"/>
  <c r="AT248" i="128"/>
  <c r="AS248" i="128"/>
  <c r="AR248" i="128"/>
  <c r="AQ248" i="128"/>
  <c r="AP248" i="128"/>
  <c r="AO248" i="128"/>
  <c r="AN248" i="128"/>
  <c r="AM248" i="128"/>
  <c r="AL248" i="128"/>
  <c r="AK248" i="128"/>
  <c r="AJ248" i="128"/>
  <c r="AI248" i="128"/>
  <c r="AH248" i="128"/>
  <c r="AF248" i="128"/>
  <c r="AD248" i="128"/>
  <c r="AC248" i="128"/>
  <c r="AB248" i="128"/>
  <c r="AA248" i="128"/>
  <c r="Z248" i="128"/>
  <c r="Y248" i="128"/>
  <c r="X248" i="128"/>
  <c r="W248" i="128"/>
  <c r="V248" i="128"/>
  <c r="U248" i="128"/>
  <c r="T248" i="128"/>
  <c r="S248" i="128"/>
  <c r="M247" i="128"/>
  <c r="R247" i="128" s="1"/>
  <c r="CT246" i="128"/>
  <c r="CS246" i="128"/>
  <c r="CR246" i="128"/>
  <c r="CQ246" i="128"/>
  <c r="CP246" i="128"/>
  <c r="CO246" i="128"/>
  <c r="CN246" i="128"/>
  <c r="CM246" i="128"/>
  <c r="CL246" i="128"/>
  <c r="CK246" i="128"/>
  <c r="CJ246" i="128"/>
  <c r="CI246" i="128"/>
  <c r="CH246" i="128"/>
  <c r="CG246" i="128"/>
  <c r="CF246" i="128"/>
  <c r="CE246" i="128"/>
  <c r="CD246" i="128"/>
  <c r="CC246" i="128"/>
  <c r="CB246" i="128"/>
  <c r="CA246" i="128"/>
  <c r="BZ246" i="128"/>
  <c r="BY246" i="128"/>
  <c r="BX246" i="128"/>
  <c r="BW246" i="128"/>
  <c r="BV246" i="128"/>
  <c r="BU246" i="128"/>
  <c r="BT246" i="128"/>
  <c r="BS246" i="128"/>
  <c r="BR246" i="128"/>
  <c r="BQ246" i="128"/>
  <c r="BP246" i="128"/>
  <c r="BO246" i="128"/>
  <c r="BN246" i="128"/>
  <c r="BM246" i="128"/>
  <c r="BL246" i="128"/>
  <c r="BK246" i="128"/>
  <c r="BJ246" i="128"/>
  <c r="BI246" i="128"/>
  <c r="BH246" i="128"/>
  <c r="BG246" i="128"/>
  <c r="BF246" i="128"/>
  <c r="BE246" i="128"/>
  <c r="BD246" i="128"/>
  <c r="BC246" i="128"/>
  <c r="BB246" i="128"/>
  <c r="AZ246" i="128"/>
  <c r="AY246" i="128"/>
  <c r="AX246" i="128"/>
  <c r="AW246" i="128"/>
  <c r="AV246" i="128"/>
  <c r="AU246" i="128"/>
  <c r="AT246" i="128"/>
  <c r="AS246" i="128"/>
  <c r="AR246" i="128"/>
  <c r="AQ246" i="128"/>
  <c r="AP246" i="128"/>
  <c r="AO246" i="128"/>
  <c r="AN246" i="128"/>
  <c r="AM246" i="128"/>
  <c r="AL246" i="128"/>
  <c r="AK246" i="128"/>
  <c r="AJ246" i="128"/>
  <c r="AI246" i="128"/>
  <c r="AH246" i="128"/>
  <c r="AF246" i="128"/>
  <c r="AD246" i="128"/>
  <c r="AC246" i="128"/>
  <c r="AB246" i="128"/>
  <c r="AA246" i="128"/>
  <c r="Z246" i="128"/>
  <c r="Y246" i="128"/>
  <c r="X246" i="128"/>
  <c r="W246" i="128"/>
  <c r="V246" i="128"/>
  <c r="U246" i="128"/>
  <c r="T246" i="128"/>
  <c r="S246" i="128"/>
  <c r="M245" i="128"/>
  <c r="P245" i="128" s="1"/>
  <c r="M244" i="128"/>
  <c r="P244" i="128" s="1"/>
  <c r="M243" i="128"/>
  <c r="Q243" i="128" s="1"/>
  <c r="M242" i="128"/>
  <c r="CT241" i="128"/>
  <c r="CS241" i="128"/>
  <c r="CR241" i="128"/>
  <c r="CQ241" i="128"/>
  <c r="CP241" i="128"/>
  <c r="CO241" i="128"/>
  <c r="CN241" i="128"/>
  <c r="CM241" i="128"/>
  <c r="CL241" i="128"/>
  <c r="CK241" i="128"/>
  <c r="CJ241" i="128"/>
  <c r="CI241" i="128"/>
  <c r="CH241" i="128"/>
  <c r="CG241" i="128"/>
  <c r="CF241" i="128"/>
  <c r="CE241" i="128"/>
  <c r="CD241" i="128"/>
  <c r="CC241" i="128"/>
  <c r="CB241" i="128"/>
  <c r="CA241" i="128"/>
  <c r="BZ241" i="128"/>
  <c r="BY241" i="128"/>
  <c r="BX241" i="128"/>
  <c r="BW241" i="128"/>
  <c r="BV241" i="128"/>
  <c r="BU241" i="128"/>
  <c r="BT241" i="128"/>
  <c r="BS241" i="128"/>
  <c r="BR241" i="128"/>
  <c r="BP241" i="128"/>
  <c r="BO241" i="128"/>
  <c r="BN241" i="128"/>
  <c r="BM241" i="128"/>
  <c r="BL241" i="128"/>
  <c r="BK241" i="128"/>
  <c r="BJ241" i="128"/>
  <c r="BI241" i="128"/>
  <c r="BH241" i="128"/>
  <c r="BG241" i="128"/>
  <c r="BF241" i="128"/>
  <c r="BE241" i="128"/>
  <c r="BD241" i="128"/>
  <c r="BC241" i="128"/>
  <c r="BB241" i="128"/>
  <c r="AZ241" i="128"/>
  <c r="AY241" i="128"/>
  <c r="AX241" i="128"/>
  <c r="AW241" i="128"/>
  <c r="AV241" i="128"/>
  <c r="AU241" i="128"/>
  <c r="AT241" i="128"/>
  <c r="AS241" i="128"/>
  <c r="AR241" i="128"/>
  <c r="AQ241" i="128"/>
  <c r="AP241" i="128"/>
  <c r="AO241" i="128"/>
  <c r="AN241" i="128"/>
  <c r="AM241" i="128"/>
  <c r="AL241" i="128"/>
  <c r="AK241" i="128"/>
  <c r="AJ241" i="128"/>
  <c r="AI241" i="128"/>
  <c r="AH241" i="128"/>
  <c r="AF241" i="128"/>
  <c r="AD241" i="128"/>
  <c r="AC241" i="128"/>
  <c r="AB241" i="128"/>
  <c r="AA241" i="128"/>
  <c r="Z241" i="128"/>
  <c r="Y241" i="128"/>
  <c r="X241" i="128"/>
  <c r="W241" i="128"/>
  <c r="V241" i="128"/>
  <c r="U241" i="128"/>
  <c r="T241" i="128"/>
  <c r="S241" i="128"/>
  <c r="M240" i="128"/>
  <c r="M241" i="128" s="1"/>
  <c r="N241" i="128" s="1"/>
  <c r="F10" i="261"/>
  <c r="F10" i="437"/>
  <c r="F10" i="436"/>
  <c r="F10" i="438"/>
  <c r="M5" i="438"/>
  <c r="M5" i="437"/>
  <c r="Q5" i="437" s="1"/>
  <c r="F10" i="435"/>
  <c r="B15" i="438"/>
  <c r="F13" i="438"/>
  <c r="F12" i="438"/>
  <c r="F11" i="438"/>
  <c r="A8" i="438"/>
  <c r="CV6" i="438"/>
  <c r="CU6" i="438"/>
  <c r="CT6" i="438"/>
  <c r="CS6" i="438"/>
  <c r="CR6" i="438"/>
  <c r="CQ6" i="438"/>
  <c r="CP6" i="438"/>
  <c r="CO6" i="438"/>
  <c r="CN6" i="438"/>
  <c r="CM6" i="438"/>
  <c r="CL6" i="438"/>
  <c r="CK6" i="438"/>
  <c r="CJ6" i="438"/>
  <c r="CI6" i="438"/>
  <c r="CH6" i="438"/>
  <c r="CG6" i="438"/>
  <c r="CF6" i="438"/>
  <c r="CE6" i="438"/>
  <c r="CD6" i="438"/>
  <c r="CC6" i="438"/>
  <c r="CB6" i="438"/>
  <c r="CA6" i="438"/>
  <c r="BZ6" i="438"/>
  <c r="BY6" i="438"/>
  <c r="BX6" i="438"/>
  <c r="BW6" i="438"/>
  <c r="BV6" i="438"/>
  <c r="BU6" i="438"/>
  <c r="BT6" i="438"/>
  <c r="BS6" i="438"/>
  <c r="BR6" i="438"/>
  <c r="BQ6" i="438"/>
  <c r="BP6" i="438"/>
  <c r="BN6" i="438"/>
  <c r="BM6" i="438"/>
  <c r="BL6" i="438"/>
  <c r="BK6" i="438"/>
  <c r="BJ6" i="438"/>
  <c r="BI6" i="438"/>
  <c r="BH6" i="438"/>
  <c r="BG6" i="438"/>
  <c r="BF6" i="438"/>
  <c r="BE6" i="438"/>
  <c r="BD6" i="438"/>
  <c r="BC6" i="438"/>
  <c r="BB6" i="438"/>
  <c r="AZ6" i="438"/>
  <c r="AY6" i="438"/>
  <c r="AX6" i="438"/>
  <c r="AW6" i="438"/>
  <c r="AV6" i="438"/>
  <c r="AU6" i="438"/>
  <c r="AT6" i="438"/>
  <c r="AS6" i="438"/>
  <c r="AR6" i="438"/>
  <c r="AQ6" i="438"/>
  <c r="AP6" i="438"/>
  <c r="AO6" i="438"/>
  <c r="AN6" i="438"/>
  <c r="AM6" i="438"/>
  <c r="AL6" i="438"/>
  <c r="AK6" i="438"/>
  <c r="AJ6" i="438"/>
  <c r="AI6" i="438"/>
  <c r="AH6" i="438"/>
  <c r="AF6" i="438"/>
  <c r="AD6" i="438"/>
  <c r="AC6" i="438"/>
  <c r="AB6" i="438"/>
  <c r="AA6" i="438"/>
  <c r="Z6" i="438"/>
  <c r="Y6" i="438"/>
  <c r="X6" i="438"/>
  <c r="W6" i="438"/>
  <c r="V6" i="438"/>
  <c r="U6" i="438"/>
  <c r="T6" i="438"/>
  <c r="S6" i="438"/>
  <c r="M6" i="438"/>
  <c r="B15" i="437"/>
  <c r="F13" i="437"/>
  <c r="F12" i="437"/>
  <c r="F11" i="437"/>
  <c r="A8" i="437"/>
  <c r="CV6" i="437"/>
  <c r="CU6" i="437"/>
  <c r="CT6" i="437"/>
  <c r="CS6" i="437"/>
  <c r="CR6" i="437"/>
  <c r="CQ6" i="437"/>
  <c r="CP6" i="437"/>
  <c r="CO6" i="437"/>
  <c r="CN6" i="437"/>
  <c r="CM6" i="437"/>
  <c r="CL6" i="437"/>
  <c r="CK6" i="437"/>
  <c r="CJ6" i="437"/>
  <c r="CI6" i="437"/>
  <c r="CH6" i="437"/>
  <c r="CG6" i="437"/>
  <c r="CF6" i="437"/>
  <c r="CE6" i="437"/>
  <c r="CD6" i="437"/>
  <c r="CC6" i="437"/>
  <c r="CB6" i="437"/>
  <c r="CA6" i="437"/>
  <c r="BZ6" i="437"/>
  <c r="BY6" i="437"/>
  <c r="BX6" i="437"/>
  <c r="BW6" i="437"/>
  <c r="BV6" i="437"/>
  <c r="BU6" i="437"/>
  <c r="BT6" i="437"/>
  <c r="BS6" i="437"/>
  <c r="BR6" i="437"/>
  <c r="BQ6" i="437"/>
  <c r="BP6" i="437"/>
  <c r="BN6" i="437"/>
  <c r="BM6" i="437"/>
  <c r="BL6" i="437"/>
  <c r="BK6" i="437"/>
  <c r="BJ6" i="437"/>
  <c r="BI6" i="437"/>
  <c r="BH6" i="437"/>
  <c r="BG6" i="437"/>
  <c r="BF6" i="437"/>
  <c r="BE6" i="437"/>
  <c r="BD6" i="437"/>
  <c r="BC6" i="437"/>
  <c r="BB6" i="437"/>
  <c r="AZ6" i="437"/>
  <c r="AY6" i="437"/>
  <c r="AX6" i="437"/>
  <c r="AW6" i="437"/>
  <c r="AV6" i="437"/>
  <c r="AU6" i="437"/>
  <c r="AT6" i="437"/>
  <c r="AS6" i="437"/>
  <c r="AR6" i="437"/>
  <c r="AQ6" i="437"/>
  <c r="AP6" i="437"/>
  <c r="AO6" i="437"/>
  <c r="AN6" i="437"/>
  <c r="AM6" i="437"/>
  <c r="AL6" i="437"/>
  <c r="AK6" i="437"/>
  <c r="AJ6" i="437"/>
  <c r="AI6" i="437"/>
  <c r="AH6" i="437"/>
  <c r="AF6" i="437"/>
  <c r="AD6" i="437"/>
  <c r="AC6" i="437"/>
  <c r="AB6" i="437"/>
  <c r="AA6" i="437"/>
  <c r="Z6" i="437"/>
  <c r="Y6" i="437"/>
  <c r="X6" i="437"/>
  <c r="W6" i="437"/>
  <c r="V6" i="437"/>
  <c r="U6" i="437"/>
  <c r="T6" i="437"/>
  <c r="S6" i="437"/>
  <c r="B15" i="436"/>
  <c r="F13" i="436"/>
  <c r="F12" i="436"/>
  <c r="F11" i="436"/>
  <c r="A8" i="436"/>
  <c r="CV6" i="436"/>
  <c r="CU6" i="436"/>
  <c r="CT6" i="436"/>
  <c r="CS6" i="436"/>
  <c r="CR6" i="436"/>
  <c r="CQ6" i="436"/>
  <c r="CP6" i="436"/>
  <c r="CO6" i="436"/>
  <c r="CN6" i="436"/>
  <c r="CM6" i="436"/>
  <c r="CL6" i="436"/>
  <c r="CK6" i="436"/>
  <c r="CJ6" i="436"/>
  <c r="CI6" i="436"/>
  <c r="CH6" i="436"/>
  <c r="CG6" i="436"/>
  <c r="CF6" i="436"/>
  <c r="CE6" i="436"/>
  <c r="CD6" i="436"/>
  <c r="CC6" i="436"/>
  <c r="CB6" i="436"/>
  <c r="CA6" i="436"/>
  <c r="BZ6" i="436"/>
  <c r="BY6" i="436"/>
  <c r="BX6" i="436"/>
  <c r="BW6" i="436"/>
  <c r="BV6" i="436"/>
  <c r="BU6" i="436"/>
  <c r="BT6" i="436"/>
  <c r="BS6" i="436"/>
  <c r="BR6" i="436"/>
  <c r="BQ6" i="436"/>
  <c r="BP6" i="436"/>
  <c r="BN6" i="436"/>
  <c r="BM6" i="436"/>
  <c r="BL6" i="436"/>
  <c r="BK6" i="436"/>
  <c r="BJ6" i="436"/>
  <c r="BI6" i="436"/>
  <c r="BH6" i="436"/>
  <c r="BG6" i="436"/>
  <c r="BF6" i="436"/>
  <c r="BE6" i="436"/>
  <c r="BD6" i="436"/>
  <c r="BC6" i="436"/>
  <c r="BB6" i="436"/>
  <c r="AZ6" i="436"/>
  <c r="AY6" i="436"/>
  <c r="AX6" i="436"/>
  <c r="AW6" i="436"/>
  <c r="AV6" i="436"/>
  <c r="AU6" i="436"/>
  <c r="AT6" i="436"/>
  <c r="AS6" i="436"/>
  <c r="AR6" i="436"/>
  <c r="AQ6" i="436"/>
  <c r="AP6" i="436"/>
  <c r="AO6" i="436"/>
  <c r="AN6" i="436"/>
  <c r="AM6" i="436"/>
  <c r="AL6" i="436"/>
  <c r="AK6" i="436"/>
  <c r="AJ6" i="436"/>
  <c r="AI6" i="436"/>
  <c r="AH6" i="436"/>
  <c r="AF6" i="436"/>
  <c r="AD6" i="436"/>
  <c r="AC6" i="436"/>
  <c r="AB6" i="436"/>
  <c r="AA6" i="436"/>
  <c r="Z6" i="436"/>
  <c r="Y6" i="436"/>
  <c r="X6" i="436"/>
  <c r="W6" i="436"/>
  <c r="V6" i="436"/>
  <c r="U6" i="436"/>
  <c r="T6" i="436"/>
  <c r="S6" i="436"/>
  <c r="M5" i="436"/>
  <c r="M6" i="436" s="1"/>
  <c r="B15" i="435"/>
  <c r="F13" i="435"/>
  <c r="F12" i="435"/>
  <c r="F11" i="435"/>
  <c r="A8" i="435"/>
  <c r="CV6" i="435"/>
  <c r="CU6" i="435"/>
  <c r="CT6" i="435"/>
  <c r="CS6" i="435"/>
  <c r="CR6" i="435"/>
  <c r="CQ6" i="435"/>
  <c r="CP6" i="435"/>
  <c r="CO6" i="435"/>
  <c r="CN6" i="435"/>
  <c r="CM6" i="435"/>
  <c r="CL6" i="435"/>
  <c r="CK6" i="435"/>
  <c r="CJ6" i="435"/>
  <c r="CI6" i="435"/>
  <c r="CH6" i="435"/>
  <c r="CG6" i="435"/>
  <c r="CF6" i="435"/>
  <c r="CE6" i="435"/>
  <c r="CD6" i="435"/>
  <c r="CC6" i="435"/>
  <c r="CB6" i="435"/>
  <c r="CA6" i="435"/>
  <c r="BZ6" i="435"/>
  <c r="BY6" i="435"/>
  <c r="BX6" i="435"/>
  <c r="BW6" i="435"/>
  <c r="BV6" i="435"/>
  <c r="BU6" i="435"/>
  <c r="BT6" i="435"/>
  <c r="BR6" i="435"/>
  <c r="BQ6" i="435"/>
  <c r="BP6" i="435"/>
  <c r="BO6" i="435"/>
  <c r="BN6" i="435"/>
  <c r="BM6" i="435"/>
  <c r="BL6" i="435"/>
  <c r="BK6" i="435"/>
  <c r="BJ6" i="435"/>
  <c r="BI6" i="435"/>
  <c r="BH6" i="435"/>
  <c r="BG6" i="435"/>
  <c r="BF6" i="435"/>
  <c r="BE6" i="435"/>
  <c r="BD6" i="435"/>
  <c r="BC6" i="435"/>
  <c r="BB6" i="435"/>
  <c r="AZ6" i="435"/>
  <c r="AY6" i="435"/>
  <c r="AX6" i="435"/>
  <c r="AW6" i="435"/>
  <c r="AV6" i="435"/>
  <c r="AU6" i="435"/>
  <c r="AT6" i="435"/>
  <c r="AS6" i="435"/>
  <c r="AR6" i="435"/>
  <c r="AQ6" i="435"/>
  <c r="AP6" i="435"/>
  <c r="AO6" i="435"/>
  <c r="AN6" i="435"/>
  <c r="AM6" i="435"/>
  <c r="AL6" i="435"/>
  <c r="AK6" i="435"/>
  <c r="AJ6" i="435"/>
  <c r="AI6" i="435"/>
  <c r="AH6" i="435"/>
  <c r="AF6" i="435"/>
  <c r="AD6" i="435"/>
  <c r="AC6" i="435"/>
  <c r="AB6" i="435"/>
  <c r="AA6" i="435"/>
  <c r="Z6" i="435"/>
  <c r="Y6" i="435"/>
  <c r="X6" i="435"/>
  <c r="W6" i="435"/>
  <c r="V6" i="435"/>
  <c r="U6" i="435"/>
  <c r="T6" i="435"/>
  <c r="S6" i="435"/>
  <c r="M5" i="435"/>
  <c r="Q5" i="435" s="1"/>
  <c r="Q6" i="435" s="1"/>
  <c r="D11" i="435" s="1"/>
  <c r="F11" i="433"/>
  <c r="F12" i="433"/>
  <c r="D12" i="433"/>
  <c r="M6" i="433"/>
  <c r="B17" i="433"/>
  <c r="F15" i="433"/>
  <c r="F14" i="433"/>
  <c r="F13" i="433"/>
  <c r="A9" i="433"/>
  <c r="CV7" i="433"/>
  <c r="CU7" i="433"/>
  <c r="CT7" i="433"/>
  <c r="CS7" i="433"/>
  <c r="CR7" i="433"/>
  <c r="CQ7" i="433"/>
  <c r="CP7" i="433"/>
  <c r="CO7" i="433"/>
  <c r="CN7" i="433"/>
  <c r="CM7" i="433"/>
  <c r="CL7" i="433"/>
  <c r="CK7" i="433"/>
  <c r="CJ7" i="433"/>
  <c r="CI7" i="433"/>
  <c r="CH7" i="433"/>
  <c r="CG7" i="433"/>
  <c r="CF7" i="433"/>
  <c r="CE7" i="433"/>
  <c r="CD7" i="433"/>
  <c r="CC7" i="433"/>
  <c r="CB7" i="433"/>
  <c r="CA7" i="433"/>
  <c r="BZ7" i="433"/>
  <c r="BY7" i="433"/>
  <c r="BX7" i="433"/>
  <c r="BW7" i="433"/>
  <c r="BV7" i="433"/>
  <c r="BU7" i="433"/>
  <c r="BT7" i="433"/>
  <c r="BS7" i="433"/>
  <c r="BR7" i="433"/>
  <c r="BQ7" i="433"/>
  <c r="BP7" i="433"/>
  <c r="BO7" i="433"/>
  <c r="BN7" i="433"/>
  <c r="BM7" i="433"/>
  <c r="BL7" i="433"/>
  <c r="BK7" i="433"/>
  <c r="BJ7" i="433"/>
  <c r="BH7" i="433"/>
  <c r="BG7" i="433"/>
  <c r="BF7" i="433"/>
  <c r="BE7" i="433"/>
  <c r="BD7" i="433"/>
  <c r="BC7" i="433"/>
  <c r="BB7" i="433"/>
  <c r="AZ7" i="433"/>
  <c r="AY7" i="433"/>
  <c r="AX7" i="433"/>
  <c r="AW7" i="433"/>
  <c r="AV7" i="433"/>
  <c r="AT7" i="433"/>
  <c r="AS7" i="433"/>
  <c r="AR7" i="433"/>
  <c r="AQ7" i="433"/>
  <c r="AP7" i="433"/>
  <c r="AO7" i="433"/>
  <c r="AN7" i="433"/>
  <c r="AM7" i="433"/>
  <c r="AL7" i="433"/>
  <c r="AK7" i="433"/>
  <c r="AJ7" i="433"/>
  <c r="AI7" i="433"/>
  <c r="AH7" i="433"/>
  <c r="AF7" i="433"/>
  <c r="AD7" i="433"/>
  <c r="AC7" i="433"/>
  <c r="AB7" i="433"/>
  <c r="AA7" i="433"/>
  <c r="Z7" i="433"/>
  <c r="Y7" i="433"/>
  <c r="X7" i="433"/>
  <c r="W7" i="433"/>
  <c r="V7" i="433"/>
  <c r="U7" i="433"/>
  <c r="T7" i="433"/>
  <c r="S7" i="433"/>
  <c r="M5" i="433"/>
  <c r="D11" i="433" s="1"/>
  <c r="B15" i="432"/>
  <c r="F13" i="432"/>
  <c r="F12" i="432"/>
  <c r="F11" i="432"/>
  <c r="A8" i="432"/>
  <c r="CV6" i="432"/>
  <c r="CU6" i="432"/>
  <c r="CT6" i="432"/>
  <c r="CS6" i="432"/>
  <c r="CR6" i="432"/>
  <c r="CQ6" i="432"/>
  <c r="CP6" i="432"/>
  <c r="CO6" i="432"/>
  <c r="CN6" i="432"/>
  <c r="CM6" i="432"/>
  <c r="CL6" i="432"/>
  <c r="CK6" i="432"/>
  <c r="CJ6" i="432"/>
  <c r="CI6" i="432"/>
  <c r="CH6" i="432"/>
  <c r="CG6" i="432"/>
  <c r="CF6" i="432"/>
  <c r="CE6" i="432"/>
  <c r="CD6" i="432"/>
  <c r="CC6" i="432"/>
  <c r="CB6" i="432"/>
  <c r="CA6" i="432"/>
  <c r="BZ6" i="432"/>
  <c r="BY6" i="432"/>
  <c r="BX6" i="432"/>
  <c r="BW6" i="432"/>
  <c r="BV6" i="432"/>
  <c r="BU6" i="432"/>
  <c r="BT6" i="432"/>
  <c r="BS6" i="432"/>
  <c r="BR6" i="432"/>
  <c r="BQ6" i="432"/>
  <c r="BP6" i="432"/>
  <c r="BO6" i="432"/>
  <c r="BN6" i="432"/>
  <c r="BM6" i="432"/>
  <c r="BL6" i="432"/>
  <c r="BK6" i="432"/>
  <c r="BJ6" i="432"/>
  <c r="BH6" i="432"/>
  <c r="BG6" i="432"/>
  <c r="BF6" i="432"/>
  <c r="BE6" i="432"/>
  <c r="BD6" i="432"/>
  <c r="BC6" i="432"/>
  <c r="BB6" i="432"/>
  <c r="AZ6" i="432"/>
  <c r="AY6" i="432"/>
  <c r="AX6" i="432"/>
  <c r="AW6" i="432"/>
  <c r="AV6" i="432"/>
  <c r="AU6" i="432"/>
  <c r="AT6" i="432"/>
  <c r="AS6" i="432"/>
  <c r="AR6" i="432"/>
  <c r="AQ6" i="432"/>
  <c r="AP6" i="432"/>
  <c r="AO6" i="432"/>
  <c r="AN6" i="432"/>
  <c r="AM6" i="432"/>
  <c r="AL6" i="432"/>
  <c r="AK6" i="432"/>
  <c r="AJ6" i="432"/>
  <c r="AI6" i="432"/>
  <c r="AH6" i="432"/>
  <c r="AF6" i="432"/>
  <c r="AD6" i="432"/>
  <c r="AC6" i="432"/>
  <c r="AB6" i="432"/>
  <c r="AA6" i="432"/>
  <c r="Z6" i="432"/>
  <c r="Y6" i="432"/>
  <c r="X6" i="432"/>
  <c r="W6" i="432"/>
  <c r="V6" i="432"/>
  <c r="U6" i="432"/>
  <c r="T6" i="432"/>
  <c r="S6" i="432"/>
  <c r="M5" i="432"/>
  <c r="F10" i="431"/>
  <c r="B15" i="431"/>
  <c r="F13" i="431"/>
  <c r="F12" i="431"/>
  <c r="F11" i="431"/>
  <c r="A8" i="431"/>
  <c r="CV6" i="431"/>
  <c r="CU6" i="431"/>
  <c r="CT6" i="431"/>
  <c r="CS6" i="431"/>
  <c r="CR6" i="431"/>
  <c r="CQ6" i="431"/>
  <c r="CP6" i="431"/>
  <c r="CO6" i="431"/>
  <c r="CN6" i="431"/>
  <c r="CM6" i="431"/>
  <c r="CL6" i="431"/>
  <c r="CK6" i="431"/>
  <c r="CJ6" i="431"/>
  <c r="CI6" i="431"/>
  <c r="CH6" i="431"/>
  <c r="CG6" i="431"/>
  <c r="CF6" i="431"/>
  <c r="CE6" i="431"/>
  <c r="CD6" i="431"/>
  <c r="CC6" i="431"/>
  <c r="CB6" i="431"/>
  <c r="CA6" i="431"/>
  <c r="BZ6" i="431"/>
  <c r="BY6" i="431"/>
  <c r="BX6" i="431"/>
  <c r="BW6" i="431"/>
  <c r="BV6" i="431"/>
  <c r="BU6" i="431"/>
  <c r="BT6" i="431"/>
  <c r="BS6" i="431"/>
  <c r="BR6" i="431"/>
  <c r="BQ6" i="431"/>
  <c r="BP6" i="431"/>
  <c r="BO6" i="431"/>
  <c r="BN6" i="431"/>
  <c r="BM6" i="431"/>
  <c r="BL6" i="431"/>
  <c r="BK6" i="431"/>
  <c r="BJ6" i="431"/>
  <c r="BI6" i="431"/>
  <c r="BH6" i="431"/>
  <c r="BG6" i="431"/>
  <c r="BF6" i="431"/>
  <c r="BE6" i="431"/>
  <c r="BD6" i="431"/>
  <c r="BC6" i="431"/>
  <c r="BB6" i="431"/>
  <c r="AZ6" i="431"/>
  <c r="AY6" i="431"/>
  <c r="AX6" i="431"/>
  <c r="AW6" i="431"/>
  <c r="AV6" i="431"/>
  <c r="AU6" i="431"/>
  <c r="AT6" i="431"/>
  <c r="AS6" i="431"/>
  <c r="AR6" i="431"/>
  <c r="AQ6" i="431"/>
  <c r="AP6" i="431"/>
  <c r="AO6" i="431"/>
  <c r="AN6" i="431"/>
  <c r="AM6" i="431"/>
  <c r="AL6" i="431"/>
  <c r="AK6" i="431"/>
  <c r="AJ6" i="431"/>
  <c r="AI6" i="431"/>
  <c r="AH6" i="431"/>
  <c r="AF6" i="431"/>
  <c r="AD6" i="431"/>
  <c r="AC6" i="431"/>
  <c r="AB6" i="431"/>
  <c r="AA6" i="431"/>
  <c r="Z6" i="431"/>
  <c r="Y6" i="431"/>
  <c r="X6" i="431"/>
  <c r="W6" i="431"/>
  <c r="V6" i="431"/>
  <c r="U6" i="431"/>
  <c r="T6" i="431"/>
  <c r="S6" i="431"/>
  <c r="M5" i="431"/>
  <c r="F10" i="430"/>
  <c r="B15" i="430"/>
  <c r="F13" i="430"/>
  <c r="F12" i="430"/>
  <c r="F11" i="430"/>
  <c r="A8" i="430"/>
  <c r="CV6" i="430"/>
  <c r="CU6" i="430"/>
  <c r="CT6" i="430"/>
  <c r="CS6" i="430"/>
  <c r="CR6" i="430"/>
  <c r="CQ6" i="430"/>
  <c r="CP6" i="430"/>
  <c r="CO6" i="430"/>
  <c r="CN6" i="430"/>
  <c r="CM6" i="430"/>
  <c r="CL6" i="430"/>
  <c r="CK6" i="430"/>
  <c r="CJ6" i="430"/>
  <c r="CI6" i="430"/>
  <c r="CH6" i="430"/>
  <c r="CG6" i="430"/>
  <c r="CF6" i="430"/>
  <c r="CE6" i="430"/>
  <c r="CD6" i="430"/>
  <c r="CC6" i="430"/>
  <c r="CB6" i="430"/>
  <c r="CA6" i="430"/>
  <c r="BZ6" i="430"/>
  <c r="BY6" i="430"/>
  <c r="BX6" i="430"/>
  <c r="BW6" i="430"/>
  <c r="BV6" i="430"/>
  <c r="BU6" i="430"/>
  <c r="BT6" i="430"/>
  <c r="BS6" i="430"/>
  <c r="BR6" i="430"/>
  <c r="BQ6" i="430"/>
  <c r="BP6" i="430"/>
  <c r="BO6" i="430"/>
  <c r="BN6" i="430"/>
  <c r="BM6" i="430"/>
  <c r="BL6" i="430"/>
  <c r="BK6" i="430"/>
  <c r="BJ6" i="430"/>
  <c r="BI6" i="430"/>
  <c r="BH6" i="430"/>
  <c r="BG6" i="430"/>
  <c r="BF6" i="430"/>
  <c r="BE6" i="430"/>
  <c r="BD6" i="430"/>
  <c r="BC6" i="430"/>
  <c r="BB6" i="430"/>
  <c r="AZ6" i="430"/>
  <c r="AY6" i="430"/>
  <c r="AX6" i="430"/>
  <c r="AW6" i="430"/>
  <c r="AV6" i="430"/>
  <c r="AU6" i="430"/>
  <c r="AT6" i="430"/>
  <c r="AS6" i="430"/>
  <c r="AR6" i="430"/>
  <c r="AQ6" i="430"/>
  <c r="AP6" i="430"/>
  <c r="AO6" i="430"/>
  <c r="AN6" i="430"/>
  <c r="AM6" i="430"/>
  <c r="AL6" i="430"/>
  <c r="AK6" i="430"/>
  <c r="AJ6" i="430"/>
  <c r="AI6" i="430"/>
  <c r="AH6" i="430"/>
  <c r="AF6" i="430"/>
  <c r="AD6" i="430"/>
  <c r="AC6" i="430"/>
  <c r="AB6" i="430"/>
  <c r="AA6" i="430"/>
  <c r="Z6" i="430"/>
  <c r="Y6" i="430"/>
  <c r="X6" i="430"/>
  <c r="W6" i="430"/>
  <c r="V6" i="430"/>
  <c r="U6" i="430"/>
  <c r="T6" i="430"/>
  <c r="S6" i="430"/>
  <c r="M5" i="430"/>
  <c r="M6" i="430" s="1"/>
  <c r="E13" i="430" s="1"/>
  <c r="F10" i="429"/>
  <c r="B15" i="429"/>
  <c r="F13" i="429"/>
  <c r="F12" i="429"/>
  <c r="F11" i="429"/>
  <c r="A8" i="429"/>
  <c r="CV6" i="429"/>
  <c r="CU6" i="429"/>
  <c r="CT6" i="429"/>
  <c r="CS6" i="429"/>
  <c r="CR6" i="429"/>
  <c r="CQ6" i="429"/>
  <c r="CP6" i="429"/>
  <c r="CO6" i="429"/>
  <c r="CN6" i="429"/>
  <c r="CM6" i="429"/>
  <c r="CL6" i="429"/>
  <c r="CK6" i="429"/>
  <c r="CJ6" i="429"/>
  <c r="CI6" i="429"/>
  <c r="CH6" i="429"/>
  <c r="CG6" i="429"/>
  <c r="CF6" i="429"/>
  <c r="CE6" i="429"/>
  <c r="CD6" i="429"/>
  <c r="CC6" i="429"/>
  <c r="CB6" i="429"/>
  <c r="CA6" i="429"/>
  <c r="BZ6" i="429"/>
  <c r="BY6" i="429"/>
  <c r="BX6" i="429"/>
  <c r="BW6" i="429"/>
  <c r="BV6" i="429"/>
  <c r="BU6" i="429"/>
  <c r="BT6" i="429"/>
  <c r="BS6" i="429"/>
  <c r="BR6" i="429"/>
  <c r="BQ6" i="429"/>
  <c r="BP6" i="429"/>
  <c r="BN6" i="429"/>
  <c r="BM6" i="429"/>
  <c r="BL6" i="429"/>
  <c r="BK6" i="429"/>
  <c r="BJ6" i="429"/>
  <c r="BI6" i="429"/>
  <c r="BH6" i="429"/>
  <c r="BG6" i="429"/>
  <c r="BF6" i="429"/>
  <c r="BE6" i="429"/>
  <c r="BD6" i="429"/>
  <c r="BC6" i="429"/>
  <c r="BB6" i="429"/>
  <c r="AZ6" i="429"/>
  <c r="AY6" i="429"/>
  <c r="AX6" i="429"/>
  <c r="AW6" i="429"/>
  <c r="AV6" i="429"/>
  <c r="AU6" i="429"/>
  <c r="AT6" i="429"/>
  <c r="AS6" i="429"/>
  <c r="AR6" i="429"/>
  <c r="AQ6" i="429"/>
  <c r="AP6" i="429"/>
  <c r="AO6" i="429"/>
  <c r="AN6" i="429"/>
  <c r="AM6" i="429"/>
  <c r="AL6" i="429"/>
  <c r="AK6" i="429"/>
  <c r="AJ6" i="429"/>
  <c r="AI6" i="429"/>
  <c r="AH6" i="429"/>
  <c r="AF6" i="429"/>
  <c r="AD6" i="429"/>
  <c r="AC6" i="429"/>
  <c r="AB6" i="429"/>
  <c r="AA6" i="429"/>
  <c r="Z6" i="429"/>
  <c r="Y6" i="429"/>
  <c r="X6" i="429"/>
  <c r="W6" i="429"/>
  <c r="V6" i="429"/>
  <c r="U6" i="429"/>
  <c r="T6" i="429"/>
  <c r="S6" i="429"/>
  <c r="M5" i="429"/>
  <c r="F10" i="428"/>
  <c r="F12" i="395"/>
  <c r="B15" i="428"/>
  <c r="F13" i="428"/>
  <c r="F12" i="428"/>
  <c r="F11" i="428"/>
  <c r="A8" i="428"/>
  <c r="CV6" i="428"/>
  <c r="CU6" i="428"/>
  <c r="CT6" i="428"/>
  <c r="CS6" i="428"/>
  <c r="CR6" i="428"/>
  <c r="CQ6" i="428"/>
  <c r="CP6" i="428"/>
  <c r="CO6" i="428"/>
  <c r="CN6" i="428"/>
  <c r="CM6" i="428"/>
  <c r="CL6" i="428"/>
  <c r="CK6" i="428"/>
  <c r="CJ6" i="428"/>
  <c r="CI6" i="428"/>
  <c r="CH6" i="428"/>
  <c r="CG6" i="428"/>
  <c r="CF6" i="428"/>
  <c r="CE6" i="428"/>
  <c r="CD6" i="428"/>
  <c r="CC6" i="428"/>
  <c r="CB6" i="428"/>
  <c r="CA6" i="428"/>
  <c r="BZ6" i="428"/>
  <c r="BY6" i="428"/>
  <c r="BX6" i="428"/>
  <c r="BW6" i="428"/>
  <c r="BV6" i="428"/>
  <c r="BU6" i="428"/>
  <c r="BT6" i="428"/>
  <c r="BS6" i="428"/>
  <c r="BR6" i="428"/>
  <c r="BQ6" i="428"/>
  <c r="BP6" i="428"/>
  <c r="BO6" i="428"/>
  <c r="BN6" i="428"/>
  <c r="BM6" i="428"/>
  <c r="BL6" i="428"/>
  <c r="BK6" i="428"/>
  <c r="BJ6" i="428"/>
  <c r="BI6" i="428"/>
  <c r="BH6" i="428"/>
  <c r="BG6" i="428"/>
  <c r="BF6" i="428"/>
  <c r="BE6" i="428"/>
  <c r="BD6" i="428"/>
  <c r="BB6" i="428"/>
  <c r="AZ6" i="428"/>
  <c r="AY6" i="428"/>
  <c r="AX6" i="428"/>
  <c r="AW6" i="428"/>
  <c r="AV6" i="428"/>
  <c r="AU6" i="428"/>
  <c r="AT6" i="428"/>
  <c r="AS6" i="428"/>
  <c r="AR6" i="428"/>
  <c r="AQ6" i="428"/>
  <c r="AP6" i="428"/>
  <c r="AO6" i="428"/>
  <c r="AN6" i="428"/>
  <c r="AM6" i="428"/>
  <c r="AL6" i="428"/>
  <c r="AK6" i="428"/>
  <c r="AJ6" i="428"/>
  <c r="AI6" i="428"/>
  <c r="AH6" i="428"/>
  <c r="AF6" i="428"/>
  <c r="AD6" i="428"/>
  <c r="AC6" i="428"/>
  <c r="AB6" i="428"/>
  <c r="AA6" i="428"/>
  <c r="Z6" i="428"/>
  <c r="Y6" i="428"/>
  <c r="X6" i="428"/>
  <c r="W6" i="428"/>
  <c r="V6" i="428"/>
  <c r="U6" i="428"/>
  <c r="T6" i="428"/>
  <c r="S6" i="428"/>
  <c r="M5" i="428"/>
  <c r="F30" i="388"/>
  <c r="P19" i="388"/>
  <c r="P16" i="388"/>
  <c r="P15" i="388"/>
  <c r="M6" i="388"/>
  <c r="P6" i="388" s="1"/>
  <c r="M7" i="388"/>
  <c r="P7" i="388" s="1"/>
  <c r="M8" i="388"/>
  <c r="M9" i="388"/>
  <c r="P9" i="388" s="1"/>
  <c r="M10" i="388"/>
  <c r="P10" i="388" s="1"/>
  <c r="M11" i="388"/>
  <c r="P11" i="388" s="1"/>
  <c r="M12" i="388"/>
  <c r="P12" i="388" s="1"/>
  <c r="M13" i="388"/>
  <c r="M14" i="388"/>
  <c r="P14" i="388" s="1"/>
  <c r="M15" i="388"/>
  <c r="M16" i="388"/>
  <c r="M17" i="388"/>
  <c r="P17" i="388" s="1"/>
  <c r="M18" i="388"/>
  <c r="P18" i="388" s="1"/>
  <c r="M19" i="388"/>
  <c r="M20" i="388"/>
  <c r="B22" i="390"/>
  <c r="F20" i="390"/>
  <c r="F19" i="390"/>
  <c r="F18" i="390"/>
  <c r="F17" i="390"/>
  <c r="A15" i="390"/>
  <c r="CV13" i="390"/>
  <c r="CU13" i="390"/>
  <c r="CT13" i="390"/>
  <c r="CS13" i="390"/>
  <c r="CR13" i="390"/>
  <c r="CQ13" i="390"/>
  <c r="CP13" i="390"/>
  <c r="CO13" i="390"/>
  <c r="CN13" i="390"/>
  <c r="CM13" i="390"/>
  <c r="CL13" i="390"/>
  <c r="CK13" i="390"/>
  <c r="CJ13" i="390"/>
  <c r="CI13" i="390"/>
  <c r="CH13" i="390"/>
  <c r="CG13" i="390"/>
  <c r="CF13" i="390"/>
  <c r="CE13" i="390"/>
  <c r="CD13" i="390"/>
  <c r="CC13" i="390"/>
  <c r="CB13" i="390"/>
  <c r="CA13" i="390"/>
  <c r="BZ13" i="390"/>
  <c r="BY13" i="390"/>
  <c r="BX13" i="390"/>
  <c r="BW13" i="390"/>
  <c r="BV13" i="390"/>
  <c r="BU13" i="390"/>
  <c r="BT13" i="390"/>
  <c r="BS13" i="390"/>
  <c r="BR13" i="390"/>
  <c r="BQ13" i="390"/>
  <c r="BP13" i="390"/>
  <c r="BO13" i="390"/>
  <c r="BN13" i="390"/>
  <c r="BM13" i="390"/>
  <c r="BL13" i="390"/>
  <c r="BK13" i="390"/>
  <c r="BJ13" i="390"/>
  <c r="BI13" i="390"/>
  <c r="BH13" i="390"/>
  <c r="BG13" i="390"/>
  <c r="BF13" i="390"/>
  <c r="BE13" i="390"/>
  <c r="BD13" i="390"/>
  <c r="BC13" i="390"/>
  <c r="BB13" i="390"/>
  <c r="AZ13" i="390"/>
  <c r="AY13" i="390"/>
  <c r="AX13" i="390"/>
  <c r="AW13" i="390"/>
  <c r="AV13" i="390"/>
  <c r="AU13" i="390"/>
  <c r="AT13" i="390"/>
  <c r="AS13" i="390"/>
  <c r="AR13" i="390"/>
  <c r="AQ13" i="390"/>
  <c r="AP13" i="390"/>
  <c r="AO13" i="390"/>
  <c r="AN13" i="390"/>
  <c r="AM13" i="390"/>
  <c r="AL13" i="390"/>
  <c r="AK13" i="390"/>
  <c r="AJ13" i="390"/>
  <c r="AI13" i="390"/>
  <c r="AH13" i="390"/>
  <c r="AF13" i="390"/>
  <c r="AD13" i="390"/>
  <c r="AC13" i="390"/>
  <c r="AB13" i="390"/>
  <c r="AA13" i="390"/>
  <c r="Z13" i="390"/>
  <c r="Y13" i="390"/>
  <c r="X13" i="390"/>
  <c r="W13" i="390"/>
  <c r="V13" i="390"/>
  <c r="U13" i="390"/>
  <c r="T13" i="390"/>
  <c r="S13" i="390"/>
  <c r="Q12" i="390"/>
  <c r="M12" i="390"/>
  <c r="M11" i="390"/>
  <c r="M10" i="390"/>
  <c r="Q9" i="390"/>
  <c r="M9" i="390"/>
  <c r="M8" i="390"/>
  <c r="M7" i="390"/>
  <c r="M13" i="390" s="1"/>
  <c r="E20" i="390" s="1"/>
  <c r="Q6" i="390"/>
  <c r="M6" i="390"/>
  <c r="M5" i="390"/>
  <c r="B15" i="389"/>
  <c r="F13" i="389"/>
  <c r="F12" i="389"/>
  <c r="F11" i="389"/>
  <c r="A8" i="389"/>
  <c r="CV6" i="389"/>
  <c r="CU6" i="389"/>
  <c r="CT6" i="389"/>
  <c r="CS6" i="389"/>
  <c r="CR6" i="389"/>
  <c r="CQ6" i="389"/>
  <c r="CP6" i="389"/>
  <c r="CO6" i="389"/>
  <c r="CN6" i="389"/>
  <c r="CM6" i="389"/>
  <c r="CL6" i="389"/>
  <c r="CK6" i="389"/>
  <c r="CJ6" i="389"/>
  <c r="CI6" i="389"/>
  <c r="CH6" i="389"/>
  <c r="CG6" i="389"/>
  <c r="CF6" i="389"/>
  <c r="CE6" i="389"/>
  <c r="CD6" i="389"/>
  <c r="CC6" i="389"/>
  <c r="CB6" i="389"/>
  <c r="CA6" i="389"/>
  <c r="BZ6" i="389"/>
  <c r="BY6" i="389"/>
  <c r="BX6" i="389"/>
  <c r="BW6" i="389"/>
  <c r="BV6" i="389"/>
  <c r="BU6" i="389"/>
  <c r="BT6" i="389"/>
  <c r="BS6" i="389"/>
  <c r="BR6" i="389"/>
  <c r="BQ6" i="389"/>
  <c r="BP6" i="389"/>
  <c r="BO6" i="389"/>
  <c r="BN6" i="389"/>
  <c r="BM6" i="389"/>
  <c r="BL6" i="389"/>
  <c r="BK6" i="389"/>
  <c r="BJ6" i="389"/>
  <c r="BI6" i="389"/>
  <c r="BH6" i="389"/>
  <c r="BG6" i="389"/>
  <c r="BF6" i="389"/>
  <c r="BE6" i="389"/>
  <c r="BD6" i="389"/>
  <c r="BC6" i="389"/>
  <c r="BB6" i="389"/>
  <c r="AZ6" i="389"/>
  <c r="AY6" i="389"/>
  <c r="AX6" i="389"/>
  <c r="AW6" i="389"/>
  <c r="AV6" i="389"/>
  <c r="AU6" i="389"/>
  <c r="AT6" i="389"/>
  <c r="AS6" i="389"/>
  <c r="AR6" i="389"/>
  <c r="AQ6" i="389"/>
  <c r="AP6" i="389"/>
  <c r="AO6" i="389"/>
  <c r="AN6" i="389"/>
  <c r="AM6" i="389"/>
  <c r="AL6" i="389"/>
  <c r="AK6" i="389"/>
  <c r="AJ6" i="389"/>
  <c r="AI6" i="389"/>
  <c r="AH6" i="389"/>
  <c r="AF6" i="389"/>
  <c r="AD6" i="389"/>
  <c r="AC6" i="389"/>
  <c r="AB6" i="389"/>
  <c r="AA6" i="389"/>
  <c r="Z6" i="389"/>
  <c r="Y6" i="389"/>
  <c r="X6" i="389"/>
  <c r="W6" i="389"/>
  <c r="V6" i="389"/>
  <c r="U6" i="389"/>
  <c r="T6" i="389"/>
  <c r="S6" i="389"/>
  <c r="M5" i="389"/>
  <c r="B15" i="427"/>
  <c r="F13" i="427"/>
  <c r="F12" i="427"/>
  <c r="F11" i="427"/>
  <c r="A8" i="427"/>
  <c r="CV6" i="427"/>
  <c r="CU6" i="427"/>
  <c r="CT6" i="427"/>
  <c r="CS6" i="427"/>
  <c r="CR6" i="427"/>
  <c r="CQ6" i="427"/>
  <c r="CP6" i="427"/>
  <c r="CO6" i="427"/>
  <c r="CN6" i="427"/>
  <c r="CM6" i="427"/>
  <c r="CL6" i="427"/>
  <c r="CK6" i="427"/>
  <c r="CJ6" i="427"/>
  <c r="CI6" i="427"/>
  <c r="CH6" i="427"/>
  <c r="CG6" i="427"/>
  <c r="CF6" i="427"/>
  <c r="CE6" i="427"/>
  <c r="CD6" i="427"/>
  <c r="CC6" i="427"/>
  <c r="CB6" i="427"/>
  <c r="CA6" i="427"/>
  <c r="BZ6" i="427"/>
  <c r="BY6" i="427"/>
  <c r="BX6" i="427"/>
  <c r="BW6" i="427"/>
  <c r="BV6" i="427"/>
  <c r="BU6" i="427"/>
  <c r="BT6" i="427"/>
  <c r="BS6" i="427"/>
  <c r="BR6" i="427"/>
  <c r="BQ6" i="427"/>
  <c r="BP6" i="427"/>
  <c r="BO6" i="427"/>
  <c r="BN6" i="427"/>
  <c r="BM6" i="427"/>
  <c r="BL6" i="427"/>
  <c r="BK6" i="427"/>
  <c r="BJ6" i="427"/>
  <c r="BI6" i="427"/>
  <c r="BH6" i="427"/>
  <c r="BG6" i="427"/>
  <c r="BF6" i="427"/>
  <c r="BE6" i="427"/>
  <c r="BD6" i="427"/>
  <c r="BC6" i="427"/>
  <c r="BB6" i="427"/>
  <c r="AZ6" i="427"/>
  <c r="AY6" i="427"/>
  <c r="AX6" i="427"/>
  <c r="AW6" i="427"/>
  <c r="AV6" i="427"/>
  <c r="AU6" i="427"/>
  <c r="AT6" i="427"/>
  <c r="AS6" i="427"/>
  <c r="AR6" i="427"/>
  <c r="AQ6" i="427"/>
  <c r="AP6" i="427"/>
  <c r="AO6" i="427"/>
  <c r="AN6" i="427"/>
  <c r="AM6" i="427"/>
  <c r="AL6" i="427"/>
  <c r="AK6" i="427"/>
  <c r="AJ6" i="427"/>
  <c r="AI6" i="427"/>
  <c r="AH6" i="427"/>
  <c r="AF6" i="427"/>
  <c r="AD6" i="427"/>
  <c r="AC6" i="427"/>
  <c r="AB6" i="427"/>
  <c r="AA6" i="427"/>
  <c r="Z6" i="427"/>
  <c r="Y6" i="427"/>
  <c r="X6" i="427"/>
  <c r="W6" i="427"/>
  <c r="V6" i="427"/>
  <c r="U6" i="427"/>
  <c r="T6" i="427"/>
  <c r="S6" i="427"/>
  <c r="M5" i="427"/>
  <c r="Q5" i="427" s="1"/>
  <c r="B17" i="426"/>
  <c r="F15" i="426"/>
  <c r="F14" i="426"/>
  <c r="F13" i="426"/>
  <c r="A10" i="426"/>
  <c r="CV8" i="426"/>
  <c r="CU8" i="426"/>
  <c r="CT8" i="426"/>
  <c r="CS8" i="426"/>
  <c r="CR8" i="426"/>
  <c r="CQ8" i="426"/>
  <c r="CP8" i="426"/>
  <c r="CO8" i="426"/>
  <c r="CN8" i="426"/>
  <c r="CM8" i="426"/>
  <c r="CL8" i="426"/>
  <c r="CK8" i="426"/>
  <c r="CJ8" i="426"/>
  <c r="CI8" i="426"/>
  <c r="CH8" i="426"/>
  <c r="CG8" i="426"/>
  <c r="CF8" i="426"/>
  <c r="CE8" i="426"/>
  <c r="CD8" i="426"/>
  <c r="CC8" i="426"/>
  <c r="CB8" i="426"/>
  <c r="CA8" i="426"/>
  <c r="BZ8" i="426"/>
  <c r="BY8" i="426"/>
  <c r="BX8" i="426"/>
  <c r="BW8" i="426"/>
  <c r="BV8" i="426"/>
  <c r="BU8" i="426"/>
  <c r="BT8" i="426"/>
  <c r="BS8" i="426"/>
  <c r="BR8" i="426"/>
  <c r="BQ8" i="426"/>
  <c r="BP8" i="426"/>
  <c r="BO8" i="426"/>
  <c r="BN8" i="426"/>
  <c r="BM8" i="426"/>
  <c r="BL8" i="426"/>
  <c r="BK8" i="426"/>
  <c r="BJ8" i="426"/>
  <c r="BI8" i="426"/>
  <c r="BH8" i="426"/>
  <c r="BG8" i="426"/>
  <c r="BF8" i="426"/>
  <c r="BE8" i="426"/>
  <c r="BD8" i="426"/>
  <c r="BC8" i="426"/>
  <c r="BB8" i="426"/>
  <c r="AZ8" i="426"/>
  <c r="AY8" i="426"/>
  <c r="AX8" i="426"/>
  <c r="AW8" i="426"/>
  <c r="AV8" i="426"/>
  <c r="AU8" i="426"/>
  <c r="AT8" i="426"/>
  <c r="AS8" i="426"/>
  <c r="AR8" i="426"/>
  <c r="AQ8" i="426"/>
  <c r="AP8" i="426"/>
  <c r="AO8" i="426"/>
  <c r="AN8" i="426"/>
  <c r="AM8" i="426"/>
  <c r="AL8" i="426"/>
  <c r="AK8" i="426"/>
  <c r="AJ8" i="426"/>
  <c r="AI8" i="426"/>
  <c r="AH8" i="426"/>
  <c r="AF8" i="426"/>
  <c r="AD8" i="426"/>
  <c r="AC8" i="426"/>
  <c r="AB8" i="426"/>
  <c r="AA8" i="426"/>
  <c r="Z8" i="426"/>
  <c r="Y8" i="426"/>
  <c r="X8" i="426"/>
  <c r="W8" i="426"/>
  <c r="V8" i="426"/>
  <c r="U8" i="426"/>
  <c r="T8" i="426"/>
  <c r="S8" i="426"/>
  <c r="M7" i="426"/>
  <c r="M6" i="426"/>
  <c r="M5" i="426"/>
  <c r="B16" i="425"/>
  <c r="F14" i="425"/>
  <c r="F13" i="425"/>
  <c r="F12" i="425"/>
  <c r="A9" i="425"/>
  <c r="CV7" i="425"/>
  <c r="CU7" i="425"/>
  <c r="CT7" i="425"/>
  <c r="CS7" i="425"/>
  <c r="CR7" i="425"/>
  <c r="CQ7" i="425"/>
  <c r="CP7" i="425"/>
  <c r="CO7" i="425"/>
  <c r="CN7" i="425"/>
  <c r="CM7" i="425"/>
  <c r="CL7" i="425"/>
  <c r="CK7" i="425"/>
  <c r="CJ7" i="425"/>
  <c r="CI7" i="425"/>
  <c r="CH7" i="425"/>
  <c r="CG7" i="425"/>
  <c r="CF7" i="425"/>
  <c r="CE7" i="425"/>
  <c r="CD7" i="425"/>
  <c r="CC7" i="425"/>
  <c r="CB7" i="425"/>
  <c r="CA7" i="425"/>
  <c r="BZ7" i="425"/>
  <c r="BY7" i="425"/>
  <c r="BX7" i="425"/>
  <c r="BW7" i="425"/>
  <c r="BV7" i="425"/>
  <c r="BU7" i="425"/>
  <c r="BT7" i="425"/>
  <c r="BS7" i="425"/>
  <c r="BR7" i="425"/>
  <c r="BQ7" i="425"/>
  <c r="BP7" i="425"/>
  <c r="BO7" i="425"/>
  <c r="BN7" i="425"/>
  <c r="BM7" i="425"/>
  <c r="BL7" i="425"/>
  <c r="BK7" i="425"/>
  <c r="BJ7" i="425"/>
  <c r="BI7" i="425"/>
  <c r="BH7" i="425"/>
  <c r="BG7" i="425"/>
  <c r="BF7" i="425"/>
  <c r="BE7" i="425"/>
  <c r="BD7" i="425"/>
  <c r="BC7" i="425"/>
  <c r="BB7" i="425"/>
  <c r="AZ7" i="425"/>
  <c r="AY7" i="425"/>
  <c r="AX7" i="425"/>
  <c r="AW7" i="425"/>
  <c r="AV7" i="425"/>
  <c r="AU7" i="425"/>
  <c r="AT7" i="425"/>
  <c r="AS7" i="425"/>
  <c r="AR7" i="425"/>
  <c r="AQ7" i="425"/>
  <c r="AP7" i="425"/>
  <c r="AO7" i="425"/>
  <c r="AN7" i="425"/>
  <c r="AM7" i="425"/>
  <c r="AL7" i="425"/>
  <c r="AK7" i="425"/>
  <c r="AJ7" i="425"/>
  <c r="AI7" i="425"/>
  <c r="AH7" i="425"/>
  <c r="AF7" i="425"/>
  <c r="AD7" i="425"/>
  <c r="AC7" i="425"/>
  <c r="AB7" i="425"/>
  <c r="AA7" i="425"/>
  <c r="Z7" i="425"/>
  <c r="Y7" i="425"/>
  <c r="X7" i="425"/>
  <c r="W7" i="425"/>
  <c r="V7" i="425"/>
  <c r="U7" i="425"/>
  <c r="T7" i="425"/>
  <c r="S7" i="425"/>
  <c r="B15" i="424"/>
  <c r="F13" i="424"/>
  <c r="F12" i="424"/>
  <c r="F11" i="424"/>
  <c r="A8" i="424"/>
  <c r="CV6" i="424"/>
  <c r="CU6" i="424"/>
  <c r="CT6" i="424"/>
  <c r="CS6" i="424"/>
  <c r="CR6" i="424"/>
  <c r="CQ6" i="424"/>
  <c r="CP6" i="424"/>
  <c r="CO6" i="424"/>
  <c r="CN6" i="424"/>
  <c r="CM6" i="424"/>
  <c r="CL6" i="424"/>
  <c r="CK6" i="424"/>
  <c r="CJ6" i="424"/>
  <c r="CI6" i="424"/>
  <c r="CH6" i="424"/>
  <c r="CG6" i="424"/>
  <c r="CF6" i="424"/>
  <c r="CE6" i="424"/>
  <c r="CD6" i="424"/>
  <c r="CC6" i="424"/>
  <c r="CB6" i="424"/>
  <c r="CA6" i="424"/>
  <c r="BZ6" i="424"/>
  <c r="BY6" i="424"/>
  <c r="BX6" i="424"/>
  <c r="BW6" i="424"/>
  <c r="BV6" i="424"/>
  <c r="BU6" i="424"/>
  <c r="BT6" i="424"/>
  <c r="BS6" i="424"/>
  <c r="BR6" i="424"/>
  <c r="BQ6" i="424"/>
  <c r="BP6" i="424"/>
  <c r="BO6" i="424"/>
  <c r="BN6" i="424"/>
  <c r="BM6" i="424"/>
  <c r="BL6" i="424"/>
  <c r="BK6" i="424"/>
  <c r="BJ6" i="424"/>
  <c r="BI6" i="424"/>
  <c r="BH6" i="424"/>
  <c r="BG6" i="424"/>
  <c r="BF6" i="424"/>
  <c r="BE6" i="424"/>
  <c r="BD6" i="424"/>
  <c r="BC6" i="424"/>
  <c r="BB6" i="424"/>
  <c r="AZ6" i="424"/>
  <c r="AY6" i="424"/>
  <c r="AX6" i="424"/>
  <c r="AW6" i="424"/>
  <c r="AV6" i="424"/>
  <c r="AU6" i="424"/>
  <c r="AT6" i="424"/>
  <c r="AS6" i="424"/>
  <c r="AR6" i="424"/>
  <c r="AQ6" i="424"/>
  <c r="AP6" i="424"/>
  <c r="AO6" i="424"/>
  <c r="AN6" i="424"/>
  <c r="AM6" i="424"/>
  <c r="AL6" i="424"/>
  <c r="AK6" i="424"/>
  <c r="AJ6" i="424"/>
  <c r="AI6" i="424"/>
  <c r="AH6" i="424"/>
  <c r="AF6" i="424"/>
  <c r="AD6" i="424"/>
  <c r="AC6" i="424"/>
  <c r="AB6" i="424"/>
  <c r="AA6" i="424"/>
  <c r="Z6" i="424"/>
  <c r="Y6" i="424"/>
  <c r="X6" i="424"/>
  <c r="W6" i="424"/>
  <c r="V6" i="424"/>
  <c r="U6" i="424"/>
  <c r="T6" i="424"/>
  <c r="S6" i="424"/>
  <c r="M5" i="424"/>
  <c r="B21" i="423"/>
  <c r="F19" i="423"/>
  <c r="F18" i="423"/>
  <c r="F17" i="423"/>
  <c r="A14" i="423"/>
  <c r="CV12" i="423"/>
  <c r="CU12" i="423"/>
  <c r="CT12" i="423"/>
  <c r="CS12" i="423"/>
  <c r="CR12" i="423"/>
  <c r="CQ12" i="423"/>
  <c r="CP12" i="423"/>
  <c r="CO12" i="423"/>
  <c r="CN12" i="423"/>
  <c r="CM12" i="423"/>
  <c r="CL12" i="423"/>
  <c r="CK12" i="423"/>
  <c r="CJ12" i="423"/>
  <c r="CI12" i="423"/>
  <c r="CH12" i="423"/>
  <c r="CG12" i="423"/>
  <c r="CF12" i="423"/>
  <c r="CE12" i="423"/>
  <c r="CD12" i="423"/>
  <c r="CC12" i="423"/>
  <c r="CB12" i="423"/>
  <c r="CA12" i="423"/>
  <c r="BZ12" i="423"/>
  <c r="BY12" i="423"/>
  <c r="BX12" i="423"/>
  <c r="BW12" i="423"/>
  <c r="BV12" i="423"/>
  <c r="BU12" i="423"/>
  <c r="BT12" i="423"/>
  <c r="BS12" i="423"/>
  <c r="BR12" i="423"/>
  <c r="BQ12" i="423"/>
  <c r="BP12" i="423"/>
  <c r="BO12" i="423"/>
  <c r="BN12" i="423"/>
  <c r="BM12" i="423"/>
  <c r="BL12" i="423"/>
  <c r="BK12" i="423"/>
  <c r="BJ12" i="423"/>
  <c r="BI12" i="423"/>
  <c r="BH12" i="423"/>
  <c r="BG12" i="423"/>
  <c r="BF12" i="423"/>
  <c r="BE12" i="423"/>
  <c r="BD12" i="423"/>
  <c r="BC12" i="423"/>
  <c r="BB12" i="423"/>
  <c r="AZ12" i="423"/>
  <c r="AY12" i="423"/>
  <c r="AX12" i="423"/>
  <c r="AW12" i="423"/>
  <c r="AV12" i="423"/>
  <c r="AU12" i="423"/>
  <c r="AT12" i="423"/>
  <c r="AS12" i="423"/>
  <c r="AR12" i="423"/>
  <c r="AQ12" i="423"/>
  <c r="AP12" i="423"/>
  <c r="AO12" i="423"/>
  <c r="AN12" i="423"/>
  <c r="AM12" i="423"/>
  <c r="AL12" i="423"/>
  <c r="AK12" i="423"/>
  <c r="AJ12" i="423"/>
  <c r="AI12" i="423"/>
  <c r="AH12" i="423"/>
  <c r="AF12" i="423"/>
  <c r="AD12" i="423"/>
  <c r="AC12" i="423"/>
  <c r="AB12" i="423"/>
  <c r="AA12" i="423"/>
  <c r="Z12" i="423"/>
  <c r="Y12" i="423"/>
  <c r="X12" i="423"/>
  <c r="W12" i="423"/>
  <c r="V12" i="423"/>
  <c r="U12" i="423"/>
  <c r="T12" i="423"/>
  <c r="S12" i="423"/>
  <c r="M9" i="423"/>
  <c r="Q9" i="423" s="1"/>
  <c r="M8" i="423"/>
  <c r="M7" i="423"/>
  <c r="M6" i="423"/>
  <c r="Q6" i="423" s="1"/>
  <c r="M5" i="423"/>
  <c r="B16" i="422"/>
  <c r="F14" i="422"/>
  <c r="F13" i="422"/>
  <c r="F12" i="422"/>
  <c r="A9" i="422"/>
  <c r="CV7" i="422"/>
  <c r="CU7" i="422"/>
  <c r="CT7" i="422"/>
  <c r="CS7" i="422"/>
  <c r="CR7" i="422"/>
  <c r="CQ7" i="422"/>
  <c r="CP7" i="422"/>
  <c r="CO7" i="422"/>
  <c r="CN7" i="422"/>
  <c r="CM7" i="422"/>
  <c r="CL7" i="422"/>
  <c r="CK7" i="422"/>
  <c r="CJ7" i="422"/>
  <c r="CI7" i="422"/>
  <c r="CH7" i="422"/>
  <c r="CG7" i="422"/>
  <c r="CF7" i="422"/>
  <c r="CE7" i="422"/>
  <c r="CD7" i="422"/>
  <c r="CC7" i="422"/>
  <c r="CB7" i="422"/>
  <c r="CA7" i="422"/>
  <c r="BZ7" i="422"/>
  <c r="BY7" i="422"/>
  <c r="BX7" i="422"/>
  <c r="BW7" i="422"/>
  <c r="BV7" i="422"/>
  <c r="BU7" i="422"/>
  <c r="BT7" i="422"/>
  <c r="BS7" i="422"/>
  <c r="BR7" i="422"/>
  <c r="BQ7" i="422"/>
  <c r="BP7" i="422"/>
  <c r="BO7" i="422"/>
  <c r="BN7" i="422"/>
  <c r="BM7" i="422"/>
  <c r="BL7" i="422"/>
  <c r="BK7" i="422"/>
  <c r="BJ7" i="422"/>
  <c r="BI7" i="422"/>
  <c r="BH7" i="422"/>
  <c r="BG7" i="422"/>
  <c r="BF7" i="422"/>
  <c r="BE7" i="422"/>
  <c r="BD7" i="422"/>
  <c r="BC7" i="422"/>
  <c r="BB7" i="422"/>
  <c r="AZ7" i="422"/>
  <c r="AY7" i="422"/>
  <c r="AX7" i="422"/>
  <c r="AW7" i="422"/>
  <c r="AV7" i="422"/>
  <c r="AU7" i="422"/>
  <c r="AT7" i="422"/>
  <c r="AS7" i="422"/>
  <c r="AR7" i="422"/>
  <c r="AQ7" i="422"/>
  <c r="AP7" i="422"/>
  <c r="AO7" i="422"/>
  <c r="AN7" i="422"/>
  <c r="AM7" i="422"/>
  <c r="AL7" i="422"/>
  <c r="AK7" i="422"/>
  <c r="AJ7" i="422"/>
  <c r="AI7" i="422"/>
  <c r="AH7" i="422"/>
  <c r="AF7" i="422"/>
  <c r="AD7" i="422"/>
  <c r="AC7" i="422"/>
  <c r="AB7" i="422"/>
  <c r="AA7" i="422"/>
  <c r="Z7" i="422"/>
  <c r="Y7" i="422"/>
  <c r="X7" i="422"/>
  <c r="W7" i="422"/>
  <c r="V7" i="422"/>
  <c r="U7" i="422"/>
  <c r="T7" i="422"/>
  <c r="S7" i="422"/>
  <c r="B17" i="421"/>
  <c r="F15" i="421"/>
  <c r="F14" i="421"/>
  <c r="F13" i="421"/>
  <c r="A10" i="421"/>
  <c r="CV8" i="421"/>
  <c r="CU8" i="421"/>
  <c r="CT8" i="421"/>
  <c r="CS8" i="421"/>
  <c r="CR8" i="421"/>
  <c r="CQ8" i="421"/>
  <c r="CP8" i="421"/>
  <c r="CO8" i="421"/>
  <c r="CN8" i="421"/>
  <c r="CM8" i="421"/>
  <c r="CL8" i="421"/>
  <c r="CK8" i="421"/>
  <c r="CJ8" i="421"/>
  <c r="CI8" i="421"/>
  <c r="CH8" i="421"/>
  <c r="CG8" i="421"/>
  <c r="CF8" i="421"/>
  <c r="CE8" i="421"/>
  <c r="CD8" i="421"/>
  <c r="CC8" i="421"/>
  <c r="CB8" i="421"/>
  <c r="CA8" i="421"/>
  <c r="BZ8" i="421"/>
  <c r="BY8" i="421"/>
  <c r="BX8" i="421"/>
  <c r="BW8" i="421"/>
  <c r="BV8" i="421"/>
  <c r="BU8" i="421"/>
  <c r="BT8" i="421"/>
  <c r="BS8" i="421"/>
  <c r="BR8" i="421"/>
  <c r="BQ8" i="421"/>
  <c r="BP8" i="421"/>
  <c r="BO8" i="421"/>
  <c r="BN8" i="421"/>
  <c r="BM8" i="421"/>
  <c r="BL8" i="421"/>
  <c r="BK8" i="421"/>
  <c r="BJ8" i="421"/>
  <c r="BI8" i="421"/>
  <c r="BH8" i="421"/>
  <c r="BG8" i="421"/>
  <c r="BF8" i="421"/>
  <c r="BE8" i="421"/>
  <c r="BD8" i="421"/>
  <c r="BC8" i="421"/>
  <c r="BB8" i="421"/>
  <c r="AZ8" i="421"/>
  <c r="AY8" i="421"/>
  <c r="AX8" i="421"/>
  <c r="AW8" i="421"/>
  <c r="AV8" i="421"/>
  <c r="AU8" i="421"/>
  <c r="AT8" i="421"/>
  <c r="AS8" i="421"/>
  <c r="AR8" i="421"/>
  <c r="AQ8" i="421"/>
  <c r="AP8" i="421"/>
  <c r="AO8" i="421"/>
  <c r="AN8" i="421"/>
  <c r="AM8" i="421"/>
  <c r="AL8" i="421"/>
  <c r="AK8" i="421"/>
  <c r="AJ8" i="421"/>
  <c r="AI8" i="421"/>
  <c r="AH8" i="421"/>
  <c r="AF8" i="421"/>
  <c r="AD8" i="421"/>
  <c r="AC8" i="421"/>
  <c r="AB8" i="421"/>
  <c r="AA8" i="421"/>
  <c r="Z8" i="421"/>
  <c r="Y8" i="421"/>
  <c r="X8" i="421"/>
  <c r="W8" i="421"/>
  <c r="V8" i="421"/>
  <c r="U8" i="421"/>
  <c r="T8" i="421"/>
  <c r="S8" i="421"/>
  <c r="M7" i="421"/>
  <c r="M6" i="421"/>
  <c r="M5" i="421"/>
  <c r="B16" i="420"/>
  <c r="F14" i="420"/>
  <c r="F13" i="420"/>
  <c r="F12" i="420"/>
  <c r="A9" i="420"/>
  <c r="CV7" i="420"/>
  <c r="CU7" i="420"/>
  <c r="CT7" i="420"/>
  <c r="CS7" i="420"/>
  <c r="CR7" i="420"/>
  <c r="CQ7" i="420"/>
  <c r="CP7" i="420"/>
  <c r="CO7" i="420"/>
  <c r="CN7" i="420"/>
  <c r="CM7" i="420"/>
  <c r="CL7" i="420"/>
  <c r="CK7" i="420"/>
  <c r="CJ7" i="420"/>
  <c r="CI7" i="420"/>
  <c r="CH7" i="420"/>
  <c r="CG7" i="420"/>
  <c r="CF7" i="420"/>
  <c r="CE7" i="420"/>
  <c r="CD7" i="420"/>
  <c r="CC7" i="420"/>
  <c r="CB7" i="420"/>
  <c r="CA7" i="420"/>
  <c r="BZ7" i="420"/>
  <c r="BY7" i="420"/>
  <c r="BX7" i="420"/>
  <c r="BW7" i="420"/>
  <c r="BV7" i="420"/>
  <c r="BU7" i="420"/>
  <c r="BT7" i="420"/>
  <c r="BS7" i="420"/>
  <c r="BR7" i="420"/>
  <c r="BQ7" i="420"/>
  <c r="BP7" i="420"/>
  <c r="BO7" i="420"/>
  <c r="BN7" i="420"/>
  <c r="BM7" i="420"/>
  <c r="BL7" i="420"/>
  <c r="BK7" i="420"/>
  <c r="BJ7" i="420"/>
  <c r="BI7" i="420"/>
  <c r="BH7" i="420"/>
  <c r="BG7" i="420"/>
  <c r="BF7" i="420"/>
  <c r="BE7" i="420"/>
  <c r="BD7" i="420"/>
  <c r="BC7" i="420"/>
  <c r="BB7" i="420"/>
  <c r="AZ7" i="420"/>
  <c r="AY7" i="420"/>
  <c r="AX7" i="420"/>
  <c r="AW7" i="420"/>
  <c r="AV7" i="420"/>
  <c r="AU7" i="420"/>
  <c r="AT7" i="420"/>
  <c r="AS7" i="420"/>
  <c r="AR7" i="420"/>
  <c r="AQ7" i="420"/>
  <c r="AP7" i="420"/>
  <c r="AO7" i="420"/>
  <c r="AN7" i="420"/>
  <c r="AM7" i="420"/>
  <c r="AL7" i="420"/>
  <c r="AK7" i="420"/>
  <c r="AJ7" i="420"/>
  <c r="AI7" i="420"/>
  <c r="AH7" i="420"/>
  <c r="AF7" i="420"/>
  <c r="AD7" i="420"/>
  <c r="AC7" i="420"/>
  <c r="AB7" i="420"/>
  <c r="AA7" i="420"/>
  <c r="Z7" i="420"/>
  <c r="Y7" i="420"/>
  <c r="X7" i="420"/>
  <c r="W7" i="420"/>
  <c r="V7" i="420"/>
  <c r="U7" i="420"/>
  <c r="T7" i="420"/>
  <c r="S7" i="420"/>
  <c r="M6" i="420"/>
  <c r="M5" i="420"/>
  <c r="B15" i="419"/>
  <c r="F13" i="419"/>
  <c r="F12" i="419"/>
  <c r="F11" i="419"/>
  <c r="A8" i="419"/>
  <c r="CV6" i="419"/>
  <c r="CU6" i="419"/>
  <c r="CT6" i="419"/>
  <c r="CS6" i="419"/>
  <c r="CR6" i="419"/>
  <c r="CQ6" i="419"/>
  <c r="CP6" i="419"/>
  <c r="CO6" i="419"/>
  <c r="CN6" i="419"/>
  <c r="CM6" i="419"/>
  <c r="CL6" i="419"/>
  <c r="CK6" i="419"/>
  <c r="CJ6" i="419"/>
  <c r="CI6" i="419"/>
  <c r="CH6" i="419"/>
  <c r="CG6" i="419"/>
  <c r="CF6" i="419"/>
  <c r="CE6" i="419"/>
  <c r="CD6" i="419"/>
  <c r="CC6" i="419"/>
  <c r="CB6" i="419"/>
  <c r="CA6" i="419"/>
  <c r="BZ6" i="419"/>
  <c r="BY6" i="419"/>
  <c r="BX6" i="419"/>
  <c r="BW6" i="419"/>
  <c r="BV6" i="419"/>
  <c r="BU6" i="419"/>
  <c r="BT6" i="419"/>
  <c r="BS6" i="419"/>
  <c r="BR6" i="419"/>
  <c r="BQ6" i="419"/>
  <c r="BP6" i="419"/>
  <c r="BO6" i="419"/>
  <c r="BN6" i="419"/>
  <c r="BM6" i="419"/>
  <c r="BL6" i="419"/>
  <c r="BK6" i="419"/>
  <c r="BJ6" i="419"/>
  <c r="BI6" i="419"/>
  <c r="BH6" i="419"/>
  <c r="BG6" i="419"/>
  <c r="BF6" i="419"/>
  <c r="BE6" i="419"/>
  <c r="BD6" i="419"/>
  <c r="BC6" i="419"/>
  <c r="BB6" i="419"/>
  <c r="AZ6" i="419"/>
  <c r="AY6" i="419"/>
  <c r="AX6" i="419"/>
  <c r="AW6" i="419"/>
  <c r="AV6" i="419"/>
  <c r="AU6" i="419"/>
  <c r="AT6" i="419"/>
  <c r="AS6" i="419"/>
  <c r="AR6" i="419"/>
  <c r="AQ6" i="419"/>
  <c r="AO6" i="419"/>
  <c r="AM6" i="419"/>
  <c r="AL6" i="419"/>
  <c r="AK6" i="419"/>
  <c r="AJ6" i="419"/>
  <c r="AI6" i="419"/>
  <c r="AH6" i="419"/>
  <c r="AF6" i="419"/>
  <c r="AD6" i="419"/>
  <c r="AC6" i="419"/>
  <c r="AB6" i="419"/>
  <c r="AA6" i="419"/>
  <c r="Z6" i="419"/>
  <c r="Y6" i="419"/>
  <c r="X6" i="419"/>
  <c r="W6" i="419"/>
  <c r="U6" i="419"/>
  <c r="T6" i="419"/>
  <c r="S6" i="419"/>
  <c r="M5" i="419"/>
  <c r="B15" i="418"/>
  <c r="F13" i="418"/>
  <c r="F12" i="418"/>
  <c r="F11" i="418"/>
  <c r="A8" i="418"/>
  <c r="CV6" i="418"/>
  <c r="CU6" i="418"/>
  <c r="CT6" i="418"/>
  <c r="CS6" i="418"/>
  <c r="CR6" i="418"/>
  <c r="CQ6" i="418"/>
  <c r="CP6" i="418"/>
  <c r="CO6" i="418"/>
  <c r="CN6" i="418"/>
  <c r="CM6" i="418"/>
  <c r="CL6" i="418"/>
  <c r="CK6" i="418"/>
  <c r="CJ6" i="418"/>
  <c r="CI6" i="418"/>
  <c r="CH6" i="418"/>
  <c r="CG6" i="418"/>
  <c r="CF6" i="418"/>
  <c r="CE6" i="418"/>
  <c r="CD6" i="418"/>
  <c r="CC6" i="418"/>
  <c r="CB6" i="418"/>
  <c r="CA6" i="418"/>
  <c r="BZ6" i="418"/>
  <c r="BY6" i="418"/>
  <c r="BX6" i="418"/>
  <c r="BW6" i="418"/>
  <c r="BV6" i="418"/>
  <c r="BU6" i="418"/>
  <c r="BT6" i="418"/>
  <c r="BS6" i="418"/>
  <c r="BR6" i="418"/>
  <c r="BQ6" i="418"/>
  <c r="BP6" i="418"/>
  <c r="BO6" i="418"/>
  <c r="BN6" i="418"/>
  <c r="BM6" i="418"/>
  <c r="BL6" i="418"/>
  <c r="BK6" i="418"/>
  <c r="BJ6" i="418"/>
  <c r="BI6" i="418"/>
  <c r="BH6" i="418"/>
  <c r="BG6" i="418"/>
  <c r="BF6" i="418"/>
  <c r="BE6" i="418"/>
  <c r="BD6" i="418"/>
  <c r="BC6" i="418"/>
  <c r="BB6" i="418"/>
  <c r="AZ6" i="418"/>
  <c r="AY6" i="418"/>
  <c r="AX6" i="418"/>
  <c r="AW6" i="418"/>
  <c r="AV6" i="418"/>
  <c r="AU6" i="418"/>
  <c r="AT6" i="418"/>
  <c r="AS6" i="418"/>
  <c r="AR6" i="418"/>
  <c r="AQ6" i="418"/>
  <c r="AP6" i="418"/>
  <c r="AO6" i="418"/>
  <c r="AN6" i="418"/>
  <c r="AM6" i="418"/>
  <c r="AL6" i="418"/>
  <c r="AK6" i="418"/>
  <c r="AJ6" i="418"/>
  <c r="AI6" i="418"/>
  <c r="AH6" i="418"/>
  <c r="AF6" i="418"/>
  <c r="AD6" i="418"/>
  <c r="AC6" i="418"/>
  <c r="AB6" i="418"/>
  <c r="AA6" i="418"/>
  <c r="Z6" i="418"/>
  <c r="Y6" i="418"/>
  <c r="X6" i="418"/>
  <c r="W6" i="418"/>
  <c r="V6" i="418"/>
  <c r="U6" i="418"/>
  <c r="T6" i="418"/>
  <c r="S6" i="418"/>
  <c r="M5" i="418"/>
  <c r="B15" i="417"/>
  <c r="F13" i="417"/>
  <c r="F12" i="417"/>
  <c r="F11" i="417"/>
  <c r="A8" i="417"/>
  <c r="CV6" i="417"/>
  <c r="CU6" i="417"/>
  <c r="CT6" i="417"/>
  <c r="CS6" i="417"/>
  <c r="CR6" i="417"/>
  <c r="CQ6" i="417"/>
  <c r="CP6" i="417"/>
  <c r="CO6" i="417"/>
  <c r="CN6" i="417"/>
  <c r="CM6" i="417"/>
  <c r="CL6" i="417"/>
  <c r="CK6" i="417"/>
  <c r="CJ6" i="417"/>
  <c r="CI6" i="417"/>
  <c r="CH6" i="417"/>
  <c r="CG6" i="417"/>
  <c r="CF6" i="417"/>
  <c r="CE6" i="417"/>
  <c r="CD6" i="417"/>
  <c r="CC6" i="417"/>
  <c r="CB6" i="417"/>
  <c r="CA6" i="417"/>
  <c r="BZ6" i="417"/>
  <c r="BY6" i="417"/>
  <c r="BX6" i="417"/>
  <c r="BW6" i="417"/>
  <c r="BV6" i="417"/>
  <c r="BU6" i="417"/>
  <c r="BT6" i="417"/>
  <c r="BS6" i="417"/>
  <c r="BR6" i="417"/>
  <c r="BQ6" i="417"/>
  <c r="BP6" i="417"/>
  <c r="BO6" i="417"/>
  <c r="BN6" i="417"/>
  <c r="BM6" i="417"/>
  <c r="BL6" i="417"/>
  <c r="BK6" i="417"/>
  <c r="BJ6" i="417"/>
  <c r="BI6" i="417"/>
  <c r="BH6" i="417"/>
  <c r="BG6" i="417"/>
  <c r="BF6" i="417"/>
  <c r="BE6" i="417"/>
  <c r="BD6" i="417"/>
  <c r="BC6" i="417"/>
  <c r="BB6" i="417"/>
  <c r="AZ6" i="417"/>
  <c r="AY6" i="417"/>
  <c r="AX6" i="417"/>
  <c r="AW6" i="417"/>
  <c r="AV6" i="417"/>
  <c r="AU6" i="417"/>
  <c r="AT6" i="417"/>
  <c r="AS6" i="417"/>
  <c r="AR6" i="417"/>
  <c r="AQ6" i="417"/>
  <c r="AP6" i="417"/>
  <c r="AO6" i="417"/>
  <c r="AN6" i="417"/>
  <c r="AM6" i="417"/>
  <c r="AL6" i="417"/>
  <c r="AK6" i="417"/>
  <c r="AJ6" i="417"/>
  <c r="AI6" i="417"/>
  <c r="AH6" i="417"/>
  <c r="AF6" i="417"/>
  <c r="AD6" i="417"/>
  <c r="AC6" i="417"/>
  <c r="AB6" i="417"/>
  <c r="AA6" i="417"/>
  <c r="Z6" i="417"/>
  <c r="Y6" i="417"/>
  <c r="X6" i="417"/>
  <c r="W6" i="417"/>
  <c r="V6" i="417"/>
  <c r="U6" i="417"/>
  <c r="T6" i="417"/>
  <c r="S6" i="417"/>
  <c r="M5" i="417"/>
  <c r="B15" i="416"/>
  <c r="F13" i="416"/>
  <c r="F12" i="416"/>
  <c r="F11" i="416"/>
  <c r="A8" i="416"/>
  <c r="CV6" i="416"/>
  <c r="CU6" i="416"/>
  <c r="CT6" i="416"/>
  <c r="CS6" i="416"/>
  <c r="CR6" i="416"/>
  <c r="CQ6" i="416"/>
  <c r="CP6" i="416"/>
  <c r="CO6" i="416"/>
  <c r="CN6" i="416"/>
  <c r="CM6" i="416"/>
  <c r="CL6" i="416"/>
  <c r="CK6" i="416"/>
  <c r="CJ6" i="416"/>
  <c r="CI6" i="416"/>
  <c r="CH6" i="416"/>
  <c r="CG6" i="416"/>
  <c r="CF6" i="416"/>
  <c r="CE6" i="416"/>
  <c r="CD6" i="416"/>
  <c r="CC6" i="416"/>
  <c r="CB6" i="416"/>
  <c r="CA6" i="416"/>
  <c r="BZ6" i="416"/>
  <c r="BY6" i="416"/>
  <c r="BX6" i="416"/>
  <c r="BW6" i="416"/>
  <c r="BV6" i="416"/>
  <c r="BU6" i="416"/>
  <c r="BT6" i="416"/>
  <c r="BS6" i="416"/>
  <c r="BR6" i="416"/>
  <c r="BQ6" i="416"/>
  <c r="BP6" i="416"/>
  <c r="BO6" i="416"/>
  <c r="BN6" i="416"/>
  <c r="BM6" i="416"/>
  <c r="BL6" i="416"/>
  <c r="BK6" i="416"/>
  <c r="BJ6" i="416"/>
  <c r="BI6" i="416"/>
  <c r="BH6" i="416"/>
  <c r="BG6" i="416"/>
  <c r="BF6" i="416"/>
  <c r="BE6" i="416"/>
  <c r="BD6" i="416"/>
  <c r="BB6" i="416"/>
  <c r="AZ6" i="416"/>
  <c r="AY6" i="416"/>
  <c r="AX6" i="416"/>
  <c r="AW6" i="416"/>
  <c r="AV6" i="416"/>
  <c r="AU6" i="416"/>
  <c r="AT6" i="416"/>
  <c r="AS6" i="416"/>
  <c r="AR6" i="416"/>
  <c r="AQ6" i="416"/>
  <c r="AP6" i="416"/>
  <c r="AO6" i="416"/>
  <c r="AN6" i="416"/>
  <c r="AM6" i="416"/>
  <c r="AL6" i="416"/>
  <c r="AK6" i="416"/>
  <c r="AJ6" i="416"/>
  <c r="AI6" i="416"/>
  <c r="AH6" i="416"/>
  <c r="AF6" i="416"/>
  <c r="AD6" i="416"/>
  <c r="AC6" i="416"/>
  <c r="AB6" i="416"/>
  <c r="AA6" i="416"/>
  <c r="Z6" i="416"/>
  <c r="Y6" i="416"/>
  <c r="X6" i="416"/>
  <c r="W6" i="416"/>
  <c r="V6" i="416"/>
  <c r="U6" i="416"/>
  <c r="T6" i="416"/>
  <c r="S6" i="416"/>
  <c r="M5" i="416"/>
  <c r="B15" i="415"/>
  <c r="F13" i="415"/>
  <c r="F12" i="415"/>
  <c r="F11" i="415"/>
  <c r="A8" i="415"/>
  <c r="CV6" i="415"/>
  <c r="CU6" i="415"/>
  <c r="CT6" i="415"/>
  <c r="CS6" i="415"/>
  <c r="CR6" i="415"/>
  <c r="CQ6" i="415"/>
  <c r="CP6" i="415"/>
  <c r="CO6" i="415"/>
  <c r="CN6" i="415"/>
  <c r="CM6" i="415"/>
  <c r="CL6" i="415"/>
  <c r="CK6" i="415"/>
  <c r="CJ6" i="415"/>
  <c r="CI6" i="415"/>
  <c r="CH6" i="415"/>
  <c r="CG6" i="415"/>
  <c r="CF6" i="415"/>
  <c r="CE6" i="415"/>
  <c r="CD6" i="415"/>
  <c r="CC6" i="415"/>
  <c r="CB6" i="415"/>
  <c r="CA6" i="415"/>
  <c r="BZ6" i="415"/>
  <c r="BY6" i="415"/>
  <c r="BX6" i="415"/>
  <c r="BW6" i="415"/>
  <c r="BV6" i="415"/>
  <c r="BU6" i="415"/>
  <c r="BT6" i="415"/>
  <c r="BS6" i="415"/>
  <c r="BR6" i="415"/>
  <c r="BQ6" i="415"/>
  <c r="BP6" i="415"/>
  <c r="BO6" i="415"/>
  <c r="BN6" i="415"/>
  <c r="BM6" i="415"/>
  <c r="BL6" i="415"/>
  <c r="BK6" i="415"/>
  <c r="BJ6" i="415"/>
  <c r="BI6" i="415"/>
  <c r="BH6" i="415"/>
  <c r="BG6" i="415"/>
  <c r="BF6" i="415"/>
  <c r="BE6" i="415"/>
  <c r="BD6" i="415"/>
  <c r="BC6" i="415"/>
  <c r="BB6" i="415"/>
  <c r="AZ6" i="415"/>
  <c r="AY6" i="415"/>
  <c r="AX6" i="415"/>
  <c r="AW6" i="415"/>
  <c r="AV6" i="415"/>
  <c r="AU6" i="415"/>
  <c r="AT6" i="415"/>
  <c r="AS6" i="415"/>
  <c r="AR6" i="415"/>
  <c r="AQ6" i="415"/>
  <c r="AP6" i="415"/>
  <c r="AO6" i="415"/>
  <c r="AN6" i="415"/>
  <c r="AM6" i="415"/>
  <c r="AL6" i="415"/>
  <c r="AK6" i="415"/>
  <c r="AJ6" i="415"/>
  <c r="AI6" i="415"/>
  <c r="AH6" i="415"/>
  <c r="AF6" i="415"/>
  <c r="AD6" i="415"/>
  <c r="AC6" i="415"/>
  <c r="AB6" i="415"/>
  <c r="AA6" i="415"/>
  <c r="Z6" i="415"/>
  <c r="Y6" i="415"/>
  <c r="X6" i="415"/>
  <c r="V6" i="415"/>
  <c r="U6" i="415"/>
  <c r="T6" i="415"/>
  <c r="S6" i="415"/>
  <c r="M5" i="415"/>
  <c r="B16" i="414"/>
  <c r="F14" i="414"/>
  <c r="F13" i="414"/>
  <c r="F12" i="414"/>
  <c r="A9" i="414"/>
  <c r="CV7" i="414"/>
  <c r="CU7" i="414"/>
  <c r="CT7" i="414"/>
  <c r="CS7" i="414"/>
  <c r="CR7" i="414"/>
  <c r="CQ7" i="414"/>
  <c r="CP7" i="414"/>
  <c r="CO7" i="414"/>
  <c r="CN7" i="414"/>
  <c r="CM7" i="414"/>
  <c r="CL7" i="414"/>
  <c r="CK7" i="414"/>
  <c r="CJ7" i="414"/>
  <c r="CI7" i="414"/>
  <c r="CH7" i="414"/>
  <c r="CG7" i="414"/>
  <c r="CF7" i="414"/>
  <c r="CE7" i="414"/>
  <c r="CD7" i="414"/>
  <c r="CC7" i="414"/>
  <c r="CB7" i="414"/>
  <c r="CA7" i="414"/>
  <c r="BZ7" i="414"/>
  <c r="BY7" i="414"/>
  <c r="BX7" i="414"/>
  <c r="BW7" i="414"/>
  <c r="BV7" i="414"/>
  <c r="BU7" i="414"/>
  <c r="BT7" i="414"/>
  <c r="BS7" i="414"/>
  <c r="BR7" i="414"/>
  <c r="BQ7" i="414"/>
  <c r="BP7" i="414"/>
  <c r="BO7" i="414"/>
  <c r="BN7" i="414"/>
  <c r="BM7" i="414"/>
  <c r="BL7" i="414"/>
  <c r="BK7" i="414"/>
  <c r="BJ7" i="414"/>
  <c r="BI7" i="414"/>
  <c r="BH7" i="414"/>
  <c r="BG7" i="414"/>
  <c r="BF7" i="414"/>
  <c r="BE7" i="414"/>
  <c r="BD7" i="414"/>
  <c r="BC7" i="414"/>
  <c r="BB7" i="414"/>
  <c r="AZ7" i="414"/>
  <c r="AY7" i="414"/>
  <c r="AX7" i="414"/>
  <c r="AW7" i="414"/>
  <c r="AV7" i="414"/>
  <c r="AU7" i="414"/>
  <c r="AT7" i="414"/>
  <c r="AS7" i="414"/>
  <c r="AR7" i="414"/>
  <c r="AQ7" i="414"/>
  <c r="AP7" i="414"/>
  <c r="AO7" i="414"/>
  <c r="AN7" i="414"/>
  <c r="AM7" i="414"/>
  <c r="AL7" i="414"/>
  <c r="AK7" i="414"/>
  <c r="AJ7" i="414"/>
  <c r="AI7" i="414"/>
  <c r="AH7" i="414"/>
  <c r="AF7" i="414"/>
  <c r="AD7" i="414"/>
  <c r="AC7" i="414"/>
  <c r="AB7" i="414"/>
  <c r="AA7" i="414"/>
  <c r="Z7" i="414"/>
  <c r="Y7" i="414"/>
  <c r="X7" i="414"/>
  <c r="W7" i="414"/>
  <c r="V7" i="414"/>
  <c r="U7" i="414"/>
  <c r="T7" i="414"/>
  <c r="S7" i="414"/>
  <c r="M6" i="414"/>
  <c r="M5" i="414"/>
  <c r="B17" i="413"/>
  <c r="F15" i="413"/>
  <c r="F14" i="413"/>
  <c r="F13" i="413"/>
  <c r="A10" i="413"/>
  <c r="CV8" i="413"/>
  <c r="CU8" i="413"/>
  <c r="CT8" i="413"/>
  <c r="CS8" i="413"/>
  <c r="CR8" i="413"/>
  <c r="CQ8" i="413"/>
  <c r="CP8" i="413"/>
  <c r="CO8" i="413"/>
  <c r="CN8" i="413"/>
  <c r="CM8" i="413"/>
  <c r="CL8" i="413"/>
  <c r="CK8" i="413"/>
  <c r="CJ8" i="413"/>
  <c r="CI8" i="413"/>
  <c r="CH8" i="413"/>
  <c r="CG8" i="413"/>
  <c r="CF8" i="413"/>
  <c r="CE8" i="413"/>
  <c r="CD8" i="413"/>
  <c r="CC8" i="413"/>
  <c r="CB8" i="413"/>
  <c r="CA8" i="413"/>
  <c r="BZ8" i="413"/>
  <c r="BY8" i="413"/>
  <c r="BX8" i="413"/>
  <c r="BW8" i="413"/>
  <c r="BV8" i="413"/>
  <c r="BU8" i="413"/>
  <c r="BT8" i="413"/>
  <c r="BS8" i="413"/>
  <c r="BR8" i="413"/>
  <c r="BQ8" i="413"/>
  <c r="BP8" i="413"/>
  <c r="BO8" i="413"/>
  <c r="BN8" i="413"/>
  <c r="BM8" i="413"/>
  <c r="BL8" i="413"/>
  <c r="BK8" i="413"/>
  <c r="BJ8" i="413"/>
  <c r="BI8" i="413"/>
  <c r="BH8" i="413"/>
  <c r="BG8" i="413"/>
  <c r="BF8" i="413"/>
  <c r="BE8" i="413"/>
  <c r="BD8" i="413"/>
  <c r="BC8" i="413"/>
  <c r="BB8" i="413"/>
  <c r="AZ8" i="413"/>
  <c r="AY8" i="413"/>
  <c r="AX8" i="413"/>
  <c r="AW8" i="413"/>
  <c r="AV8" i="413"/>
  <c r="AU8" i="413"/>
  <c r="AT8" i="413"/>
  <c r="AS8" i="413"/>
  <c r="AR8" i="413"/>
  <c r="AQ8" i="413"/>
  <c r="AP8" i="413"/>
  <c r="AO8" i="413"/>
  <c r="AN8" i="413"/>
  <c r="AM8" i="413"/>
  <c r="AL8" i="413"/>
  <c r="AK8" i="413"/>
  <c r="AJ8" i="413"/>
  <c r="AI8" i="413"/>
  <c r="AH8" i="413"/>
  <c r="AF8" i="413"/>
  <c r="AD8" i="413"/>
  <c r="AC8" i="413"/>
  <c r="AB8" i="413"/>
  <c r="AA8" i="413"/>
  <c r="Z8" i="413"/>
  <c r="Y8" i="413"/>
  <c r="X8" i="413"/>
  <c r="W8" i="413"/>
  <c r="V8" i="413"/>
  <c r="U8" i="413"/>
  <c r="T8" i="413"/>
  <c r="S8" i="413"/>
  <c r="M7" i="413"/>
  <c r="M6" i="413"/>
  <c r="M5" i="413"/>
  <c r="B17" i="412"/>
  <c r="F15" i="412"/>
  <c r="F14" i="412"/>
  <c r="F13" i="412"/>
  <c r="A9" i="412"/>
  <c r="CV7" i="412"/>
  <c r="CU7" i="412"/>
  <c r="CT7" i="412"/>
  <c r="CS7" i="412"/>
  <c r="CR7" i="412"/>
  <c r="CQ7" i="412"/>
  <c r="CP7" i="412"/>
  <c r="CO7" i="412"/>
  <c r="CN7" i="412"/>
  <c r="CM7" i="412"/>
  <c r="CL7" i="412"/>
  <c r="CK7" i="412"/>
  <c r="CJ7" i="412"/>
  <c r="CI7" i="412"/>
  <c r="CH7" i="412"/>
  <c r="CG7" i="412"/>
  <c r="CF7" i="412"/>
  <c r="CE7" i="412"/>
  <c r="CD7" i="412"/>
  <c r="CC7" i="412"/>
  <c r="CB7" i="412"/>
  <c r="CA7" i="412"/>
  <c r="BZ7" i="412"/>
  <c r="BY7" i="412"/>
  <c r="BX7" i="412"/>
  <c r="BW7" i="412"/>
  <c r="BV7" i="412"/>
  <c r="BU7" i="412"/>
  <c r="BT7" i="412"/>
  <c r="BS7" i="412"/>
  <c r="BR7" i="412"/>
  <c r="BQ7" i="412"/>
  <c r="BP7" i="412"/>
  <c r="BO7" i="412"/>
  <c r="BN7" i="412"/>
  <c r="BM7" i="412"/>
  <c r="BL7" i="412"/>
  <c r="BK7" i="412"/>
  <c r="BJ7" i="412"/>
  <c r="BI7" i="412"/>
  <c r="BH7" i="412"/>
  <c r="BG7" i="412"/>
  <c r="BF7" i="412"/>
  <c r="BE7" i="412"/>
  <c r="BD7" i="412"/>
  <c r="BC7" i="412"/>
  <c r="BB7" i="412"/>
  <c r="AZ7" i="412"/>
  <c r="AY7" i="412"/>
  <c r="AX7" i="412"/>
  <c r="AW7" i="412"/>
  <c r="AV7" i="412"/>
  <c r="AU7" i="412"/>
  <c r="M6" i="412"/>
  <c r="Q6" i="412" s="1"/>
  <c r="M5" i="412"/>
  <c r="B15" i="411"/>
  <c r="F13" i="411"/>
  <c r="F12" i="411"/>
  <c r="F11" i="411"/>
  <c r="A8" i="411"/>
  <c r="CV6" i="411"/>
  <c r="CU6" i="411"/>
  <c r="CT6" i="411"/>
  <c r="CS6" i="411"/>
  <c r="CR6" i="411"/>
  <c r="CQ6" i="411"/>
  <c r="CP6" i="411"/>
  <c r="CO6" i="411"/>
  <c r="CN6" i="411"/>
  <c r="CM6" i="411"/>
  <c r="CL6" i="411"/>
  <c r="CK6" i="411"/>
  <c r="CJ6" i="411"/>
  <c r="CI6" i="411"/>
  <c r="CH6" i="411"/>
  <c r="CG6" i="411"/>
  <c r="CF6" i="411"/>
  <c r="CE6" i="411"/>
  <c r="CD6" i="411"/>
  <c r="CC6" i="411"/>
  <c r="CB6" i="411"/>
  <c r="CA6" i="411"/>
  <c r="BZ6" i="411"/>
  <c r="BY6" i="411"/>
  <c r="BX6" i="411"/>
  <c r="BW6" i="411"/>
  <c r="BV6" i="411"/>
  <c r="BU6" i="411"/>
  <c r="BT6" i="411"/>
  <c r="BS6" i="411"/>
  <c r="BR6" i="411"/>
  <c r="BQ6" i="411"/>
  <c r="BP6" i="411"/>
  <c r="BO6" i="411"/>
  <c r="BN6" i="411"/>
  <c r="BM6" i="411"/>
  <c r="BL6" i="411"/>
  <c r="BK6" i="411"/>
  <c r="BJ6" i="411"/>
  <c r="BI6" i="411"/>
  <c r="BH6" i="411"/>
  <c r="BG6" i="411"/>
  <c r="BF6" i="411"/>
  <c r="BE6" i="411"/>
  <c r="BD6" i="411"/>
  <c r="BC6" i="411"/>
  <c r="BB6" i="411"/>
  <c r="AZ6" i="411"/>
  <c r="AY6" i="411"/>
  <c r="AX6" i="411"/>
  <c r="AW6" i="411"/>
  <c r="AV6" i="411"/>
  <c r="AU6" i="411"/>
  <c r="AT6" i="411"/>
  <c r="AS6" i="411"/>
  <c r="AR6" i="411"/>
  <c r="AQ6" i="411"/>
  <c r="AP6" i="411"/>
  <c r="AO6" i="411"/>
  <c r="AN6" i="411"/>
  <c r="AM6" i="411"/>
  <c r="AL6" i="411"/>
  <c r="AK6" i="411"/>
  <c r="AJ6" i="411"/>
  <c r="AI6" i="411"/>
  <c r="AH6" i="411"/>
  <c r="AF6" i="411"/>
  <c r="AD6" i="411"/>
  <c r="AC6" i="411"/>
  <c r="AB6" i="411"/>
  <c r="AA6" i="411"/>
  <c r="Z6" i="411"/>
  <c r="Y6" i="411"/>
  <c r="X6" i="411"/>
  <c r="W6" i="411"/>
  <c r="V6" i="411"/>
  <c r="U6" i="411"/>
  <c r="T6" i="411"/>
  <c r="S6" i="411"/>
  <c r="M5" i="411"/>
  <c r="B15" i="410"/>
  <c r="F13" i="410"/>
  <c r="F12" i="410"/>
  <c r="F11" i="410"/>
  <c r="A8" i="410"/>
  <c r="CV6" i="410"/>
  <c r="CU6" i="410"/>
  <c r="CT6" i="410"/>
  <c r="CS6" i="410"/>
  <c r="CR6" i="410"/>
  <c r="CQ6" i="410"/>
  <c r="CP6" i="410"/>
  <c r="CO6" i="410"/>
  <c r="CN6" i="410"/>
  <c r="CM6" i="410"/>
  <c r="CL6" i="410"/>
  <c r="CK6" i="410"/>
  <c r="CJ6" i="410"/>
  <c r="CI6" i="410"/>
  <c r="CH6" i="410"/>
  <c r="CG6" i="410"/>
  <c r="CF6" i="410"/>
  <c r="CE6" i="410"/>
  <c r="CD6" i="410"/>
  <c r="CC6" i="410"/>
  <c r="CB6" i="410"/>
  <c r="CA6" i="410"/>
  <c r="BZ6" i="410"/>
  <c r="BY6" i="410"/>
  <c r="BX6" i="410"/>
  <c r="BW6" i="410"/>
  <c r="BV6" i="410"/>
  <c r="BU6" i="410"/>
  <c r="BT6" i="410"/>
  <c r="BS6" i="410"/>
  <c r="BR6" i="410"/>
  <c r="BQ6" i="410"/>
  <c r="BP6" i="410"/>
  <c r="BO6" i="410"/>
  <c r="BN6" i="410"/>
  <c r="BM6" i="410"/>
  <c r="BL6" i="410"/>
  <c r="BK6" i="410"/>
  <c r="BJ6" i="410"/>
  <c r="BI6" i="410"/>
  <c r="BH6" i="410"/>
  <c r="BG6" i="410"/>
  <c r="BF6" i="410"/>
  <c r="BE6" i="410"/>
  <c r="BD6" i="410"/>
  <c r="BC6" i="410"/>
  <c r="BB6" i="410"/>
  <c r="AZ6" i="410"/>
  <c r="AY6" i="410"/>
  <c r="AX6" i="410"/>
  <c r="AW6" i="410"/>
  <c r="AV6" i="410"/>
  <c r="AU6" i="410"/>
  <c r="AT6" i="410"/>
  <c r="AS6" i="410"/>
  <c r="AR6" i="410"/>
  <c r="AQ6" i="410"/>
  <c r="AP6" i="410"/>
  <c r="AO6" i="410"/>
  <c r="AN6" i="410"/>
  <c r="AM6" i="410"/>
  <c r="AL6" i="410"/>
  <c r="AK6" i="410"/>
  <c r="AJ6" i="410"/>
  <c r="AI6" i="410"/>
  <c r="AH6" i="410"/>
  <c r="AF6" i="410"/>
  <c r="AD6" i="410"/>
  <c r="AC6" i="410"/>
  <c r="AB6" i="410"/>
  <c r="AA6" i="410"/>
  <c r="Z6" i="410"/>
  <c r="Y6" i="410"/>
  <c r="X6" i="410"/>
  <c r="W6" i="410"/>
  <c r="U6" i="410"/>
  <c r="T6" i="410"/>
  <c r="S6" i="410"/>
  <c r="M5" i="410"/>
  <c r="B15" i="409"/>
  <c r="F13" i="409"/>
  <c r="F12" i="409"/>
  <c r="F11" i="409"/>
  <c r="A8" i="409"/>
  <c r="CV6" i="409"/>
  <c r="CU6" i="409"/>
  <c r="CT6" i="409"/>
  <c r="CS6" i="409"/>
  <c r="CR6" i="409"/>
  <c r="CQ6" i="409"/>
  <c r="CP6" i="409"/>
  <c r="CO6" i="409"/>
  <c r="CN6" i="409"/>
  <c r="CM6" i="409"/>
  <c r="CL6" i="409"/>
  <c r="CK6" i="409"/>
  <c r="CJ6" i="409"/>
  <c r="CI6" i="409"/>
  <c r="CH6" i="409"/>
  <c r="CG6" i="409"/>
  <c r="CF6" i="409"/>
  <c r="CE6" i="409"/>
  <c r="CD6" i="409"/>
  <c r="CC6" i="409"/>
  <c r="CB6" i="409"/>
  <c r="CA6" i="409"/>
  <c r="BZ6" i="409"/>
  <c r="BY6" i="409"/>
  <c r="BX6" i="409"/>
  <c r="BW6" i="409"/>
  <c r="BV6" i="409"/>
  <c r="BU6" i="409"/>
  <c r="BT6" i="409"/>
  <c r="BS6" i="409"/>
  <c r="BR6" i="409"/>
  <c r="BQ6" i="409"/>
  <c r="BP6" i="409"/>
  <c r="BO6" i="409"/>
  <c r="BN6" i="409"/>
  <c r="BM6" i="409"/>
  <c r="BL6" i="409"/>
  <c r="BK6" i="409"/>
  <c r="BJ6" i="409"/>
  <c r="BI6" i="409"/>
  <c r="BH6" i="409"/>
  <c r="BG6" i="409"/>
  <c r="BF6" i="409"/>
  <c r="BE6" i="409"/>
  <c r="BD6" i="409"/>
  <c r="BC6" i="409"/>
  <c r="BB6" i="409"/>
  <c r="AZ6" i="409"/>
  <c r="AY6" i="409"/>
  <c r="AX6" i="409"/>
  <c r="AW6" i="409"/>
  <c r="AV6" i="409"/>
  <c r="AU6" i="409"/>
  <c r="AT6" i="409"/>
  <c r="AS6" i="409"/>
  <c r="AR6" i="409"/>
  <c r="AQ6" i="409"/>
  <c r="AO6" i="409"/>
  <c r="AN6" i="409"/>
  <c r="AM6" i="409"/>
  <c r="AL6" i="409"/>
  <c r="AK6" i="409"/>
  <c r="AJ6" i="409"/>
  <c r="AI6" i="409"/>
  <c r="AF6" i="409"/>
  <c r="AD6" i="409"/>
  <c r="AC6" i="409"/>
  <c r="AB6" i="409"/>
  <c r="AA6" i="409"/>
  <c r="Z6" i="409"/>
  <c r="Y6" i="409"/>
  <c r="X6" i="409"/>
  <c r="W6" i="409"/>
  <c r="V6" i="409"/>
  <c r="U6" i="409"/>
  <c r="T6" i="409"/>
  <c r="S6" i="409"/>
  <c r="M5" i="409"/>
  <c r="B17" i="408"/>
  <c r="F15" i="408"/>
  <c r="F14" i="408"/>
  <c r="F13" i="408"/>
  <c r="A10" i="408"/>
  <c r="CV8" i="408"/>
  <c r="CU8" i="408"/>
  <c r="CT8" i="408"/>
  <c r="CS8" i="408"/>
  <c r="CR8" i="408"/>
  <c r="CQ8" i="408"/>
  <c r="CP8" i="408"/>
  <c r="CO8" i="408"/>
  <c r="CN8" i="408"/>
  <c r="CM8" i="408"/>
  <c r="CL8" i="408"/>
  <c r="CK8" i="408"/>
  <c r="CJ8" i="408"/>
  <c r="CI8" i="408"/>
  <c r="CH8" i="408"/>
  <c r="CG8" i="408"/>
  <c r="CF8" i="408"/>
  <c r="CE8" i="408"/>
  <c r="CD8" i="408"/>
  <c r="CC8" i="408"/>
  <c r="CB8" i="408"/>
  <c r="CA8" i="408"/>
  <c r="BZ8" i="408"/>
  <c r="BY8" i="408"/>
  <c r="BX8" i="408"/>
  <c r="BW8" i="408"/>
  <c r="BV8" i="408"/>
  <c r="BU8" i="408"/>
  <c r="BT8" i="408"/>
  <c r="BS8" i="408"/>
  <c r="BR8" i="408"/>
  <c r="BQ8" i="408"/>
  <c r="BP8" i="408"/>
  <c r="BO8" i="408"/>
  <c r="BN8" i="408"/>
  <c r="BM8" i="408"/>
  <c r="BL8" i="408"/>
  <c r="BK8" i="408"/>
  <c r="BJ8" i="408"/>
  <c r="BI8" i="408"/>
  <c r="BH8" i="408"/>
  <c r="BG8" i="408"/>
  <c r="BF8" i="408"/>
  <c r="BE8" i="408"/>
  <c r="BD8" i="408"/>
  <c r="BC8" i="408"/>
  <c r="BB8" i="408"/>
  <c r="AZ8" i="408"/>
  <c r="AY8" i="408"/>
  <c r="AX8" i="408"/>
  <c r="AW8" i="408"/>
  <c r="AV8" i="408"/>
  <c r="AU8" i="408"/>
  <c r="AT8" i="408"/>
  <c r="AS8" i="408"/>
  <c r="AR8" i="408"/>
  <c r="AQ8" i="408"/>
  <c r="AO8" i="408"/>
  <c r="AN8" i="408"/>
  <c r="AM8" i="408"/>
  <c r="AL8" i="408"/>
  <c r="AK8" i="408"/>
  <c r="AJ8" i="408"/>
  <c r="AI8" i="408"/>
  <c r="AF8" i="408"/>
  <c r="AD8" i="408"/>
  <c r="AC8" i="408"/>
  <c r="AB8" i="408"/>
  <c r="AA8" i="408"/>
  <c r="Z8" i="408"/>
  <c r="Y8" i="408"/>
  <c r="X8" i="408"/>
  <c r="W8" i="408"/>
  <c r="V8" i="408"/>
  <c r="U8" i="408"/>
  <c r="T8" i="408"/>
  <c r="S8" i="408"/>
  <c r="M7" i="408"/>
  <c r="M6" i="408"/>
  <c r="Q6" i="408" s="1"/>
  <c r="M5" i="408"/>
  <c r="B16" i="407"/>
  <c r="F14" i="407"/>
  <c r="F13" i="407"/>
  <c r="F12" i="407"/>
  <c r="A9" i="407"/>
  <c r="CV7" i="407"/>
  <c r="CU7" i="407"/>
  <c r="CT7" i="407"/>
  <c r="CS7" i="407"/>
  <c r="CR7" i="407"/>
  <c r="CQ7" i="407"/>
  <c r="CP7" i="407"/>
  <c r="CO7" i="407"/>
  <c r="CN7" i="407"/>
  <c r="CM7" i="407"/>
  <c r="CL7" i="407"/>
  <c r="CK7" i="407"/>
  <c r="CJ7" i="407"/>
  <c r="CI7" i="407"/>
  <c r="CH7" i="407"/>
  <c r="CG7" i="407"/>
  <c r="CF7" i="407"/>
  <c r="CE7" i="407"/>
  <c r="CD7" i="407"/>
  <c r="CC7" i="407"/>
  <c r="CB7" i="407"/>
  <c r="CA7" i="407"/>
  <c r="BZ7" i="407"/>
  <c r="BY7" i="407"/>
  <c r="BX7" i="407"/>
  <c r="BW7" i="407"/>
  <c r="BV7" i="407"/>
  <c r="BU7" i="407"/>
  <c r="BT7" i="407"/>
  <c r="BS7" i="407"/>
  <c r="BR7" i="407"/>
  <c r="BQ7" i="407"/>
  <c r="BP7" i="407"/>
  <c r="BO7" i="407"/>
  <c r="BN7" i="407"/>
  <c r="BM7" i="407"/>
  <c r="BL7" i="407"/>
  <c r="BK7" i="407"/>
  <c r="BJ7" i="407"/>
  <c r="BI7" i="407"/>
  <c r="BH7" i="407"/>
  <c r="BG7" i="407"/>
  <c r="BF7" i="407"/>
  <c r="BE7" i="407"/>
  <c r="BD7" i="407"/>
  <c r="BC7" i="407"/>
  <c r="BB7" i="407"/>
  <c r="AZ7" i="407"/>
  <c r="AY7" i="407"/>
  <c r="AX7" i="407"/>
  <c r="AW7" i="407"/>
  <c r="AV7" i="407"/>
  <c r="AU7" i="407"/>
  <c r="AT7" i="407"/>
  <c r="AS7" i="407"/>
  <c r="AR7" i="407"/>
  <c r="AQ7" i="407"/>
  <c r="AO7" i="407"/>
  <c r="AN7" i="407"/>
  <c r="AM7" i="407"/>
  <c r="AL7" i="407"/>
  <c r="AK7" i="407"/>
  <c r="AJ7" i="407"/>
  <c r="AI7" i="407"/>
  <c r="AF7" i="407"/>
  <c r="AD7" i="407"/>
  <c r="AC7" i="407"/>
  <c r="AB7" i="407"/>
  <c r="AA7" i="407"/>
  <c r="Z7" i="407"/>
  <c r="Y7" i="407"/>
  <c r="X7" i="407"/>
  <c r="W7" i="407"/>
  <c r="V7" i="407"/>
  <c r="U7" i="407"/>
  <c r="T7" i="407"/>
  <c r="S7" i="407"/>
  <c r="M6" i="407"/>
  <c r="Q6" i="407" s="1"/>
  <c r="M5" i="407"/>
  <c r="B15" i="406"/>
  <c r="F13" i="406"/>
  <c r="F12" i="406"/>
  <c r="F11" i="406"/>
  <c r="A8" i="406"/>
  <c r="CV6" i="406"/>
  <c r="CU6" i="406"/>
  <c r="CT6" i="406"/>
  <c r="CS6" i="406"/>
  <c r="CR6" i="406"/>
  <c r="CQ6" i="406"/>
  <c r="CP6" i="406"/>
  <c r="CO6" i="406"/>
  <c r="CN6" i="406"/>
  <c r="CM6" i="406"/>
  <c r="CL6" i="406"/>
  <c r="CK6" i="406"/>
  <c r="CJ6" i="406"/>
  <c r="CI6" i="406"/>
  <c r="CH6" i="406"/>
  <c r="CG6" i="406"/>
  <c r="CF6" i="406"/>
  <c r="CE6" i="406"/>
  <c r="CD6" i="406"/>
  <c r="CC6" i="406"/>
  <c r="CB6" i="406"/>
  <c r="CA6" i="406"/>
  <c r="BZ6" i="406"/>
  <c r="BY6" i="406"/>
  <c r="BX6" i="406"/>
  <c r="BW6" i="406"/>
  <c r="BV6" i="406"/>
  <c r="BU6" i="406"/>
  <c r="BT6" i="406"/>
  <c r="BS6" i="406"/>
  <c r="BR6" i="406"/>
  <c r="BQ6" i="406"/>
  <c r="BP6" i="406"/>
  <c r="BO6" i="406"/>
  <c r="BN6" i="406"/>
  <c r="BM6" i="406"/>
  <c r="BL6" i="406"/>
  <c r="BK6" i="406"/>
  <c r="BJ6" i="406"/>
  <c r="BI6" i="406"/>
  <c r="BH6" i="406"/>
  <c r="BG6" i="406"/>
  <c r="BF6" i="406"/>
  <c r="BE6" i="406"/>
  <c r="BD6" i="406"/>
  <c r="BB6" i="406"/>
  <c r="AZ6" i="406"/>
  <c r="AY6" i="406"/>
  <c r="AX6" i="406"/>
  <c r="AW6" i="406"/>
  <c r="AV6" i="406"/>
  <c r="AU6" i="406"/>
  <c r="AT6" i="406"/>
  <c r="AS6" i="406"/>
  <c r="AR6" i="406"/>
  <c r="AQ6" i="406"/>
  <c r="AP6" i="406"/>
  <c r="AO6" i="406"/>
  <c r="AN6" i="406"/>
  <c r="AM6" i="406"/>
  <c r="AL6" i="406"/>
  <c r="AK6" i="406"/>
  <c r="AJ6" i="406"/>
  <c r="AI6" i="406"/>
  <c r="AH6" i="406"/>
  <c r="AF6" i="406"/>
  <c r="AD6" i="406"/>
  <c r="AC6" i="406"/>
  <c r="AB6" i="406"/>
  <c r="AA6" i="406"/>
  <c r="Z6" i="406"/>
  <c r="Y6" i="406"/>
  <c r="X6" i="406"/>
  <c r="W6" i="406"/>
  <c r="V6" i="406"/>
  <c r="U6" i="406"/>
  <c r="T6" i="406"/>
  <c r="S6" i="406"/>
  <c r="M5" i="406"/>
  <c r="B20" i="405"/>
  <c r="F18" i="405"/>
  <c r="F17" i="405"/>
  <c r="F16" i="405"/>
  <c r="A13" i="405"/>
  <c r="CV11" i="405"/>
  <c r="CU11" i="405"/>
  <c r="CT11" i="405"/>
  <c r="CS11" i="405"/>
  <c r="CR11" i="405"/>
  <c r="CQ11" i="405"/>
  <c r="CP11" i="405"/>
  <c r="CO11" i="405"/>
  <c r="CN11" i="405"/>
  <c r="CM11" i="405"/>
  <c r="CL11" i="405"/>
  <c r="CK11" i="405"/>
  <c r="CJ11" i="405"/>
  <c r="CI11" i="405"/>
  <c r="CH11" i="405"/>
  <c r="CG11" i="405"/>
  <c r="CF11" i="405"/>
  <c r="CE11" i="405"/>
  <c r="CD11" i="405"/>
  <c r="CC11" i="405"/>
  <c r="CB11" i="405"/>
  <c r="CA11" i="405"/>
  <c r="BZ11" i="405"/>
  <c r="BY11" i="405"/>
  <c r="BX11" i="405"/>
  <c r="BW11" i="405"/>
  <c r="BV11" i="405"/>
  <c r="BU11" i="405"/>
  <c r="BT11" i="405"/>
  <c r="BS11" i="405"/>
  <c r="BR11" i="405"/>
  <c r="BQ11" i="405"/>
  <c r="BP11" i="405"/>
  <c r="BO11" i="405"/>
  <c r="BN11" i="405"/>
  <c r="BM11" i="405"/>
  <c r="BL11" i="405"/>
  <c r="BK11" i="405"/>
  <c r="BJ11" i="405"/>
  <c r="BI11" i="405"/>
  <c r="BH11" i="405"/>
  <c r="BG11" i="405"/>
  <c r="BF11" i="405"/>
  <c r="BE11" i="405"/>
  <c r="BD11" i="405"/>
  <c r="BC11" i="405"/>
  <c r="BB11" i="405"/>
  <c r="AZ11" i="405"/>
  <c r="AY11" i="405"/>
  <c r="AX11" i="405"/>
  <c r="AW11" i="405"/>
  <c r="AV11" i="405"/>
  <c r="AU11" i="405"/>
  <c r="AT11" i="405"/>
  <c r="AS11" i="405"/>
  <c r="AR11" i="405"/>
  <c r="AQ11" i="405"/>
  <c r="AP11" i="405"/>
  <c r="AO11" i="405"/>
  <c r="AN11" i="405"/>
  <c r="AM11" i="405"/>
  <c r="AL11" i="405"/>
  <c r="AK11" i="405"/>
  <c r="AJ11" i="405"/>
  <c r="AI11" i="405"/>
  <c r="AH11" i="405"/>
  <c r="AF11" i="405"/>
  <c r="AD11" i="405"/>
  <c r="AC11" i="405"/>
  <c r="AB11" i="405"/>
  <c r="AA11" i="405"/>
  <c r="Z11" i="405"/>
  <c r="Y11" i="405"/>
  <c r="X11" i="405"/>
  <c r="W11" i="405"/>
  <c r="V11" i="405"/>
  <c r="U11" i="405"/>
  <c r="T11" i="405"/>
  <c r="S11" i="405"/>
  <c r="M10" i="405"/>
  <c r="M9" i="405"/>
  <c r="Q9" i="405" s="1"/>
  <c r="M8" i="405"/>
  <c r="M7" i="405"/>
  <c r="M6" i="405"/>
  <c r="Q6" i="405" s="1"/>
  <c r="M5" i="405"/>
  <c r="B17" i="404"/>
  <c r="F15" i="404"/>
  <c r="F14" i="404"/>
  <c r="F13" i="404"/>
  <c r="A10" i="404"/>
  <c r="CV8" i="404"/>
  <c r="CU8" i="404"/>
  <c r="CT8" i="404"/>
  <c r="CS8" i="404"/>
  <c r="CR8" i="404"/>
  <c r="CQ8" i="404"/>
  <c r="CP8" i="404"/>
  <c r="CO8" i="404"/>
  <c r="CN8" i="404"/>
  <c r="CM8" i="404"/>
  <c r="CL8" i="404"/>
  <c r="CK8" i="404"/>
  <c r="CJ8" i="404"/>
  <c r="CI8" i="404"/>
  <c r="CH8" i="404"/>
  <c r="CG8" i="404"/>
  <c r="CF8" i="404"/>
  <c r="CE8" i="404"/>
  <c r="CD8" i="404"/>
  <c r="CC8" i="404"/>
  <c r="CB8" i="404"/>
  <c r="CA8" i="404"/>
  <c r="BZ8" i="404"/>
  <c r="BY8" i="404"/>
  <c r="BX8" i="404"/>
  <c r="BW8" i="404"/>
  <c r="BV8" i="404"/>
  <c r="BU8" i="404"/>
  <c r="BT8" i="404"/>
  <c r="BS8" i="404"/>
  <c r="BR8" i="404"/>
  <c r="BQ8" i="404"/>
  <c r="BP8" i="404"/>
  <c r="BO8" i="404"/>
  <c r="BN8" i="404"/>
  <c r="BM8" i="404"/>
  <c r="BL8" i="404"/>
  <c r="BK8" i="404"/>
  <c r="BJ8" i="404"/>
  <c r="BI8" i="404"/>
  <c r="BH8" i="404"/>
  <c r="BG8" i="404"/>
  <c r="BF8" i="404"/>
  <c r="BE8" i="404"/>
  <c r="BD8" i="404"/>
  <c r="BC8" i="404"/>
  <c r="BB8" i="404"/>
  <c r="AZ8" i="404"/>
  <c r="AY8" i="404"/>
  <c r="AX8" i="404"/>
  <c r="AW8" i="404"/>
  <c r="AV8" i="404"/>
  <c r="AU8" i="404"/>
  <c r="AT8" i="404"/>
  <c r="AS8" i="404"/>
  <c r="AR8" i="404"/>
  <c r="AQ8" i="404"/>
  <c r="AP8" i="404"/>
  <c r="AO8" i="404"/>
  <c r="AN8" i="404"/>
  <c r="AM8" i="404"/>
  <c r="AL8" i="404"/>
  <c r="AK8" i="404"/>
  <c r="AJ8" i="404"/>
  <c r="AI8" i="404"/>
  <c r="AH8" i="404"/>
  <c r="AF8" i="404"/>
  <c r="AD8" i="404"/>
  <c r="AC8" i="404"/>
  <c r="AB8" i="404"/>
  <c r="AA8" i="404"/>
  <c r="Z8" i="404"/>
  <c r="Y8" i="404"/>
  <c r="X8" i="404"/>
  <c r="W8" i="404"/>
  <c r="V8" i="404"/>
  <c r="U8" i="404"/>
  <c r="T8" i="404"/>
  <c r="S8" i="404"/>
  <c r="M7" i="404"/>
  <c r="M6" i="404"/>
  <c r="M5" i="404"/>
  <c r="B15" i="403"/>
  <c r="F13" i="403"/>
  <c r="F12" i="403"/>
  <c r="F11" i="403"/>
  <c r="A8" i="403"/>
  <c r="CV6" i="403"/>
  <c r="CU6" i="403"/>
  <c r="CT6" i="403"/>
  <c r="CS6" i="403"/>
  <c r="CR6" i="403"/>
  <c r="CQ6" i="403"/>
  <c r="CP6" i="403"/>
  <c r="CO6" i="403"/>
  <c r="CN6" i="403"/>
  <c r="CM6" i="403"/>
  <c r="CL6" i="403"/>
  <c r="CK6" i="403"/>
  <c r="CJ6" i="403"/>
  <c r="CI6" i="403"/>
  <c r="CH6" i="403"/>
  <c r="CG6" i="403"/>
  <c r="CF6" i="403"/>
  <c r="CE6" i="403"/>
  <c r="CD6" i="403"/>
  <c r="CC6" i="403"/>
  <c r="CB6" i="403"/>
  <c r="CA6" i="403"/>
  <c r="BZ6" i="403"/>
  <c r="BY6" i="403"/>
  <c r="BX6" i="403"/>
  <c r="BW6" i="403"/>
  <c r="BV6" i="403"/>
  <c r="BU6" i="403"/>
  <c r="BT6" i="403"/>
  <c r="BS6" i="403"/>
  <c r="BR6" i="403"/>
  <c r="BQ6" i="403"/>
  <c r="BP6" i="403"/>
  <c r="BO6" i="403"/>
  <c r="BN6" i="403"/>
  <c r="BM6" i="403"/>
  <c r="BL6" i="403"/>
  <c r="BK6" i="403"/>
  <c r="BJ6" i="403"/>
  <c r="BI6" i="403"/>
  <c r="BH6" i="403"/>
  <c r="BG6" i="403"/>
  <c r="BF6" i="403"/>
  <c r="BE6" i="403"/>
  <c r="BD6" i="403"/>
  <c r="BC6" i="403"/>
  <c r="BB6" i="403"/>
  <c r="AZ6" i="403"/>
  <c r="AY6" i="403"/>
  <c r="AX6" i="403"/>
  <c r="AW6" i="403"/>
  <c r="AV6" i="403"/>
  <c r="AU6" i="403"/>
  <c r="AT6" i="403"/>
  <c r="AS6" i="403"/>
  <c r="AR6" i="403"/>
  <c r="AQ6" i="403"/>
  <c r="AP6" i="403"/>
  <c r="AO6" i="403"/>
  <c r="AN6" i="403"/>
  <c r="AM6" i="403"/>
  <c r="AL6" i="403"/>
  <c r="AK6" i="403"/>
  <c r="AJ6" i="403"/>
  <c r="AI6" i="403"/>
  <c r="AH6" i="403"/>
  <c r="AF6" i="403"/>
  <c r="AD6" i="403"/>
  <c r="AC6" i="403"/>
  <c r="AB6" i="403"/>
  <c r="AA6" i="403"/>
  <c r="Z6" i="403"/>
  <c r="Y6" i="403"/>
  <c r="X6" i="403"/>
  <c r="W6" i="403"/>
  <c r="V6" i="403"/>
  <c r="U6" i="403"/>
  <c r="T6" i="403"/>
  <c r="S6" i="403"/>
  <c r="M5" i="403"/>
  <c r="B15" i="402"/>
  <c r="F13" i="402"/>
  <c r="F12" i="402"/>
  <c r="F11" i="402"/>
  <c r="A8" i="402"/>
  <c r="CV6" i="402"/>
  <c r="CU6" i="402"/>
  <c r="CT6" i="402"/>
  <c r="CS6" i="402"/>
  <c r="CR6" i="402"/>
  <c r="CQ6" i="402"/>
  <c r="CP6" i="402"/>
  <c r="CO6" i="402"/>
  <c r="CN6" i="402"/>
  <c r="CM6" i="402"/>
  <c r="CL6" i="402"/>
  <c r="CK6" i="402"/>
  <c r="CJ6" i="402"/>
  <c r="CI6" i="402"/>
  <c r="CH6" i="402"/>
  <c r="CG6" i="402"/>
  <c r="CF6" i="402"/>
  <c r="CE6" i="402"/>
  <c r="CD6" i="402"/>
  <c r="CC6" i="402"/>
  <c r="CB6" i="402"/>
  <c r="CA6" i="402"/>
  <c r="BZ6" i="402"/>
  <c r="BY6" i="402"/>
  <c r="BX6" i="402"/>
  <c r="BW6" i="402"/>
  <c r="BV6" i="402"/>
  <c r="BU6" i="402"/>
  <c r="BT6" i="402"/>
  <c r="BS6" i="402"/>
  <c r="BR6" i="402"/>
  <c r="BQ6" i="402"/>
  <c r="BP6" i="402"/>
  <c r="BO6" i="402"/>
  <c r="BN6" i="402"/>
  <c r="BM6" i="402"/>
  <c r="BL6" i="402"/>
  <c r="BK6" i="402"/>
  <c r="BJ6" i="402"/>
  <c r="BI6" i="402"/>
  <c r="BH6" i="402"/>
  <c r="BG6" i="402"/>
  <c r="BF6" i="402"/>
  <c r="BE6" i="402"/>
  <c r="BD6" i="402"/>
  <c r="BC6" i="402"/>
  <c r="BB6" i="402"/>
  <c r="AZ6" i="402"/>
  <c r="AY6" i="402"/>
  <c r="AX6" i="402"/>
  <c r="AW6" i="402"/>
  <c r="AV6" i="402"/>
  <c r="AU6" i="402"/>
  <c r="AT6" i="402"/>
  <c r="AS6" i="402"/>
  <c r="AR6" i="402"/>
  <c r="AQ6" i="402"/>
  <c r="AP6" i="402"/>
  <c r="AO6" i="402"/>
  <c r="AN6" i="402"/>
  <c r="AM6" i="402"/>
  <c r="AL6" i="402"/>
  <c r="AK6" i="402"/>
  <c r="AJ6" i="402"/>
  <c r="AI6" i="402"/>
  <c r="AH6" i="402"/>
  <c r="AF6" i="402"/>
  <c r="AD6" i="402"/>
  <c r="AC6" i="402"/>
  <c r="AB6" i="402"/>
  <c r="AA6" i="402"/>
  <c r="Z6" i="402"/>
  <c r="Y6" i="402"/>
  <c r="X6" i="402"/>
  <c r="W6" i="402"/>
  <c r="V6" i="402"/>
  <c r="U6" i="402"/>
  <c r="T6" i="402"/>
  <c r="S6" i="402"/>
  <c r="M5" i="402"/>
  <c r="B15" i="401"/>
  <c r="F13" i="401"/>
  <c r="F12" i="401"/>
  <c r="F11" i="401"/>
  <c r="A8" i="401"/>
  <c r="CV6" i="401"/>
  <c r="CU6" i="401"/>
  <c r="CT6" i="401"/>
  <c r="CS6" i="401"/>
  <c r="CR6" i="401"/>
  <c r="CQ6" i="401"/>
  <c r="CP6" i="401"/>
  <c r="CO6" i="401"/>
  <c r="CN6" i="401"/>
  <c r="CM6" i="401"/>
  <c r="CL6" i="401"/>
  <c r="CK6" i="401"/>
  <c r="CJ6" i="401"/>
  <c r="CI6" i="401"/>
  <c r="CH6" i="401"/>
  <c r="CG6" i="401"/>
  <c r="CF6" i="401"/>
  <c r="CE6" i="401"/>
  <c r="CD6" i="401"/>
  <c r="CC6" i="401"/>
  <c r="CB6" i="401"/>
  <c r="CA6" i="401"/>
  <c r="BZ6" i="401"/>
  <c r="BY6" i="401"/>
  <c r="BX6" i="401"/>
  <c r="BW6" i="401"/>
  <c r="BV6" i="401"/>
  <c r="BU6" i="401"/>
  <c r="BT6" i="401"/>
  <c r="BS6" i="401"/>
  <c r="BR6" i="401"/>
  <c r="BQ6" i="401"/>
  <c r="BP6" i="401"/>
  <c r="BO6" i="401"/>
  <c r="BN6" i="401"/>
  <c r="BM6" i="401"/>
  <c r="BL6" i="401"/>
  <c r="BK6" i="401"/>
  <c r="BJ6" i="401"/>
  <c r="BI6" i="401"/>
  <c r="BH6" i="401"/>
  <c r="BG6" i="401"/>
  <c r="BF6" i="401"/>
  <c r="BE6" i="401"/>
  <c r="BD6" i="401"/>
  <c r="BC6" i="401"/>
  <c r="BB6" i="401"/>
  <c r="AZ6" i="401"/>
  <c r="AY6" i="401"/>
  <c r="AX6" i="401"/>
  <c r="AW6" i="401"/>
  <c r="AV6" i="401"/>
  <c r="AU6" i="401"/>
  <c r="AT6" i="401"/>
  <c r="AS6" i="401"/>
  <c r="AR6" i="401"/>
  <c r="AQ6" i="401"/>
  <c r="AP6" i="401"/>
  <c r="AO6" i="401"/>
  <c r="AN6" i="401"/>
  <c r="AM6" i="401"/>
  <c r="AL6" i="401"/>
  <c r="AK6" i="401"/>
  <c r="AJ6" i="401"/>
  <c r="AI6" i="401"/>
  <c r="AH6" i="401"/>
  <c r="AF6" i="401"/>
  <c r="AD6" i="401"/>
  <c r="AC6" i="401"/>
  <c r="AB6" i="401"/>
  <c r="AA6" i="401"/>
  <c r="Z6" i="401"/>
  <c r="Y6" i="401"/>
  <c r="X6" i="401"/>
  <c r="W6" i="401"/>
  <c r="V6" i="401"/>
  <c r="U6" i="401"/>
  <c r="T6" i="401"/>
  <c r="S6" i="401"/>
  <c r="M5" i="401"/>
  <c r="B15" i="400"/>
  <c r="F13" i="400"/>
  <c r="F12" i="400"/>
  <c r="F11" i="400"/>
  <c r="A8" i="400"/>
  <c r="CV6" i="400"/>
  <c r="CU6" i="400"/>
  <c r="CT6" i="400"/>
  <c r="CS6" i="400"/>
  <c r="CR6" i="400"/>
  <c r="CQ6" i="400"/>
  <c r="CP6" i="400"/>
  <c r="CO6" i="400"/>
  <c r="CN6" i="400"/>
  <c r="CM6" i="400"/>
  <c r="CL6" i="400"/>
  <c r="CK6" i="400"/>
  <c r="CJ6" i="400"/>
  <c r="CI6" i="400"/>
  <c r="CH6" i="400"/>
  <c r="CG6" i="400"/>
  <c r="CF6" i="400"/>
  <c r="CE6" i="400"/>
  <c r="CD6" i="400"/>
  <c r="CC6" i="400"/>
  <c r="CB6" i="400"/>
  <c r="CA6" i="400"/>
  <c r="BZ6" i="400"/>
  <c r="BY6" i="400"/>
  <c r="BX6" i="400"/>
  <c r="BW6" i="400"/>
  <c r="BV6" i="400"/>
  <c r="BU6" i="400"/>
  <c r="BT6" i="400"/>
  <c r="BS6" i="400"/>
  <c r="BR6" i="400"/>
  <c r="BQ6" i="400"/>
  <c r="BP6" i="400"/>
  <c r="BO6" i="400"/>
  <c r="BN6" i="400"/>
  <c r="BM6" i="400"/>
  <c r="BL6" i="400"/>
  <c r="BK6" i="400"/>
  <c r="BJ6" i="400"/>
  <c r="BI6" i="400"/>
  <c r="BH6" i="400"/>
  <c r="BG6" i="400"/>
  <c r="BF6" i="400"/>
  <c r="BE6" i="400"/>
  <c r="BD6" i="400"/>
  <c r="BC6" i="400"/>
  <c r="BB6" i="400"/>
  <c r="AZ6" i="400"/>
  <c r="AY6" i="400"/>
  <c r="AX6" i="400"/>
  <c r="AW6" i="400"/>
  <c r="AV6" i="400"/>
  <c r="AU6" i="400"/>
  <c r="AT6" i="400"/>
  <c r="AS6" i="400"/>
  <c r="AR6" i="400"/>
  <c r="AQ6" i="400"/>
  <c r="AP6" i="400"/>
  <c r="AO6" i="400"/>
  <c r="AN6" i="400"/>
  <c r="AM6" i="400"/>
  <c r="AL6" i="400"/>
  <c r="AK6" i="400"/>
  <c r="AJ6" i="400"/>
  <c r="AI6" i="400"/>
  <c r="AH6" i="400"/>
  <c r="AF6" i="400"/>
  <c r="AD6" i="400"/>
  <c r="AC6" i="400"/>
  <c r="AB6" i="400"/>
  <c r="AA6" i="400"/>
  <c r="Z6" i="400"/>
  <c r="Y6" i="400"/>
  <c r="X6" i="400"/>
  <c r="W6" i="400"/>
  <c r="V6" i="400"/>
  <c r="U6" i="400"/>
  <c r="T6" i="400"/>
  <c r="S6" i="400"/>
  <c r="M5" i="400"/>
  <c r="B15" i="399"/>
  <c r="F13" i="399"/>
  <c r="F12" i="399"/>
  <c r="F11" i="399"/>
  <c r="A8" i="399"/>
  <c r="CV6" i="399"/>
  <c r="CU6" i="399"/>
  <c r="CT6" i="399"/>
  <c r="CS6" i="399"/>
  <c r="CR6" i="399"/>
  <c r="CQ6" i="399"/>
  <c r="CP6" i="399"/>
  <c r="CO6" i="399"/>
  <c r="CN6" i="399"/>
  <c r="CM6" i="399"/>
  <c r="CL6" i="399"/>
  <c r="CK6" i="399"/>
  <c r="CJ6" i="399"/>
  <c r="CI6" i="399"/>
  <c r="CH6" i="399"/>
  <c r="CG6" i="399"/>
  <c r="CF6" i="399"/>
  <c r="CE6" i="399"/>
  <c r="CD6" i="399"/>
  <c r="CC6" i="399"/>
  <c r="CB6" i="399"/>
  <c r="CA6" i="399"/>
  <c r="BZ6" i="399"/>
  <c r="BY6" i="399"/>
  <c r="BX6" i="399"/>
  <c r="BW6" i="399"/>
  <c r="BV6" i="399"/>
  <c r="BU6" i="399"/>
  <c r="BT6" i="399"/>
  <c r="BS6" i="399"/>
  <c r="BR6" i="399"/>
  <c r="BQ6" i="399"/>
  <c r="BP6" i="399"/>
  <c r="BN6" i="399"/>
  <c r="BM6" i="399"/>
  <c r="BL6" i="399"/>
  <c r="BK6" i="399"/>
  <c r="BJ6" i="399"/>
  <c r="BI6" i="399"/>
  <c r="BH6" i="399"/>
  <c r="BG6" i="399"/>
  <c r="BF6" i="399"/>
  <c r="BE6" i="399"/>
  <c r="BD6" i="399"/>
  <c r="BC6" i="399"/>
  <c r="BB6" i="399"/>
  <c r="AZ6" i="399"/>
  <c r="AY6" i="399"/>
  <c r="AX6" i="399"/>
  <c r="AW6" i="399"/>
  <c r="AV6" i="399"/>
  <c r="AU6" i="399"/>
  <c r="AT6" i="399"/>
  <c r="AS6" i="399"/>
  <c r="AR6" i="399"/>
  <c r="AQ6" i="399"/>
  <c r="AP6" i="399"/>
  <c r="AO6" i="399"/>
  <c r="AN6" i="399"/>
  <c r="AM6" i="399"/>
  <c r="AL6" i="399"/>
  <c r="AK6" i="399"/>
  <c r="AJ6" i="399"/>
  <c r="AI6" i="399"/>
  <c r="AH6" i="399"/>
  <c r="AF6" i="399"/>
  <c r="AD6" i="399"/>
  <c r="AC6" i="399"/>
  <c r="AB6" i="399"/>
  <c r="AA6" i="399"/>
  <c r="Z6" i="399"/>
  <c r="Y6" i="399"/>
  <c r="X6" i="399"/>
  <c r="W6" i="399"/>
  <c r="V6" i="399"/>
  <c r="U6" i="399"/>
  <c r="T6" i="399"/>
  <c r="S6" i="399"/>
  <c r="M5" i="399"/>
  <c r="B20" i="398"/>
  <c r="F18" i="398"/>
  <c r="F17" i="398"/>
  <c r="F16" i="398"/>
  <c r="A13" i="398"/>
  <c r="CV11" i="398"/>
  <c r="CU11" i="398"/>
  <c r="CT11" i="398"/>
  <c r="CS11" i="398"/>
  <c r="CR11" i="398"/>
  <c r="CQ11" i="398"/>
  <c r="CP11" i="398"/>
  <c r="CO11" i="398"/>
  <c r="CN11" i="398"/>
  <c r="CM11" i="398"/>
  <c r="CL11" i="398"/>
  <c r="CK11" i="398"/>
  <c r="CJ11" i="398"/>
  <c r="CI11" i="398"/>
  <c r="CH11" i="398"/>
  <c r="CG11" i="398"/>
  <c r="CF11" i="398"/>
  <c r="CE11" i="398"/>
  <c r="CD11" i="398"/>
  <c r="CC11" i="398"/>
  <c r="CB11" i="398"/>
  <c r="CA11" i="398"/>
  <c r="BZ11" i="398"/>
  <c r="BY11" i="398"/>
  <c r="BX11" i="398"/>
  <c r="BW11" i="398"/>
  <c r="BV11" i="398"/>
  <c r="BU11" i="398"/>
  <c r="BT11" i="398"/>
  <c r="BS11" i="398"/>
  <c r="BR11" i="398"/>
  <c r="BQ11" i="398"/>
  <c r="BP11" i="398"/>
  <c r="BO11" i="398"/>
  <c r="BN11" i="398"/>
  <c r="BM11" i="398"/>
  <c r="BL11" i="398"/>
  <c r="BK11" i="398"/>
  <c r="BJ11" i="398"/>
  <c r="BI11" i="398"/>
  <c r="BH11" i="398"/>
  <c r="BG11" i="398"/>
  <c r="BF11" i="398"/>
  <c r="BE11" i="398"/>
  <c r="BD11" i="398"/>
  <c r="BC11" i="398"/>
  <c r="BB11" i="398"/>
  <c r="AZ11" i="398"/>
  <c r="AY11" i="398"/>
  <c r="AX11" i="398"/>
  <c r="AW11" i="398"/>
  <c r="AV11" i="398"/>
  <c r="AU11" i="398"/>
  <c r="AT11" i="398"/>
  <c r="AS11" i="398"/>
  <c r="AR11" i="398"/>
  <c r="AQ11" i="398"/>
  <c r="AP11" i="398"/>
  <c r="AO11" i="398"/>
  <c r="AN11" i="398"/>
  <c r="AM11" i="398"/>
  <c r="AL11" i="398"/>
  <c r="AK11" i="398"/>
  <c r="AJ11" i="398"/>
  <c r="AI11" i="398"/>
  <c r="AH11" i="398"/>
  <c r="AF11" i="398"/>
  <c r="AD11" i="398"/>
  <c r="AC11" i="398"/>
  <c r="AB11" i="398"/>
  <c r="AA11" i="398"/>
  <c r="Z11" i="398"/>
  <c r="Y11" i="398"/>
  <c r="X11" i="398"/>
  <c r="W11" i="398"/>
  <c r="V11" i="398"/>
  <c r="U11" i="398"/>
  <c r="T11" i="398"/>
  <c r="S11" i="398"/>
  <c r="M10" i="398"/>
  <c r="M9" i="398"/>
  <c r="M8" i="398"/>
  <c r="M7" i="398"/>
  <c r="M6" i="398"/>
  <c r="M5" i="398"/>
  <c r="Q5" i="398" s="1"/>
  <c r="B15" i="397"/>
  <c r="F13" i="397"/>
  <c r="F12" i="397"/>
  <c r="F11" i="397"/>
  <c r="A8" i="397"/>
  <c r="CV6" i="397"/>
  <c r="CU6" i="397"/>
  <c r="CT6" i="397"/>
  <c r="CS6" i="397"/>
  <c r="CR6" i="397"/>
  <c r="CQ6" i="397"/>
  <c r="CP6" i="397"/>
  <c r="CO6" i="397"/>
  <c r="CN6" i="397"/>
  <c r="CM6" i="397"/>
  <c r="CL6" i="397"/>
  <c r="CK6" i="397"/>
  <c r="CJ6" i="397"/>
  <c r="CI6" i="397"/>
  <c r="CH6" i="397"/>
  <c r="CG6" i="397"/>
  <c r="CF6" i="397"/>
  <c r="CE6" i="397"/>
  <c r="CD6" i="397"/>
  <c r="CC6" i="397"/>
  <c r="CB6" i="397"/>
  <c r="CA6" i="397"/>
  <c r="BZ6" i="397"/>
  <c r="BY6" i="397"/>
  <c r="BX6" i="397"/>
  <c r="BW6" i="397"/>
  <c r="BV6" i="397"/>
  <c r="BU6" i="397"/>
  <c r="BT6" i="397"/>
  <c r="BS6" i="397"/>
  <c r="BR6" i="397"/>
  <c r="BQ6" i="397"/>
  <c r="BP6" i="397"/>
  <c r="BN6" i="397"/>
  <c r="BM6" i="397"/>
  <c r="BL6" i="397"/>
  <c r="BK6" i="397"/>
  <c r="BJ6" i="397"/>
  <c r="BI6" i="397"/>
  <c r="BH6" i="397"/>
  <c r="BG6" i="397"/>
  <c r="BF6" i="397"/>
  <c r="BE6" i="397"/>
  <c r="BD6" i="397"/>
  <c r="BC6" i="397"/>
  <c r="BB6" i="397"/>
  <c r="AZ6" i="397"/>
  <c r="AY6" i="397"/>
  <c r="AX6" i="397"/>
  <c r="AW6" i="397"/>
  <c r="AV6" i="397"/>
  <c r="AU6" i="397"/>
  <c r="AT6" i="397"/>
  <c r="AS6" i="397"/>
  <c r="AR6" i="397"/>
  <c r="AQ6" i="397"/>
  <c r="AP6" i="397"/>
  <c r="AO6" i="397"/>
  <c r="AN6" i="397"/>
  <c r="AM6" i="397"/>
  <c r="AL6" i="397"/>
  <c r="AK6" i="397"/>
  <c r="AJ6" i="397"/>
  <c r="AI6" i="397"/>
  <c r="AH6" i="397"/>
  <c r="AF6" i="397"/>
  <c r="AD6" i="397"/>
  <c r="AC6" i="397"/>
  <c r="AB6" i="397"/>
  <c r="AA6" i="397"/>
  <c r="Z6" i="397"/>
  <c r="Y6" i="397"/>
  <c r="X6" i="397"/>
  <c r="W6" i="397"/>
  <c r="V6" i="397"/>
  <c r="U6" i="397"/>
  <c r="T6" i="397"/>
  <c r="S6" i="397"/>
  <c r="M5" i="397"/>
  <c r="P5" i="397" s="1"/>
  <c r="B15" i="396"/>
  <c r="F13" i="396"/>
  <c r="F12" i="396"/>
  <c r="F11" i="396"/>
  <c r="A8" i="396"/>
  <c r="CV6" i="396"/>
  <c r="CU6" i="396"/>
  <c r="CT6" i="396"/>
  <c r="CS6" i="396"/>
  <c r="CR6" i="396"/>
  <c r="CQ6" i="396"/>
  <c r="CP6" i="396"/>
  <c r="CO6" i="396"/>
  <c r="CN6" i="396"/>
  <c r="CM6" i="396"/>
  <c r="CL6" i="396"/>
  <c r="CK6" i="396"/>
  <c r="CJ6" i="396"/>
  <c r="CI6" i="396"/>
  <c r="CH6" i="396"/>
  <c r="CG6" i="396"/>
  <c r="CF6" i="396"/>
  <c r="CE6" i="396"/>
  <c r="CD6" i="396"/>
  <c r="CC6" i="396"/>
  <c r="CB6" i="396"/>
  <c r="CA6" i="396"/>
  <c r="BZ6" i="396"/>
  <c r="BY6" i="396"/>
  <c r="BX6" i="396"/>
  <c r="BW6" i="396"/>
  <c r="BV6" i="396"/>
  <c r="BU6" i="396"/>
  <c r="BT6" i="396"/>
  <c r="BS6" i="396"/>
  <c r="BR6" i="396"/>
  <c r="BQ6" i="396"/>
  <c r="BP6" i="396"/>
  <c r="BO6" i="396"/>
  <c r="BN6" i="396"/>
  <c r="BM6" i="396"/>
  <c r="BL6" i="396"/>
  <c r="BK6" i="396"/>
  <c r="BJ6" i="396"/>
  <c r="BI6" i="396"/>
  <c r="BH6" i="396"/>
  <c r="BG6" i="396"/>
  <c r="BF6" i="396"/>
  <c r="BE6" i="396"/>
  <c r="BD6" i="396"/>
  <c r="BC6" i="396"/>
  <c r="BB6" i="396"/>
  <c r="AZ6" i="396"/>
  <c r="AY6" i="396"/>
  <c r="AX6" i="396"/>
  <c r="AW6" i="396"/>
  <c r="AV6" i="396"/>
  <c r="AU6" i="396"/>
  <c r="AT6" i="396"/>
  <c r="AS6" i="396"/>
  <c r="AR6" i="396"/>
  <c r="AQ6" i="396"/>
  <c r="AP6" i="396"/>
  <c r="AO6" i="396"/>
  <c r="AN6" i="396"/>
  <c r="AM6" i="396"/>
  <c r="AL6" i="396"/>
  <c r="AK6" i="396"/>
  <c r="AJ6" i="396"/>
  <c r="AI6" i="396"/>
  <c r="AH6" i="396"/>
  <c r="AF6" i="396"/>
  <c r="AD6" i="396"/>
  <c r="AC6" i="396"/>
  <c r="AB6" i="396"/>
  <c r="AA6" i="396"/>
  <c r="Z6" i="396"/>
  <c r="Y6" i="396"/>
  <c r="X6" i="396"/>
  <c r="W6" i="396"/>
  <c r="V6" i="396"/>
  <c r="U6" i="396"/>
  <c r="T6" i="396"/>
  <c r="S6" i="396"/>
  <c r="M5" i="396"/>
  <c r="B17" i="395"/>
  <c r="F15" i="395"/>
  <c r="F14" i="395"/>
  <c r="F13" i="395"/>
  <c r="A10" i="395"/>
  <c r="CV8" i="395"/>
  <c r="CU8" i="395"/>
  <c r="CT8" i="395"/>
  <c r="CS8" i="395"/>
  <c r="CR8" i="395"/>
  <c r="CQ8" i="395"/>
  <c r="CP8" i="395"/>
  <c r="CO8" i="395"/>
  <c r="CN8" i="395"/>
  <c r="CM8" i="395"/>
  <c r="CL8" i="395"/>
  <c r="CK8" i="395"/>
  <c r="CJ8" i="395"/>
  <c r="CI8" i="395"/>
  <c r="CH8" i="395"/>
  <c r="CG8" i="395"/>
  <c r="CF8" i="395"/>
  <c r="CE8" i="395"/>
  <c r="CD8" i="395"/>
  <c r="CC8" i="395"/>
  <c r="CB8" i="395"/>
  <c r="CA8" i="395"/>
  <c r="BZ8" i="395"/>
  <c r="BY8" i="395"/>
  <c r="BX8" i="395"/>
  <c r="BW8" i="395"/>
  <c r="BV8" i="395"/>
  <c r="BU8" i="395"/>
  <c r="BT8" i="395"/>
  <c r="BS8" i="395"/>
  <c r="BR8" i="395"/>
  <c r="BQ8" i="395"/>
  <c r="BP8" i="395"/>
  <c r="BO8" i="395"/>
  <c r="BN8" i="395"/>
  <c r="BM8" i="395"/>
  <c r="BL8" i="395"/>
  <c r="BK8" i="395"/>
  <c r="BJ8" i="395"/>
  <c r="BI8" i="395"/>
  <c r="BH8" i="395"/>
  <c r="BG8" i="395"/>
  <c r="BF8" i="395"/>
  <c r="BE8" i="395"/>
  <c r="BD8" i="395"/>
  <c r="BC8" i="395"/>
  <c r="BB8" i="395"/>
  <c r="AZ8" i="395"/>
  <c r="AY8" i="395"/>
  <c r="AX8" i="395"/>
  <c r="AW8" i="395"/>
  <c r="AV8" i="395"/>
  <c r="AU8" i="395"/>
  <c r="AT8" i="395"/>
  <c r="AS8" i="395"/>
  <c r="AR8" i="395"/>
  <c r="AQ8" i="395"/>
  <c r="AP8" i="395"/>
  <c r="AO8" i="395"/>
  <c r="AN8" i="395"/>
  <c r="AM8" i="395"/>
  <c r="AL8" i="395"/>
  <c r="AK8" i="395"/>
  <c r="AJ8" i="395"/>
  <c r="AI8" i="395"/>
  <c r="AH8" i="395"/>
  <c r="AF8" i="395"/>
  <c r="AD8" i="395"/>
  <c r="AC8" i="395"/>
  <c r="AB8" i="395"/>
  <c r="AA8" i="395"/>
  <c r="Z8" i="395"/>
  <c r="Y8" i="395"/>
  <c r="X8" i="395"/>
  <c r="W8" i="395"/>
  <c r="V8" i="395"/>
  <c r="U8" i="395"/>
  <c r="T8" i="395"/>
  <c r="S8" i="395"/>
  <c r="M7" i="395"/>
  <c r="Q7" i="395" s="1"/>
  <c r="M6" i="395"/>
  <c r="Q6" i="395" s="1"/>
  <c r="M5" i="395"/>
  <c r="Q5" i="395" s="1"/>
  <c r="F10" i="394"/>
  <c r="B15" i="394"/>
  <c r="F13" i="394"/>
  <c r="F12" i="394"/>
  <c r="F11" i="394"/>
  <c r="A8" i="394"/>
  <c r="CV6" i="394"/>
  <c r="CU6" i="394"/>
  <c r="CT6" i="394"/>
  <c r="CS6" i="394"/>
  <c r="CR6" i="394"/>
  <c r="CQ6" i="394"/>
  <c r="CP6" i="394"/>
  <c r="CO6" i="394"/>
  <c r="CN6" i="394"/>
  <c r="CM6" i="394"/>
  <c r="CL6" i="394"/>
  <c r="CK6" i="394"/>
  <c r="CJ6" i="394"/>
  <c r="CI6" i="394"/>
  <c r="CH6" i="394"/>
  <c r="CG6" i="394"/>
  <c r="CF6" i="394"/>
  <c r="CE6" i="394"/>
  <c r="CD6" i="394"/>
  <c r="CC6" i="394"/>
  <c r="CB6" i="394"/>
  <c r="CA6" i="394"/>
  <c r="BZ6" i="394"/>
  <c r="BY6" i="394"/>
  <c r="BX6" i="394"/>
  <c r="BW6" i="394"/>
  <c r="BV6" i="394"/>
  <c r="BU6" i="394"/>
  <c r="BT6" i="394"/>
  <c r="BS6" i="394"/>
  <c r="BR6" i="394"/>
  <c r="BQ6" i="394"/>
  <c r="BP6" i="394"/>
  <c r="BO6" i="394"/>
  <c r="BN6" i="394"/>
  <c r="BM6" i="394"/>
  <c r="BL6" i="394"/>
  <c r="BK6" i="394"/>
  <c r="BJ6" i="394"/>
  <c r="BI6" i="394"/>
  <c r="BH6" i="394"/>
  <c r="BG6" i="394"/>
  <c r="BF6" i="394"/>
  <c r="BE6" i="394"/>
  <c r="BD6" i="394"/>
  <c r="BC6" i="394"/>
  <c r="BB6" i="394"/>
  <c r="AZ6" i="394"/>
  <c r="AY6" i="394"/>
  <c r="AX6" i="394"/>
  <c r="AW6" i="394"/>
  <c r="AV6" i="394"/>
  <c r="AT6" i="394"/>
  <c r="AS6" i="394"/>
  <c r="AR6" i="394"/>
  <c r="AQ6" i="394"/>
  <c r="AP6" i="394"/>
  <c r="AO6" i="394"/>
  <c r="AN6" i="394"/>
  <c r="AM6" i="394"/>
  <c r="AL6" i="394"/>
  <c r="AK6" i="394"/>
  <c r="AJ6" i="394"/>
  <c r="AI6" i="394"/>
  <c r="AH6" i="394"/>
  <c r="AF6" i="394"/>
  <c r="AD6" i="394"/>
  <c r="AC6" i="394"/>
  <c r="AB6" i="394"/>
  <c r="AA6" i="394"/>
  <c r="Z6" i="394"/>
  <c r="Y6" i="394"/>
  <c r="X6" i="394"/>
  <c r="W6" i="394"/>
  <c r="V6" i="394"/>
  <c r="U6" i="394"/>
  <c r="T6" i="394"/>
  <c r="S6" i="394"/>
  <c r="M5" i="394"/>
  <c r="F10" i="393"/>
  <c r="B15" i="393"/>
  <c r="F13" i="393"/>
  <c r="F12" i="393"/>
  <c r="F11" i="393"/>
  <c r="A8" i="393"/>
  <c r="CV6" i="393"/>
  <c r="CU6" i="393"/>
  <c r="CT6" i="393"/>
  <c r="CS6" i="393"/>
  <c r="CR6" i="393"/>
  <c r="CQ6" i="393"/>
  <c r="CP6" i="393"/>
  <c r="CO6" i="393"/>
  <c r="CN6" i="393"/>
  <c r="CM6" i="393"/>
  <c r="CL6" i="393"/>
  <c r="CK6" i="393"/>
  <c r="CJ6" i="393"/>
  <c r="CI6" i="393"/>
  <c r="CH6" i="393"/>
  <c r="CG6" i="393"/>
  <c r="CF6" i="393"/>
  <c r="CE6" i="393"/>
  <c r="CD6" i="393"/>
  <c r="CC6" i="393"/>
  <c r="CB6" i="393"/>
  <c r="CA6" i="393"/>
  <c r="BZ6" i="393"/>
  <c r="BY6" i="393"/>
  <c r="BX6" i="393"/>
  <c r="BW6" i="393"/>
  <c r="BV6" i="393"/>
  <c r="BU6" i="393"/>
  <c r="BT6" i="393"/>
  <c r="BS6" i="393"/>
  <c r="BR6" i="393"/>
  <c r="BQ6" i="393"/>
  <c r="BP6" i="393"/>
  <c r="BO6" i="393"/>
  <c r="BN6" i="393"/>
  <c r="BM6" i="393"/>
  <c r="BL6" i="393"/>
  <c r="BK6" i="393"/>
  <c r="BJ6" i="393"/>
  <c r="BI6" i="393"/>
  <c r="BH6" i="393"/>
  <c r="BG6" i="393"/>
  <c r="BF6" i="393"/>
  <c r="BE6" i="393"/>
  <c r="BD6" i="393"/>
  <c r="BC6" i="393"/>
  <c r="BB6" i="393"/>
  <c r="AZ6" i="393"/>
  <c r="AY6" i="393"/>
  <c r="AX6" i="393"/>
  <c r="AV6" i="393"/>
  <c r="AU6" i="393"/>
  <c r="AT6" i="393"/>
  <c r="AS6" i="393"/>
  <c r="AR6" i="393"/>
  <c r="AQ6" i="393"/>
  <c r="AP6" i="393"/>
  <c r="AO6" i="393"/>
  <c r="AN6" i="393"/>
  <c r="AM6" i="393"/>
  <c r="AL6" i="393"/>
  <c r="AK6" i="393"/>
  <c r="AJ6" i="393"/>
  <c r="AI6" i="393"/>
  <c r="AH6" i="393"/>
  <c r="AF6" i="393"/>
  <c r="AD6" i="393"/>
  <c r="AC6" i="393"/>
  <c r="AB6" i="393"/>
  <c r="AA6" i="393"/>
  <c r="Z6" i="393"/>
  <c r="Y6" i="393"/>
  <c r="X6" i="393"/>
  <c r="W6" i="393"/>
  <c r="V6" i="393"/>
  <c r="U6" i="393"/>
  <c r="T6" i="393"/>
  <c r="S6" i="393"/>
  <c r="M5" i="393"/>
  <c r="P5" i="393" s="1"/>
  <c r="F10" i="392"/>
  <c r="F10" i="391"/>
  <c r="F13" i="387"/>
  <c r="P8" i="387"/>
  <c r="B15" i="392"/>
  <c r="F13" i="392"/>
  <c r="F12" i="392"/>
  <c r="F11" i="392"/>
  <c r="A8" i="392"/>
  <c r="CV6" i="392"/>
  <c r="CU6" i="392"/>
  <c r="CT6" i="392"/>
  <c r="CS6" i="392"/>
  <c r="CR6" i="392"/>
  <c r="CQ6" i="392"/>
  <c r="CP6" i="392"/>
  <c r="CO6" i="392"/>
  <c r="CN6" i="392"/>
  <c r="CM6" i="392"/>
  <c r="CL6" i="392"/>
  <c r="CK6" i="392"/>
  <c r="CJ6" i="392"/>
  <c r="CI6" i="392"/>
  <c r="CH6" i="392"/>
  <c r="CG6" i="392"/>
  <c r="CF6" i="392"/>
  <c r="CE6" i="392"/>
  <c r="CD6" i="392"/>
  <c r="CC6" i="392"/>
  <c r="CB6" i="392"/>
  <c r="CA6" i="392"/>
  <c r="BZ6" i="392"/>
  <c r="BY6" i="392"/>
  <c r="BX6" i="392"/>
  <c r="BW6" i="392"/>
  <c r="BV6" i="392"/>
  <c r="BU6" i="392"/>
  <c r="BT6" i="392"/>
  <c r="BS6" i="392"/>
  <c r="BR6" i="392"/>
  <c r="BQ6" i="392"/>
  <c r="BP6" i="392"/>
  <c r="BO6" i="392"/>
  <c r="BN6" i="392"/>
  <c r="BM6" i="392"/>
  <c r="BL6" i="392"/>
  <c r="BK6" i="392"/>
  <c r="BJ6" i="392"/>
  <c r="BI6" i="392"/>
  <c r="BH6" i="392"/>
  <c r="BG6" i="392"/>
  <c r="BF6" i="392"/>
  <c r="BE6" i="392"/>
  <c r="BD6" i="392"/>
  <c r="BC6" i="392"/>
  <c r="BB6" i="392"/>
  <c r="AZ6" i="392"/>
  <c r="AY6" i="392"/>
  <c r="AX6" i="392"/>
  <c r="AW6" i="392"/>
  <c r="AV6" i="392"/>
  <c r="AU6" i="392"/>
  <c r="AT6" i="392"/>
  <c r="AS6" i="392"/>
  <c r="AR6" i="392"/>
  <c r="AQ6" i="392"/>
  <c r="AP6" i="392"/>
  <c r="AO6" i="392"/>
  <c r="AN6" i="392"/>
  <c r="AM6" i="392"/>
  <c r="AL6" i="392"/>
  <c r="AK6" i="392"/>
  <c r="AJ6" i="392"/>
  <c r="AI6" i="392"/>
  <c r="AH6" i="392"/>
  <c r="AF6" i="392"/>
  <c r="AD6" i="392"/>
  <c r="AC6" i="392"/>
  <c r="AB6" i="392"/>
  <c r="AA6" i="392"/>
  <c r="Z6" i="392"/>
  <c r="Y6" i="392"/>
  <c r="X6" i="392"/>
  <c r="W6" i="392"/>
  <c r="V6" i="392"/>
  <c r="U6" i="392"/>
  <c r="T6" i="392"/>
  <c r="S6" i="392"/>
  <c r="M5" i="392"/>
  <c r="B15" i="391"/>
  <c r="F13" i="391"/>
  <c r="F12" i="391"/>
  <c r="F11" i="391"/>
  <c r="A8" i="391"/>
  <c r="CV6" i="391"/>
  <c r="CU6" i="391"/>
  <c r="CT6" i="391"/>
  <c r="CS6" i="391"/>
  <c r="CR6" i="391"/>
  <c r="CQ6" i="391"/>
  <c r="CP6" i="391"/>
  <c r="CO6" i="391"/>
  <c r="CN6" i="391"/>
  <c r="CM6" i="391"/>
  <c r="CL6" i="391"/>
  <c r="CK6" i="391"/>
  <c r="CJ6" i="391"/>
  <c r="CI6" i="391"/>
  <c r="CH6" i="391"/>
  <c r="CG6" i="391"/>
  <c r="CF6" i="391"/>
  <c r="CE6" i="391"/>
  <c r="CD6" i="391"/>
  <c r="CC6" i="391"/>
  <c r="CB6" i="391"/>
  <c r="CA6" i="391"/>
  <c r="BZ6" i="391"/>
  <c r="BY6" i="391"/>
  <c r="BX6" i="391"/>
  <c r="BW6" i="391"/>
  <c r="BV6" i="391"/>
  <c r="BU6" i="391"/>
  <c r="BT6" i="391"/>
  <c r="BS6" i="391"/>
  <c r="BR6" i="391"/>
  <c r="BQ6" i="391"/>
  <c r="BP6" i="391"/>
  <c r="BO6" i="391"/>
  <c r="BN6" i="391"/>
  <c r="BM6" i="391"/>
  <c r="BL6" i="391"/>
  <c r="BK6" i="391"/>
  <c r="BJ6" i="391"/>
  <c r="BI6" i="391"/>
  <c r="BH6" i="391"/>
  <c r="BG6" i="391"/>
  <c r="BF6" i="391"/>
  <c r="BE6" i="391"/>
  <c r="BD6" i="391"/>
  <c r="BC6" i="391"/>
  <c r="BB6" i="391"/>
  <c r="AZ6" i="391"/>
  <c r="AY6" i="391"/>
  <c r="AX6" i="391"/>
  <c r="AV6" i="391"/>
  <c r="AU6" i="391"/>
  <c r="AT6" i="391"/>
  <c r="AS6" i="391"/>
  <c r="AR6" i="391"/>
  <c r="AQ6" i="391"/>
  <c r="AP6" i="391"/>
  <c r="AO6" i="391"/>
  <c r="AN6" i="391"/>
  <c r="AM6" i="391"/>
  <c r="AL6" i="391"/>
  <c r="AK6" i="391"/>
  <c r="AJ6" i="391"/>
  <c r="AI6" i="391"/>
  <c r="AH6" i="391"/>
  <c r="AF6" i="391"/>
  <c r="AD6" i="391"/>
  <c r="AC6" i="391"/>
  <c r="AB6" i="391"/>
  <c r="AA6" i="391"/>
  <c r="Z6" i="391"/>
  <c r="Y6" i="391"/>
  <c r="X6" i="391"/>
  <c r="W6" i="391"/>
  <c r="V6" i="391"/>
  <c r="U6" i="391"/>
  <c r="T6" i="391"/>
  <c r="S6" i="391"/>
  <c r="M5" i="391"/>
  <c r="F10" i="386"/>
  <c r="F10" i="384"/>
  <c r="F10" i="385"/>
  <c r="F10" i="378"/>
  <c r="F10" i="377"/>
  <c r="F13" i="381"/>
  <c r="B35" i="388"/>
  <c r="F33" i="388"/>
  <c r="F32" i="388"/>
  <c r="F31" i="388"/>
  <c r="A28" i="388"/>
  <c r="CV26" i="388"/>
  <c r="CU26" i="388"/>
  <c r="CT26" i="388"/>
  <c r="CS26" i="388"/>
  <c r="CR26" i="388"/>
  <c r="CQ26" i="388"/>
  <c r="CP26" i="388"/>
  <c r="CO26" i="388"/>
  <c r="CN26" i="388"/>
  <c r="CM26" i="388"/>
  <c r="CL26" i="388"/>
  <c r="CK26" i="388"/>
  <c r="CJ26" i="388"/>
  <c r="CI26" i="388"/>
  <c r="CH26" i="388"/>
  <c r="CG26" i="388"/>
  <c r="CF26" i="388"/>
  <c r="CE26" i="388"/>
  <c r="CD26" i="388"/>
  <c r="CC26" i="388"/>
  <c r="CB26" i="388"/>
  <c r="CA26" i="388"/>
  <c r="BZ26" i="388"/>
  <c r="BY26" i="388"/>
  <c r="BX26" i="388"/>
  <c r="BW26" i="388"/>
  <c r="BV26" i="388"/>
  <c r="BU26" i="388"/>
  <c r="BT26" i="388"/>
  <c r="BS26" i="388"/>
  <c r="BR26" i="388"/>
  <c r="BQ26" i="388"/>
  <c r="BP26" i="388"/>
  <c r="BO26" i="388"/>
  <c r="BN26" i="388"/>
  <c r="BM26" i="388"/>
  <c r="BL26" i="388"/>
  <c r="BK26" i="388"/>
  <c r="BJ26" i="388"/>
  <c r="BI26" i="388"/>
  <c r="BH26" i="388"/>
  <c r="BG26" i="388"/>
  <c r="BF26" i="388"/>
  <c r="BE26" i="388"/>
  <c r="BD26" i="388"/>
  <c r="BC26" i="388"/>
  <c r="BB26" i="388"/>
  <c r="AZ26" i="388"/>
  <c r="AY26" i="388"/>
  <c r="AX26" i="388"/>
  <c r="AW26" i="388"/>
  <c r="AV26" i="388"/>
  <c r="AU26" i="388"/>
  <c r="AT26" i="388"/>
  <c r="AS26" i="388"/>
  <c r="AR26" i="388"/>
  <c r="AQ26" i="388"/>
  <c r="AP26" i="388"/>
  <c r="AO26" i="388"/>
  <c r="AN26" i="388"/>
  <c r="AM26" i="388"/>
  <c r="AL26" i="388"/>
  <c r="AK26" i="388"/>
  <c r="AJ26" i="388"/>
  <c r="AI26" i="388"/>
  <c r="AH26" i="388"/>
  <c r="AF26" i="388"/>
  <c r="AD26" i="388"/>
  <c r="AC26" i="388"/>
  <c r="AB26" i="388"/>
  <c r="AA26" i="388"/>
  <c r="Z26" i="388"/>
  <c r="Y26" i="388"/>
  <c r="X26" i="388"/>
  <c r="W26" i="388"/>
  <c r="V26" i="388"/>
  <c r="U26" i="388"/>
  <c r="T26" i="388"/>
  <c r="S26" i="388"/>
  <c r="M25" i="388"/>
  <c r="P25" i="388" s="1"/>
  <c r="M24" i="388"/>
  <c r="P24" i="388" s="1"/>
  <c r="M23" i="388"/>
  <c r="P23" i="388" s="1"/>
  <c r="M22" i="388"/>
  <c r="P22" i="388" s="1"/>
  <c r="M21" i="388"/>
  <c r="P21" i="388" s="1"/>
  <c r="M5" i="388"/>
  <c r="P5" i="388" s="1"/>
  <c r="B18" i="387"/>
  <c r="F16" i="387"/>
  <c r="F15" i="387"/>
  <c r="F14" i="387"/>
  <c r="A11" i="387"/>
  <c r="CV9" i="387"/>
  <c r="CU9" i="387"/>
  <c r="CT9" i="387"/>
  <c r="CS9" i="387"/>
  <c r="CR9" i="387"/>
  <c r="CQ9" i="387"/>
  <c r="CP9" i="387"/>
  <c r="CO9" i="387"/>
  <c r="CN9" i="387"/>
  <c r="CM9" i="387"/>
  <c r="CL9" i="387"/>
  <c r="CK9" i="387"/>
  <c r="CJ9" i="387"/>
  <c r="CI9" i="387"/>
  <c r="CH9" i="387"/>
  <c r="CG9" i="387"/>
  <c r="CF9" i="387"/>
  <c r="CE9" i="387"/>
  <c r="CD9" i="387"/>
  <c r="CC9" i="387"/>
  <c r="CB9" i="387"/>
  <c r="CA9" i="387"/>
  <c r="BZ9" i="387"/>
  <c r="BY9" i="387"/>
  <c r="BX9" i="387"/>
  <c r="BW9" i="387"/>
  <c r="BV9" i="387"/>
  <c r="BU9" i="387"/>
  <c r="BT9" i="387"/>
  <c r="BS9" i="387"/>
  <c r="BR9" i="387"/>
  <c r="BQ9" i="387"/>
  <c r="BP9" i="387"/>
  <c r="BO9" i="387"/>
  <c r="BN9" i="387"/>
  <c r="BM9" i="387"/>
  <c r="BL9" i="387"/>
  <c r="BK9" i="387"/>
  <c r="BJ9" i="387"/>
  <c r="BI9" i="387"/>
  <c r="BH9" i="387"/>
  <c r="BG9" i="387"/>
  <c r="BF9" i="387"/>
  <c r="BE9" i="387"/>
  <c r="BD9" i="387"/>
  <c r="BC9" i="387"/>
  <c r="BB9" i="387"/>
  <c r="AZ9" i="387"/>
  <c r="AY9" i="387"/>
  <c r="AX9" i="387"/>
  <c r="AW9" i="387"/>
  <c r="AV9" i="387"/>
  <c r="AU9" i="387"/>
  <c r="AT9" i="387"/>
  <c r="AS9" i="387"/>
  <c r="AR9" i="387"/>
  <c r="AQ9" i="387"/>
  <c r="AP9" i="387"/>
  <c r="AO9" i="387"/>
  <c r="AN9" i="387"/>
  <c r="AM9" i="387"/>
  <c r="AL9" i="387"/>
  <c r="AK9" i="387"/>
  <c r="AJ9" i="387"/>
  <c r="AI9" i="387"/>
  <c r="AH9" i="387"/>
  <c r="AF9" i="387"/>
  <c r="AD9" i="387"/>
  <c r="AC9" i="387"/>
  <c r="AB9" i="387"/>
  <c r="AA9" i="387"/>
  <c r="Z9" i="387"/>
  <c r="Y9" i="387"/>
  <c r="X9" i="387"/>
  <c r="W9" i="387"/>
  <c r="V9" i="387"/>
  <c r="U9" i="387"/>
  <c r="T9" i="387"/>
  <c r="S9" i="387"/>
  <c r="M8" i="387"/>
  <c r="M7" i="387"/>
  <c r="P7" i="387" s="1"/>
  <c r="M6" i="387"/>
  <c r="M5" i="387"/>
  <c r="B15" i="386"/>
  <c r="F13" i="386"/>
  <c r="F12" i="386"/>
  <c r="F11" i="386"/>
  <c r="A8" i="386"/>
  <c r="CV6" i="386"/>
  <c r="CU6" i="386"/>
  <c r="CT6" i="386"/>
  <c r="CS6" i="386"/>
  <c r="CR6" i="386"/>
  <c r="CQ6" i="386"/>
  <c r="CP6" i="386"/>
  <c r="CO6" i="386"/>
  <c r="CN6" i="386"/>
  <c r="CM6" i="386"/>
  <c r="CL6" i="386"/>
  <c r="CK6" i="386"/>
  <c r="CJ6" i="386"/>
  <c r="CI6" i="386"/>
  <c r="CH6" i="386"/>
  <c r="CG6" i="386"/>
  <c r="CF6" i="386"/>
  <c r="CE6" i="386"/>
  <c r="CD6" i="386"/>
  <c r="CC6" i="386"/>
  <c r="CB6" i="386"/>
  <c r="CA6" i="386"/>
  <c r="BZ6" i="386"/>
  <c r="BY6" i="386"/>
  <c r="BX6" i="386"/>
  <c r="BW6" i="386"/>
  <c r="BV6" i="386"/>
  <c r="BU6" i="386"/>
  <c r="BT6" i="386"/>
  <c r="BS6" i="386"/>
  <c r="BR6" i="386"/>
  <c r="BQ6" i="386"/>
  <c r="BP6" i="386"/>
  <c r="BO6" i="386"/>
  <c r="BN6" i="386"/>
  <c r="BM6" i="386"/>
  <c r="BL6" i="386"/>
  <c r="BK6" i="386"/>
  <c r="BJ6" i="386"/>
  <c r="BI6" i="386"/>
  <c r="BH6" i="386"/>
  <c r="BG6" i="386"/>
  <c r="BF6" i="386"/>
  <c r="BE6" i="386"/>
  <c r="BD6" i="386"/>
  <c r="BC6" i="386"/>
  <c r="AZ6" i="386"/>
  <c r="AY6" i="386"/>
  <c r="AX6" i="386"/>
  <c r="AW6" i="386"/>
  <c r="AV6" i="386"/>
  <c r="AU6" i="386"/>
  <c r="AT6" i="386"/>
  <c r="AS6" i="386"/>
  <c r="AR6" i="386"/>
  <c r="AQ6" i="386"/>
  <c r="AP6" i="386"/>
  <c r="AO6" i="386"/>
  <c r="AN6" i="386"/>
  <c r="AM6" i="386"/>
  <c r="AL6" i="386"/>
  <c r="AK6" i="386"/>
  <c r="AJ6" i="386"/>
  <c r="AI6" i="386"/>
  <c r="AH6" i="386"/>
  <c r="AF6" i="386"/>
  <c r="AD6" i="386"/>
  <c r="AC6" i="386"/>
  <c r="AB6" i="386"/>
  <c r="AA6" i="386"/>
  <c r="Z6" i="386"/>
  <c r="Y6" i="386"/>
  <c r="X6" i="386"/>
  <c r="W6" i="386"/>
  <c r="V6" i="386"/>
  <c r="U6" i="386"/>
  <c r="T6" i="386"/>
  <c r="S6" i="386"/>
  <c r="M5" i="386"/>
  <c r="B15" i="385"/>
  <c r="F13" i="385"/>
  <c r="F12" i="385"/>
  <c r="F11" i="385"/>
  <c r="A8" i="385"/>
  <c r="CV6" i="385"/>
  <c r="CU6" i="385"/>
  <c r="CT6" i="385"/>
  <c r="CS6" i="385"/>
  <c r="CR6" i="385"/>
  <c r="CQ6" i="385"/>
  <c r="CP6" i="385"/>
  <c r="CO6" i="385"/>
  <c r="CN6" i="385"/>
  <c r="CM6" i="385"/>
  <c r="CL6" i="385"/>
  <c r="CK6" i="385"/>
  <c r="CJ6" i="385"/>
  <c r="CI6" i="385"/>
  <c r="CH6" i="385"/>
  <c r="CG6" i="385"/>
  <c r="CF6" i="385"/>
  <c r="CE6" i="385"/>
  <c r="CD6" i="385"/>
  <c r="CC6" i="385"/>
  <c r="CB6" i="385"/>
  <c r="CA6" i="385"/>
  <c r="BZ6" i="385"/>
  <c r="BY6" i="385"/>
  <c r="BX6" i="385"/>
  <c r="BW6" i="385"/>
  <c r="BV6" i="385"/>
  <c r="BU6" i="385"/>
  <c r="BT6" i="385"/>
  <c r="BS6" i="385"/>
  <c r="BR6" i="385"/>
  <c r="BQ6" i="385"/>
  <c r="BP6" i="385"/>
  <c r="BO6" i="385"/>
  <c r="BN6" i="385"/>
  <c r="BM6" i="385"/>
  <c r="BL6" i="385"/>
  <c r="BK6" i="385"/>
  <c r="BJ6" i="385"/>
  <c r="BI6" i="385"/>
  <c r="BH6" i="385"/>
  <c r="BG6" i="385"/>
  <c r="BF6" i="385"/>
  <c r="BE6" i="385"/>
  <c r="BD6" i="385"/>
  <c r="BC6" i="385"/>
  <c r="AZ6" i="385"/>
  <c r="AY6" i="385"/>
  <c r="AX6" i="385"/>
  <c r="AW6" i="385"/>
  <c r="AV6" i="385"/>
  <c r="AU6" i="385"/>
  <c r="AT6" i="385"/>
  <c r="AS6" i="385"/>
  <c r="AR6" i="385"/>
  <c r="AQ6" i="385"/>
  <c r="AP6" i="385"/>
  <c r="AO6" i="385"/>
  <c r="AN6" i="385"/>
  <c r="AM6" i="385"/>
  <c r="AL6" i="385"/>
  <c r="AK6" i="385"/>
  <c r="AJ6" i="385"/>
  <c r="AI6" i="385"/>
  <c r="AH6" i="385"/>
  <c r="AF6" i="385"/>
  <c r="AD6" i="385"/>
  <c r="AC6" i="385"/>
  <c r="AB6" i="385"/>
  <c r="AA6" i="385"/>
  <c r="Z6" i="385"/>
  <c r="Y6" i="385"/>
  <c r="X6" i="385"/>
  <c r="W6" i="385"/>
  <c r="V6" i="385"/>
  <c r="U6" i="385"/>
  <c r="T6" i="385"/>
  <c r="S6" i="385"/>
  <c r="M5" i="385"/>
  <c r="B15" i="384"/>
  <c r="F13" i="384"/>
  <c r="F12" i="384"/>
  <c r="F11" i="384"/>
  <c r="A8" i="384"/>
  <c r="CV6" i="384"/>
  <c r="CU6" i="384"/>
  <c r="CT6" i="384"/>
  <c r="CS6" i="384"/>
  <c r="CR6" i="384"/>
  <c r="CQ6" i="384"/>
  <c r="CP6" i="384"/>
  <c r="CO6" i="384"/>
  <c r="CN6" i="384"/>
  <c r="CM6" i="384"/>
  <c r="CL6" i="384"/>
  <c r="CK6" i="384"/>
  <c r="CJ6" i="384"/>
  <c r="CI6" i="384"/>
  <c r="CH6" i="384"/>
  <c r="CG6" i="384"/>
  <c r="CF6" i="384"/>
  <c r="CE6" i="384"/>
  <c r="CD6" i="384"/>
  <c r="CC6" i="384"/>
  <c r="CB6" i="384"/>
  <c r="CA6" i="384"/>
  <c r="BZ6" i="384"/>
  <c r="BY6" i="384"/>
  <c r="BX6" i="384"/>
  <c r="BW6" i="384"/>
  <c r="BV6" i="384"/>
  <c r="BU6" i="384"/>
  <c r="BT6" i="384"/>
  <c r="BS6" i="384"/>
  <c r="BR6" i="384"/>
  <c r="BQ6" i="384"/>
  <c r="BP6" i="384"/>
  <c r="BO6" i="384"/>
  <c r="BN6" i="384"/>
  <c r="BM6" i="384"/>
  <c r="BL6" i="384"/>
  <c r="BK6" i="384"/>
  <c r="BJ6" i="384"/>
  <c r="BI6" i="384"/>
  <c r="BH6" i="384"/>
  <c r="BG6" i="384"/>
  <c r="BF6" i="384"/>
  <c r="BE6" i="384"/>
  <c r="BD6" i="384"/>
  <c r="BC6" i="384"/>
  <c r="AZ6" i="384"/>
  <c r="AY6" i="384"/>
  <c r="AX6" i="384"/>
  <c r="AW6" i="384"/>
  <c r="AV6" i="384"/>
  <c r="AU6" i="384"/>
  <c r="AT6" i="384"/>
  <c r="AS6" i="384"/>
  <c r="AR6" i="384"/>
  <c r="AQ6" i="384"/>
  <c r="AP6" i="384"/>
  <c r="AO6" i="384"/>
  <c r="AN6" i="384"/>
  <c r="AM6" i="384"/>
  <c r="AL6" i="384"/>
  <c r="AK6" i="384"/>
  <c r="AJ6" i="384"/>
  <c r="AI6" i="384"/>
  <c r="AH6" i="384"/>
  <c r="AF6" i="384"/>
  <c r="AD6" i="384"/>
  <c r="AC6" i="384"/>
  <c r="AB6" i="384"/>
  <c r="AA6" i="384"/>
  <c r="Z6" i="384"/>
  <c r="Y6" i="384"/>
  <c r="X6" i="384"/>
  <c r="W6" i="384"/>
  <c r="V6" i="384"/>
  <c r="U6" i="384"/>
  <c r="T6" i="384"/>
  <c r="S6" i="384"/>
  <c r="M5" i="384"/>
  <c r="B18" i="381"/>
  <c r="F16" i="381"/>
  <c r="F15" i="381"/>
  <c r="F14" i="381"/>
  <c r="A11" i="381"/>
  <c r="CV9" i="381"/>
  <c r="CU9" i="381"/>
  <c r="CT9" i="381"/>
  <c r="CS9" i="381"/>
  <c r="CR9" i="381"/>
  <c r="CQ9" i="381"/>
  <c r="CP9" i="381"/>
  <c r="CO9" i="381"/>
  <c r="CN9" i="381"/>
  <c r="CM9" i="381"/>
  <c r="CL9" i="381"/>
  <c r="CK9" i="381"/>
  <c r="CJ9" i="381"/>
  <c r="CI9" i="381"/>
  <c r="CH9" i="381"/>
  <c r="CG9" i="381"/>
  <c r="CF9" i="381"/>
  <c r="CE9" i="381"/>
  <c r="CD9" i="381"/>
  <c r="CC9" i="381"/>
  <c r="CB9" i="381"/>
  <c r="CA9" i="381"/>
  <c r="BZ9" i="381"/>
  <c r="BY9" i="381"/>
  <c r="BX9" i="381"/>
  <c r="BW9" i="381"/>
  <c r="BV9" i="381"/>
  <c r="BU9" i="381"/>
  <c r="BT9" i="381"/>
  <c r="BS9" i="381"/>
  <c r="BR9" i="381"/>
  <c r="BQ9" i="381"/>
  <c r="BP9" i="381"/>
  <c r="BO9" i="381"/>
  <c r="BN9" i="381"/>
  <c r="BM9" i="381"/>
  <c r="BL9" i="381"/>
  <c r="BK9" i="381"/>
  <c r="BJ9" i="381"/>
  <c r="BI9" i="381"/>
  <c r="BH9" i="381"/>
  <c r="BG9" i="381"/>
  <c r="BF9" i="381"/>
  <c r="BE9" i="381"/>
  <c r="BD9" i="381"/>
  <c r="BC9" i="381"/>
  <c r="BB9" i="381"/>
  <c r="AZ9" i="381"/>
  <c r="AY9" i="381"/>
  <c r="AX9" i="381"/>
  <c r="AW9" i="381"/>
  <c r="AV9" i="381"/>
  <c r="AU9" i="381"/>
  <c r="AT9" i="381"/>
  <c r="AS9" i="381"/>
  <c r="AR9" i="381"/>
  <c r="AQ9" i="381"/>
  <c r="AP9" i="381"/>
  <c r="AO9" i="381"/>
  <c r="AN9" i="381"/>
  <c r="AM9" i="381"/>
  <c r="AL9" i="381"/>
  <c r="AK9" i="381"/>
  <c r="AJ9" i="381"/>
  <c r="AI9" i="381"/>
  <c r="AH9" i="381"/>
  <c r="AF9" i="381"/>
  <c r="AD9" i="381"/>
  <c r="AC9" i="381"/>
  <c r="AB9" i="381"/>
  <c r="AA9" i="381"/>
  <c r="Z9" i="381"/>
  <c r="Y9" i="381"/>
  <c r="X9" i="381"/>
  <c r="W9" i="381"/>
  <c r="V9" i="381"/>
  <c r="U9" i="381"/>
  <c r="T9" i="381"/>
  <c r="S9" i="381"/>
  <c r="M8" i="381"/>
  <c r="M7" i="381"/>
  <c r="M6" i="381"/>
  <c r="M5" i="381"/>
  <c r="P5" i="381" s="1"/>
  <c r="F12" i="379"/>
  <c r="B17" i="379"/>
  <c r="F15" i="379"/>
  <c r="F14" i="379"/>
  <c r="F13" i="379"/>
  <c r="A10" i="379"/>
  <c r="CV8" i="379"/>
  <c r="CU8" i="379"/>
  <c r="CT8" i="379"/>
  <c r="CS8" i="379"/>
  <c r="CR8" i="379"/>
  <c r="CQ8" i="379"/>
  <c r="CP8" i="379"/>
  <c r="CO8" i="379"/>
  <c r="CN8" i="379"/>
  <c r="CM8" i="379"/>
  <c r="CL8" i="379"/>
  <c r="CK8" i="379"/>
  <c r="CJ8" i="379"/>
  <c r="CI8" i="379"/>
  <c r="CH8" i="379"/>
  <c r="CG8" i="379"/>
  <c r="CF8" i="379"/>
  <c r="CE8" i="379"/>
  <c r="CD8" i="379"/>
  <c r="CC8" i="379"/>
  <c r="CB8" i="379"/>
  <c r="CA8" i="379"/>
  <c r="BZ8" i="379"/>
  <c r="BY8" i="379"/>
  <c r="BX8" i="379"/>
  <c r="BW8" i="379"/>
  <c r="BV8" i="379"/>
  <c r="BU8" i="379"/>
  <c r="BT8" i="379"/>
  <c r="BS8" i="379"/>
  <c r="BR8" i="379"/>
  <c r="BQ8" i="379"/>
  <c r="BP8" i="379"/>
  <c r="BO8" i="379"/>
  <c r="BN8" i="379"/>
  <c r="BM8" i="379"/>
  <c r="BL8" i="379"/>
  <c r="BK8" i="379"/>
  <c r="BJ8" i="379"/>
  <c r="BI8" i="379"/>
  <c r="BH8" i="379"/>
  <c r="BG8" i="379"/>
  <c r="BF8" i="379"/>
  <c r="BE8" i="379"/>
  <c r="BD8" i="379"/>
  <c r="BC8" i="379"/>
  <c r="BB8" i="379"/>
  <c r="AZ8" i="379"/>
  <c r="AY8" i="379"/>
  <c r="AX8" i="379"/>
  <c r="AW8" i="379"/>
  <c r="AV8" i="379"/>
  <c r="AU8" i="379"/>
  <c r="AT8" i="379"/>
  <c r="AS8" i="379"/>
  <c r="AR8" i="379"/>
  <c r="AQ8" i="379"/>
  <c r="AP8" i="379"/>
  <c r="AO8" i="379"/>
  <c r="AN8" i="379"/>
  <c r="AM8" i="379"/>
  <c r="AL8" i="379"/>
  <c r="AK8" i="379"/>
  <c r="AJ8" i="379"/>
  <c r="AI8" i="379"/>
  <c r="AH8" i="379"/>
  <c r="AF8" i="379"/>
  <c r="AD8" i="379"/>
  <c r="AC8" i="379"/>
  <c r="AB8" i="379"/>
  <c r="AA8" i="379"/>
  <c r="Z8" i="379"/>
  <c r="Y8" i="379"/>
  <c r="X8" i="379"/>
  <c r="W8" i="379"/>
  <c r="V8" i="379"/>
  <c r="U8" i="379"/>
  <c r="T8" i="379"/>
  <c r="S8" i="379"/>
  <c r="M7" i="379"/>
  <c r="M6" i="379"/>
  <c r="M5" i="379"/>
  <c r="F10" i="375"/>
  <c r="F10" i="374"/>
  <c r="F10" i="373"/>
  <c r="F10" i="372"/>
  <c r="F10" i="371"/>
  <c r="F12" i="266"/>
  <c r="B15" i="378"/>
  <c r="F13" i="378"/>
  <c r="F12" i="378"/>
  <c r="F11" i="378"/>
  <c r="A8" i="378"/>
  <c r="CV6" i="378"/>
  <c r="CU6" i="378"/>
  <c r="CT6" i="378"/>
  <c r="CS6" i="378"/>
  <c r="CR6" i="378"/>
  <c r="CQ6" i="378"/>
  <c r="CP6" i="378"/>
  <c r="CO6" i="378"/>
  <c r="CN6" i="378"/>
  <c r="CM6" i="378"/>
  <c r="CL6" i="378"/>
  <c r="CK6" i="378"/>
  <c r="CJ6" i="378"/>
  <c r="CI6" i="378"/>
  <c r="CH6" i="378"/>
  <c r="CG6" i="378"/>
  <c r="CF6" i="378"/>
  <c r="CE6" i="378"/>
  <c r="CD6" i="378"/>
  <c r="CC6" i="378"/>
  <c r="CB6" i="378"/>
  <c r="CA6" i="378"/>
  <c r="BZ6" i="378"/>
  <c r="BY6" i="378"/>
  <c r="BX6" i="378"/>
  <c r="BW6" i="378"/>
  <c r="BV6" i="378"/>
  <c r="BU6" i="378"/>
  <c r="BT6" i="378"/>
  <c r="BS6" i="378"/>
  <c r="BR6" i="378"/>
  <c r="BQ6" i="378"/>
  <c r="BP6" i="378"/>
  <c r="BO6" i="378"/>
  <c r="BN6" i="378"/>
  <c r="BM6" i="378"/>
  <c r="BL6" i="378"/>
  <c r="BK6" i="378"/>
  <c r="BJ6" i="378"/>
  <c r="BI6" i="378"/>
  <c r="BH6" i="378"/>
  <c r="BG6" i="378"/>
  <c r="BF6" i="378"/>
  <c r="BE6" i="378"/>
  <c r="BD6" i="378"/>
  <c r="BC6" i="378"/>
  <c r="BB6" i="378"/>
  <c r="AZ6" i="378"/>
  <c r="AY6" i="378"/>
  <c r="AX6" i="378"/>
  <c r="AW6" i="378"/>
  <c r="AV6" i="378"/>
  <c r="AU6" i="378"/>
  <c r="AT6" i="378"/>
  <c r="AS6" i="378"/>
  <c r="AR6" i="378"/>
  <c r="AQ6" i="378"/>
  <c r="AP6" i="378"/>
  <c r="AO6" i="378"/>
  <c r="AN6" i="378"/>
  <c r="AM6" i="378"/>
  <c r="AL6" i="378"/>
  <c r="AK6" i="378"/>
  <c r="AJ6" i="378"/>
  <c r="AI6" i="378"/>
  <c r="AH6" i="378"/>
  <c r="AF6" i="378"/>
  <c r="AD6" i="378"/>
  <c r="AC6" i="378"/>
  <c r="AB6" i="378"/>
  <c r="AA6" i="378"/>
  <c r="Z6" i="378"/>
  <c r="Y6" i="378"/>
  <c r="X6" i="378"/>
  <c r="W6" i="378"/>
  <c r="V6" i="378"/>
  <c r="U6" i="378"/>
  <c r="T6" i="378"/>
  <c r="S6" i="378"/>
  <c r="M5" i="378"/>
  <c r="B15" i="377"/>
  <c r="F13" i="377"/>
  <c r="F12" i="377"/>
  <c r="F11" i="377"/>
  <c r="A8" i="377"/>
  <c r="CV6" i="377"/>
  <c r="CU6" i="377"/>
  <c r="CT6" i="377"/>
  <c r="CS6" i="377"/>
  <c r="CR6" i="377"/>
  <c r="CQ6" i="377"/>
  <c r="CP6" i="377"/>
  <c r="CO6" i="377"/>
  <c r="CN6" i="377"/>
  <c r="CM6" i="377"/>
  <c r="CL6" i="377"/>
  <c r="CK6" i="377"/>
  <c r="CJ6" i="377"/>
  <c r="CI6" i="377"/>
  <c r="CH6" i="377"/>
  <c r="CG6" i="377"/>
  <c r="CF6" i="377"/>
  <c r="CE6" i="377"/>
  <c r="CD6" i="377"/>
  <c r="CC6" i="377"/>
  <c r="CB6" i="377"/>
  <c r="CA6" i="377"/>
  <c r="BZ6" i="377"/>
  <c r="BY6" i="377"/>
  <c r="BX6" i="377"/>
  <c r="BW6" i="377"/>
  <c r="BV6" i="377"/>
  <c r="BU6" i="377"/>
  <c r="BT6" i="377"/>
  <c r="BS6" i="377"/>
  <c r="BR6" i="377"/>
  <c r="BQ6" i="377"/>
  <c r="BP6" i="377"/>
  <c r="BO6" i="377"/>
  <c r="BN6" i="377"/>
  <c r="BM6" i="377"/>
  <c r="BL6" i="377"/>
  <c r="BK6" i="377"/>
  <c r="BJ6" i="377"/>
  <c r="BI6" i="377"/>
  <c r="BH6" i="377"/>
  <c r="BG6" i="377"/>
  <c r="BF6" i="377"/>
  <c r="BE6" i="377"/>
  <c r="BD6" i="377"/>
  <c r="BC6" i="377"/>
  <c r="BB6" i="377"/>
  <c r="AZ6" i="377"/>
  <c r="AY6" i="377"/>
  <c r="AX6" i="377"/>
  <c r="AW6" i="377"/>
  <c r="AV6" i="377"/>
  <c r="AU6" i="377"/>
  <c r="AT6" i="377"/>
  <c r="AS6" i="377"/>
  <c r="AR6" i="377"/>
  <c r="AQ6" i="377"/>
  <c r="AP6" i="377"/>
  <c r="AO6" i="377"/>
  <c r="AN6" i="377"/>
  <c r="AM6" i="377"/>
  <c r="AL6" i="377"/>
  <c r="AK6" i="377"/>
  <c r="AJ6" i="377"/>
  <c r="AI6" i="377"/>
  <c r="AH6" i="377"/>
  <c r="AF6" i="377"/>
  <c r="AD6" i="377"/>
  <c r="AC6" i="377"/>
  <c r="AB6" i="377"/>
  <c r="AA6" i="377"/>
  <c r="Z6" i="377"/>
  <c r="Y6" i="377"/>
  <c r="X6" i="377"/>
  <c r="W6" i="377"/>
  <c r="V6" i="377"/>
  <c r="U6" i="377"/>
  <c r="T6" i="377"/>
  <c r="S6" i="377"/>
  <c r="M5" i="377"/>
  <c r="B15" i="375"/>
  <c r="F13" i="375"/>
  <c r="F12" i="375"/>
  <c r="F11" i="375"/>
  <c r="A8" i="375"/>
  <c r="CV6" i="375"/>
  <c r="CU6" i="375"/>
  <c r="CT6" i="375"/>
  <c r="CS6" i="375"/>
  <c r="CR6" i="375"/>
  <c r="CQ6" i="375"/>
  <c r="CP6" i="375"/>
  <c r="CO6" i="375"/>
  <c r="CN6" i="375"/>
  <c r="CM6" i="375"/>
  <c r="CL6" i="375"/>
  <c r="CK6" i="375"/>
  <c r="CJ6" i="375"/>
  <c r="CI6" i="375"/>
  <c r="CH6" i="375"/>
  <c r="CG6" i="375"/>
  <c r="CF6" i="375"/>
  <c r="CE6" i="375"/>
  <c r="CD6" i="375"/>
  <c r="CC6" i="375"/>
  <c r="CB6" i="375"/>
  <c r="CA6" i="375"/>
  <c r="BZ6" i="375"/>
  <c r="BY6" i="375"/>
  <c r="BX6" i="375"/>
  <c r="BW6" i="375"/>
  <c r="BV6" i="375"/>
  <c r="BU6" i="375"/>
  <c r="BT6" i="375"/>
  <c r="BS6" i="375"/>
  <c r="BR6" i="375"/>
  <c r="BQ6" i="375"/>
  <c r="BP6" i="375"/>
  <c r="BO6" i="375"/>
  <c r="BN6" i="375"/>
  <c r="BM6" i="375"/>
  <c r="BL6" i="375"/>
  <c r="BK6" i="375"/>
  <c r="BJ6" i="375"/>
  <c r="BI6" i="375"/>
  <c r="BH6" i="375"/>
  <c r="BG6" i="375"/>
  <c r="BF6" i="375"/>
  <c r="BE6" i="375"/>
  <c r="BD6" i="375"/>
  <c r="BC6" i="375"/>
  <c r="BB6" i="375"/>
  <c r="AZ6" i="375"/>
  <c r="AY6" i="375"/>
  <c r="AX6" i="375"/>
  <c r="AV6" i="375"/>
  <c r="AU6" i="375"/>
  <c r="AT6" i="375"/>
  <c r="AS6" i="375"/>
  <c r="AR6" i="375"/>
  <c r="AQ6" i="375"/>
  <c r="AP6" i="375"/>
  <c r="AO6" i="375"/>
  <c r="AN6" i="375"/>
  <c r="AM6" i="375"/>
  <c r="AL6" i="375"/>
  <c r="AK6" i="375"/>
  <c r="AJ6" i="375"/>
  <c r="AI6" i="375"/>
  <c r="AH6" i="375"/>
  <c r="AF6" i="375"/>
  <c r="AD6" i="375"/>
  <c r="AC6" i="375"/>
  <c r="AB6" i="375"/>
  <c r="AA6" i="375"/>
  <c r="Z6" i="375"/>
  <c r="Y6" i="375"/>
  <c r="X6" i="375"/>
  <c r="W6" i="375"/>
  <c r="V6" i="375"/>
  <c r="U6" i="375"/>
  <c r="T6" i="375"/>
  <c r="S6" i="375"/>
  <c r="M5" i="375"/>
  <c r="P5" i="375" s="1"/>
  <c r="B15" i="374"/>
  <c r="F13" i="374"/>
  <c r="F12" i="374"/>
  <c r="F11" i="374"/>
  <c r="A8" i="374"/>
  <c r="CV6" i="374"/>
  <c r="CU6" i="374"/>
  <c r="CT6" i="374"/>
  <c r="CS6" i="374"/>
  <c r="CR6" i="374"/>
  <c r="CQ6" i="374"/>
  <c r="CP6" i="374"/>
  <c r="CO6" i="374"/>
  <c r="CN6" i="374"/>
  <c r="CM6" i="374"/>
  <c r="CL6" i="374"/>
  <c r="CK6" i="374"/>
  <c r="CJ6" i="374"/>
  <c r="CI6" i="374"/>
  <c r="CH6" i="374"/>
  <c r="CG6" i="374"/>
  <c r="CF6" i="374"/>
  <c r="CE6" i="374"/>
  <c r="CD6" i="374"/>
  <c r="CC6" i="374"/>
  <c r="CB6" i="374"/>
  <c r="CA6" i="374"/>
  <c r="BZ6" i="374"/>
  <c r="BY6" i="374"/>
  <c r="BX6" i="374"/>
  <c r="BW6" i="374"/>
  <c r="BV6" i="374"/>
  <c r="BU6" i="374"/>
  <c r="BT6" i="374"/>
  <c r="BS6" i="374"/>
  <c r="BR6" i="374"/>
  <c r="BQ6" i="374"/>
  <c r="BP6" i="374"/>
  <c r="BO6" i="374"/>
  <c r="BN6" i="374"/>
  <c r="BM6" i="374"/>
  <c r="BL6" i="374"/>
  <c r="BK6" i="374"/>
  <c r="BJ6" i="374"/>
  <c r="BI6" i="374"/>
  <c r="BH6" i="374"/>
  <c r="BG6" i="374"/>
  <c r="BF6" i="374"/>
  <c r="BE6" i="374"/>
  <c r="BD6" i="374"/>
  <c r="BC6" i="374"/>
  <c r="BB6" i="374"/>
  <c r="AZ6" i="374"/>
  <c r="AY6" i="374"/>
  <c r="AX6" i="374"/>
  <c r="AV6" i="374"/>
  <c r="AU6" i="374"/>
  <c r="AT6" i="374"/>
  <c r="AS6" i="374"/>
  <c r="AR6" i="374"/>
  <c r="AQ6" i="374"/>
  <c r="AP6" i="374"/>
  <c r="AO6" i="374"/>
  <c r="AN6" i="374"/>
  <c r="AM6" i="374"/>
  <c r="AL6" i="374"/>
  <c r="AK6" i="374"/>
  <c r="AJ6" i="374"/>
  <c r="AI6" i="374"/>
  <c r="AH6" i="374"/>
  <c r="AF6" i="374"/>
  <c r="AD6" i="374"/>
  <c r="AC6" i="374"/>
  <c r="AB6" i="374"/>
  <c r="AA6" i="374"/>
  <c r="Z6" i="374"/>
  <c r="Y6" i="374"/>
  <c r="X6" i="374"/>
  <c r="W6" i="374"/>
  <c r="V6" i="374"/>
  <c r="U6" i="374"/>
  <c r="T6" i="374"/>
  <c r="S6" i="374"/>
  <c r="M5" i="374"/>
  <c r="P5" i="374" s="1"/>
  <c r="B15" i="373"/>
  <c r="F13" i="373"/>
  <c r="F12" i="373"/>
  <c r="F11" i="373"/>
  <c r="A8" i="373"/>
  <c r="CV6" i="373"/>
  <c r="CU6" i="373"/>
  <c r="CT6" i="373"/>
  <c r="CS6" i="373"/>
  <c r="CR6" i="373"/>
  <c r="CQ6" i="373"/>
  <c r="CP6" i="373"/>
  <c r="CO6" i="373"/>
  <c r="CN6" i="373"/>
  <c r="CM6" i="373"/>
  <c r="CL6" i="373"/>
  <c r="CK6" i="373"/>
  <c r="CJ6" i="373"/>
  <c r="CI6" i="373"/>
  <c r="CH6" i="373"/>
  <c r="CG6" i="373"/>
  <c r="CF6" i="373"/>
  <c r="CE6" i="373"/>
  <c r="CD6" i="373"/>
  <c r="CC6" i="373"/>
  <c r="CB6" i="373"/>
  <c r="CA6" i="373"/>
  <c r="BZ6" i="373"/>
  <c r="BY6" i="373"/>
  <c r="BX6" i="373"/>
  <c r="BW6" i="373"/>
  <c r="BV6" i="373"/>
  <c r="BU6" i="373"/>
  <c r="BT6" i="373"/>
  <c r="BS6" i="373"/>
  <c r="BR6" i="373"/>
  <c r="BQ6" i="373"/>
  <c r="BP6" i="373"/>
  <c r="BN6" i="373"/>
  <c r="BM6" i="373"/>
  <c r="BL6" i="373"/>
  <c r="BK6" i="373"/>
  <c r="BJ6" i="373"/>
  <c r="BI6" i="373"/>
  <c r="BH6" i="373"/>
  <c r="BG6" i="373"/>
  <c r="BF6" i="373"/>
  <c r="BE6" i="373"/>
  <c r="BD6" i="373"/>
  <c r="BC6" i="373"/>
  <c r="BB6" i="373"/>
  <c r="AZ6" i="373"/>
  <c r="AY6" i="373"/>
  <c r="AX6" i="373"/>
  <c r="AW6" i="373"/>
  <c r="AV6" i="373"/>
  <c r="AU6" i="373"/>
  <c r="AT6" i="373"/>
  <c r="AS6" i="373"/>
  <c r="AR6" i="373"/>
  <c r="AQ6" i="373"/>
  <c r="AP6" i="373"/>
  <c r="AO6" i="373"/>
  <c r="AN6" i="373"/>
  <c r="AM6" i="373"/>
  <c r="AL6" i="373"/>
  <c r="AK6" i="373"/>
  <c r="AJ6" i="373"/>
  <c r="AI6" i="373"/>
  <c r="AH6" i="373"/>
  <c r="AF6" i="373"/>
  <c r="AD6" i="373"/>
  <c r="AC6" i="373"/>
  <c r="AB6" i="373"/>
  <c r="AA6" i="373"/>
  <c r="Z6" i="373"/>
  <c r="Y6" i="373"/>
  <c r="X6" i="373"/>
  <c r="W6" i="373"/>
  <c r="V6" i="373"/>
  <c r="U6" i="373"/>
  <c r="T6" i="373"/>
  <c r="S6" i="373"/>
  <c r="M5" i="373"/>
  <c r="B15" i="372"/>
  <c r="F13" i="372"/>
  <c r="F12" i="372"/>
  <c r="F11" i="372"/>
  <c r="A8" i="372"/>
  <c r="CV6" i="372"/>
  <c r="CU6" i="372"/>
  <c r="CT6" i="372"/>
  <c r="CS6" i="372"/>
  <c r="CR6" i="372"/>
  <c r="CQ6" i="372"/>
  <c r="CP6" i="372"/>
  <c r="CO6" i="372"/>
  <c r="CN6" i="372"/>
  <c r="CM6" i="372"/>
  <c r="CL6" i="372"/>
  <c r="CK6" i="372"/>
  <c r="CJ6" i="372"/>
  <c r="CI6" i="372"/>
  <c r="CH6" i="372"/>
  <c r="CG6" i="372"/>
  <c r="CF6" i="372"/>
  <c r="CE6" i="372"/>
  <c r="CD6" i="372"/>
  <c r="CC6" i="372"/>
  <c r="CB6" i="372"/>
  <c r="CA6" i="372"/>
  <c r="BZ6" i="372"/>
  <c r="BY6" i="372"/>
  <c r="BX6" i="372"/>
  <c r="BW6" i="372"/>
  <c r="BV6" i="372"/>
  <c r="BU6" i="372"/>
  <c r="BT6" i="372"/>
  <c r="BS6" i="372"/>
  <c r="BR6" i="372"/>
  <c r="BQ6" i="372"/>
  <c r="BP6" i="372"/>
  <c r="BN6" i="372"/>
  <c r="BM6" i="372"/>
  <c r="BL6" i="372"/>
  <c r="BK6" i="372"/>
  <c r="BJ6" i="372"/>
  <c r="BI6" i="372"/>
  <c r="BH6" i="372"/>
  <c r="BG6" i="372"/>
  <c r="BF6" i="372"/>
  <c r="BE6" i="372"/>
  <c r="BD6" i="372"/>
  <c r="BC6" i="372"/>
  <c r="BB6" i="372"/>
  <c r="AZ6" i="372"/>
  <c r="AY6" i="372"/>
  <c r="AX6" i="372"/>
  <c r="AW6" i="372"/>
  <c r="AV6" i="372"/>
  <c r="AU6" i="372"/>
  <c r="AT6" i="372"/>
  <c r="AS6" i="372"/>
  <c r="AR6" i="372"/>
  <c r="AQ6" i="372"/>
  <c r="AP6" i="372"/>
  <c r="AO6" i="372"/>
  <c r="AN6" i="372"/>
  <c r="AM6" i="372"/>
  <c r="AL6" i="372"/>
  <c r="AK6" i="372"/>
  <c r="AJ6" i="372"/>
  <c r="AI6" i="372"/>
  <c r="AH6" i="372"/>
  <c r="AF6" i="372"/>
  <c r="AD6" i="372"/>
  <c r="AC6" i="372"/>
  <c r="AB6" i="372"/>
  <c r="AA6" i="372"/>
  <c r="Z6" i="372"/>
  <c r="Y6" i="372"/>
  <c r="X6" i="372"/>
  <c r="W6" i="372"/>
  <c r="V6" i="372"/>
  <c r="U6" i="372"/>
  <c r="T6" i="372"/>
  <c r="S6" i="372"/>
  <c r="M5" i="372"/>
  <c r="B15" i="371"/>
  <c r="F13" i="371"/>
  <c r="F12" i="371"/>
  <c r="F11" i="371"/>
  <c r="A8" i="371"/>
  <c r="CV6" i="371"/>
  <c r="CU6" i="371"/>
  <c r="CT6" i="371"/>
  <c r="CS6" i="371"/>
  <c r="CR6" i="371"/>
  <c r="CQ6" i="371"/>
  <c r="CP6" i="371"/>
  <c r="CO6" i="371"/>
  <c r="CN6" i="371"/>
  <c r="CM6" i="371"/>
  <c r="CL6" i="371"/>
  <c r="CK6" i="371"/>
  <c r="CJ6" i="371"/>
  <c r="CI6" i="371"/>
  <c r="CH6" i="371"/>
  <c r="CG6" i="371"/>
  <c r="CF6" i="371"/>
  <c r="CE6" i="371"/>
  <c r="CD6" i="371"/>
  <c r="CC6" i="371"/>
  <c r="CB6" i="371"/>
  <c r="CA6" i="371"/>
  <c r="BZ6" i="371"/>
  <c r="BX6" i="371"/>
  <c r="BW6" i="371"/>
  <c r="BV6" i="371"/>
  <c r="BU6" i="371"/>
  <c r="BT6" i="371"/>
  <c r="BS6" i="371"/>
  <c r="BR6" i="371"/>
  <c r="BQ6" i="371"/>
  <c r="BP6" i="371"/>
  <c r="BO6" i="371"/>
  <c r="BN6" i="371"/>
  <c r="BM6" i="371"/>
  <c r="BL6" i="371"/>
  <c r="BK6" i="371"/>
  <c r="BJ6" i="371"/>
  <c r="BI6" i="371"/>
  <c r="BH6" i="371"/>
  <c r="BG6" i="371"/>
  <c r="BF6" i="371"/>
  <c r="BE6" i="371"/>
  <c r="BD6" i="371"/>
  <c r="BC6" i="371"/>
  <c r="BB6" i="371"/>
  <c r="AZ6" i="371"/>
  <c r="AY6" i="371"/>
  <c r="AX6" i="371"/>
  <c r="AW6" i="371"/>
  <c r="AV6" i="371"/>
  <c r="AU6" i="371"/>
  <c r="AT6" i="371"/>
  <c r="AS6" i="371"/>
  <c r="AR6" i="371"/>
  <c r="AQ6" i="371"/>
  <c r="AP6" i="371"/>
  <c r="AO6" i="371"/>
  <c r="AN6" i="371"/>
  <c r="AM6" i="371"/>
  <c r="AL6" i="371"/>
  <c r="AK6" i="371"/>
  <c r="AJ6" i="371"/>
  <c r="AI6" i="371"/>
  <c r="AH6" i="371"/>
  <c r="AF6" i="371"/>
  <c r="AD6" i="371"/>
  <c r="AC6" i="371"/>
  <c r="AB6" i="371"/>
  <c r="AA6" i="371"/>
  <c r="Z6" i="371"/>
  <c r="Y6" i="371"/>
  <c r="X6" i="371"/>
  <c r="W6" i="371"/>
  <c r="V6" i="371"/>
  <c r="U6" i="371"/>
  <c r="T6" i="371"/>
  <c r="S6" i="371"/>
  <c r="M5" i="371"/>
  <c r="P5" i="371" s="1"/>
  <c r="P6" i="371" s="1"/>
  <c r="F10" i="265"/>
  <c r="F10" i="264"/>
  <c r="F10" i="369"/>
  <c r="F10" i="368"/>
  <c r="F10" i="367"/>
  <c r="P5" i="367"/>
  <c r="F10" i="366"/>
  <c r="F10" i="365"/>
  <c r="F10" i="263"/>
  <c r="B15" i="264"/>
  <c r="F13" i="264"/>
  <c r="F12" i="264"/>
  <c r="F11" i="264"/>
  <c r="A8" i="264"/>
  <c r="CV6" i="264"/>
  <c r="CU6" i="264"/>
  <c r="CT6" i="264"/>
  <c r="CS6" i="264"/>
  <c r="CR6" i="264"/>
  <c r="CQ6" i="264"/>
  <c r="CP6" i="264"/>
  <c r="CO6" i="264"/>
  <c r="CN6" i="264"/>
  <c r="CM6" i="264"/>
  <c r="CL6" i="264"/>
  <c r="CK6" i="264"/>
  <c r="CJ6" i="264"/>
  <c r="CI6" i="264"/>
  <c r="CH6" i="264"/>
  <c r="CG6" i="264"/>
  <c r="CF6" i="264"/>
  <c r="CE6" i="264"/>
  <c r="CD6" i="264"/>
  <c r="CC6" i="264"/>
  <c r="CB6" i="264"/>
  <c r="CA6" i="264"/>
  <c r="BZ6" i="264"/>
  <c r="BY6" i="264"/>
  <c r="BX6" i="264"/>
  <c r="BW6" i="264"/>
  <c r="BV6" i="264"/>
  <c r="BU6" i="264"/>
  <c r="BT6" i="264"/>
  <c r="BS6" i="264"/>
  <c r="BR6" i="264"/>
  <c r="BQ6" i="264"/>
  <c r="BP6" i="264"/>
  <c r="BO6" i="264"/>
  <c r="BN6" i="264"/>
  <c r="BM6" i="264"/>
  <c r="BL6" i="264"/>
  <c r="BK6" i="264"/>
  <c r="BJ6" i="264"/>
  <c r="BI6" i="264"/>
  <c r="BH6" i="264"/>
  <c r="BG6" i="264"/>
  <c r="BF6" i="264"/>
  <c r="BE6" i="264"/>
  <c r="BD6" i="264"/>
  <c r="BC6" i="264"/>
  <c r="BB6" i="264"/>
  <c r="AZ6" i="264"/>
  <c r="AY6" i="264"/>
  <c r="AX6" i="264"/>
  <c r="AV6" i="264"/>
  <c r="AU6" i="264"/>
  <c r="AT6" i="264"/>
  <c r="AS6" i="264"/>
  <c r="AR6" i="264"/>
  <c r="AQ6" i="264"/>
  <c r="AP6" i="264"/>
  <c r="AO6" i="264"/>
  <c r="AN6" i="264"/>
  <c r="AM6" i="264"/>
  <c r="AL6" i="264"/>
  <c r="AK6" i="264"/>
  <c r="AJ6" i="264"/>
  <c r="AI6" i="264"/>
  <c r="AH6" i="264"/>
  <c r="AF6" i="264"/>
  <c r="AD6" i="264"/>
  <c r="AC6" i="264"/>
  <c r="AB6" i="264"/>
  <c r="AA6" i="264"/>
  <c r="Z6" i="264"/>
  <c r="Y6" i="264"/>
  <c r="X6" i="264"/>
  <c r="W6" i="264"/>
  <c r="V6" i="264"/>
  <c r="U6" i="264"/>
  <c r="T6" i="264"/>
  <c r="S6" i="264"/>
  <c r="M5" i="264"/>
  <c r="P5" i="264" s="1"/>
  <c r="B15" i="369"/>
  <c r="F13" i="369"/>
  <c r="F12" i="369"/>
  <c r="F11" i="369"/>
  <c r="A8" i="369"/>
  <c r="CV6" i="369"/>
  <c r="CU6" i="369"/>
  <c r="CT6" i="369"/>
  <c r="CS6" i="369"/>
  <c r="CR6" i="369"/>
  <c r="CQ6" i="369"/>
  <c r="CP6" i="369"/>
  <c r="CO6" i="369"/>
  <c r="CN6" i="369"/>
  <c r="CM6" i="369"/>
  <c r="CL6" i="369"/>
  <c r="CK6" i="369"/>
  <c r="CJ6" i="369"/>
  <c r="CI6" i="369"/>
  <c r="CH6" i="369"/>
  <c r="CG6" i="369"/>
  <c r="CF6" i="369"/>
  <c r="CE6" i="369"/>
  <c r="CD6" i="369"/>
  <c r="CC6" i="369"/>
  <c r="CB6" i="369"/>
  <c r="CA6" i="369"/>
  <c r="BZ6" i="369"/>
  <c r="BY6" i="369"/>
  <c r="BX6" i="369"/>
  <c r="BW6" i="369"/>
  <c r="BV6" i="369"/>
  <c r="BU6" i="369"/>
  <c r="BT6" i="369"/>
  <c r="BS6" i="369"/>
  <c r="BR6" i="369"/>
  <c r="BQ6" i="369"/>
  <c r="BP6" i="369"/>
  <c r="BO6" i="369"/>
  <c r="BN6" i="369"/>
  <c r="BM6" i="369"/>
  <c r="BL6" i="369"/>
  <c r="BK6" i="369"/>
  <c r="BJ6" i="369"/>
  <c r="BI6" i="369"/>
  <c r="BH6" i="369"/>
  <c r="BG6" i="369"/>
  <c r="BF6" i="369"/>
  <c r="BE6" i="369"/>
  <c r="BD6" i="369"/>
  <c r="BC6" i="369"/>
  <c r="BB6" i="369"/>
  <c r="AZ6" i="369"/>
  <c r="AY6" i="369"/>
  <c r="AX6" i="369"/>
  <c r="AV6" i="369"/>
  <c r="AU6" i="369"/>
  <c r="AT6" i="369"/>
  <c r="AS6" i="369"/>
  <c r="AR6" i="369"/>
  <c r="AQ6" i="369"/>
  <c r="AP6" i="369"/>
  <c r="AO6" i="369"/>
  <c r="AN6" i="369"/>
  <c r="AM6" i="369"/>
  <c r="AL6" i="369"/>
  <c r="AK6" i="369"/>
  <c r="AJ6" i="369"/>
  <c r="AI6" i="369"/>
  <c r="AH6" i="369"/>
  <c r="AF6" i="369"/>
  <c r="AD6" i="369"/>
  <c r="AC6" i="369"/>
  <c r="AB6" i="369"/>
  <c r="AA6" i="369"/>
  <c r="Z6" i="369"/>
  <c r="Y6" i="369"/>
  <c r="X6" i="369"/>
  <c r="W6" i="369"/>
  <c r="V6" i="369"/>
  <c r="U6" i="369"/>
  <c r="T6" i="369"/>
  <c r="S6" i="369"/>
  <c r="M5" i="369"/>
  <c r="P5" i="369" s="1"/>
  <c r="B15" i="368"/>
  <c r="F13" i="368"/>
  <c r="F12" i="368"/>
  <c r="F11" i="368"/>
  <c r="A8" i="368"/>
  <c r="CV6" i="368"/>
  <c r="CU6" i="368"/>
  <c r="CT6" i="368"/>
  <c r="CS6" i="368"/>
  <c r="CR6" i="368"/>
  <c r="CQ6" i="368"/>
  <c r="CP6" i="368"/>
  <c r="CO6" i="368"/>
  <c r="CN6" i="368"/>
  <c r="CM6" i="368"/>
  <c r="CL6" i="368"/>
  <c r="CK6" i="368"/>
  <c r="CJ6" i="368"/>
  <c r="CI6" i="368"/>
  <c r="CH6" i="368"/>
  <c r="CG6" i="368"/>
  <c r="CF6" i="368"/>
  <c r="CE6" i="368"/>
  <c r="CD6" i="368"/>
  <c r="CC6" i="368"/>
  <c r="CB6" i="368"/>
  <c r="CA6" i="368"/>
  <c r="BZ6" i="368"/>
  <c r="BY6" i="368"/>
  <c r="BX6" i="368"/>
  <c r="BW6" i="368"/>
  <c r="BV6" i="368"/>
  <c r="BU6" i="368"/>
  <c r="BT6" i="368"/>
  <c r="BS6" i="368"/>
  <c r="BR6" i="368"/>
  <c r="BQ6" i="368"/>
  <c r="BP6" i="368"/>
  <c r="BO6" i="368"/>
  <c r="BN6" i="368"/>
  <c r="BM6" i="368"/>
  <c r="BL6" i="368"/>
  <c r="BK6" i="368"/>
  <c r="BJ6" i="368"/>
  <c r="BI6" i="368"/>
  <c r="BH6" i="368"/>
  <c r="BG6" i="368"/>
  <c r="BF6" i="368"/>
  <c r="BE6" i="368"/>
  <c r="BD6" i="368"/>
  <c r="BC6" i="368"/>
  <c r="BB6" i="368"/>
  <c r="AZ6" i="368"/>
  <c r="AY6" i="368"/>
  <c r="AX6" i="368"/>
  <c r="AW6" i="368"/>
  <c r="AV6" i="368"/>
  <c r="AU6" i="368"/>
  <c r="AT6" i="368"/>
  <c r="AS6" i="368"/>
  <c r="AR6" i="368"/>
  <c r="AQ6" i="368"/>
  <c r="AP6" i="368"/>
  <c r="AO6" i="368"/>
  <c r="AN6" i="368"/>
  <c r="AM6" i="368"/>
  <c r="AL6" i="368"/>
  <c r="AK6" i="368"/>
  <c r="AJ6" i="368"/>
  <c r="AI6" i="368"/>
  <c r="AH6" i="368"/>
  <c r="AF6" i="368"/>
  <c r="AD6" i="368"/>
  <c r="AC6" i="368"/>
  <c r="AB6" i="368"/>
  <c r="AA6" i="368"/>
  <c r="Z6" i="368"/>
  <c r="Y6" i="368"/>
  <c r="X6" i="368"/>
  <c r="W6" i="368"/>
  <c r="V6" i="368"/>
  <c r="U6" i="368"/>
  <c r="T6" i="368"/>
  <c r="S6" i="368"/>
  <c r="M5" i="368"/>
  <c r="D11" i="368" s="1"/>
  <c r="B15" i="367"/>
  <c r="F13" i="367"/>
  <c r="F12" i="367"/>
  <c r="F11" i="367"/>
  <c r="A8" i="367"/>
  <c r="CV6" i="367"/>
  <c r="CU6" i="367"/>
  <c r="CT6" i="367"/>
  <c r="CS6" i="367"/>
  <c r="CR6" i="367"/>
  <c r="CQ6" i="367"/>
  <c r="CP6" i="367"/>
  <c r="CO6" i="367"/>
  <c r="CN6" i="367"/>
  <c r="CM6" i="367"/>
  <c r="CL6" i="367"/>
  <c r="CK6" i="367"/>
  <c r="CJ6" i="367"/>
  <c r="CI6" i="367"/>
  <c r="CH6" i="367"/>
  <c r="CG6" i="367"/>
  <c r="CF6" i="367"/>
  <c r="CE6" i="367"/>
  <c r="CD6" i="367"/>
  <c r="CC6" i="367"/>
  <c r="CB6" i="367"/>
  <c r="CA6" i="367"/>
  <c r="BZ6" i="367"/>
  <c r="BY6" i="367"/>
  <c r="BX6" i="367"/>
  <c r="BW6" i="367"/>
  <c r="BV6" i="367"/>
  <c r="BU6" i="367"/>
  <c r="BT6" i="367"/>
  <c r="BS6" i="367"/>
  <c r="BR6" i="367"/>
  <c r="BQ6" i="367"/>
  <c r="BP6" i="367"/>
  <c r="BO6" i="367"/>
  <c r="BN6" i="367"/>
  <c r="BM6" i="367"/>
  <c r="BL6" i="367"/>
  <c r="BK6" i="367"/>
  <c r="BJ6" i="367"/>
  <c r="BI6" i="367"/>
  <c r="BH6" i="367"/>
  <c r="BG6" i="367"/>
  <c r="BF6" i="367"/>
  <c r="BE6" i="367"/>
  <c r="BD6" i="367"/>
  <c r="BC6" i="367"/>
  <c r="BB6" i="367"/>
  <c r="AZ6" i="367"/>
  <c r="AY6" i="367"/>
  <c r="AX6" i="367"/>
  <c r="AV6" i="367"/>
  <c r="AU6" i="367"/>
  <c r="AT6" i="367"/>
  <c r="AS6" i="367"/>
  <c r="AR6" i="367"/>
  <c r="AQ6" i="367"/>
  <c r="AP6" i="367"/>
  <c r="AO6" i="367"/>
  <c r="AN6" i="367"/>
  <c r="AM6" i="367"/>
  <c r="AL6" i="367"/>
  <c r="AK6" i="367"/>
  <c r="AJ6" i="367"/>
  <c r="AI6" i="367"/>
  <c r="AH6" i="367"/>
  <c r="AF6" i="367"/>
  <c r="AD6" i="367"/>
  <c r="AC6" i="367"/>
  <c r="AB6" i="367"/>
  <c r="AA6" i="367"/>
  <c r="Z6" i="367"/>
  <c r="Y6" i="367"/>
  <c r="X6" i="367"/>
  <c r="W6" i="367"/>
  <c r="V6" i="367"/>
  <c r="U6" i="367"/>
  <c r="T6" i="367"/>
  <c r="S6" i="367"/>
  <c r="M5" i="367"/>
  <c r="B15" i="366"/>
  <c r="F13" i="366"/>
  <c r="F12" i="366"/>
  <c r="F11" i="366"/>
  <c r="A8" i="366"/>
  <c r="CV6" i="366"/>
  <c r="CU6" i="366"/>
  <c r="CT6" i="366"/>
  <c r="CS6" i="366"/>
  <c r="CR6" i="366"/>
  <c r="CQ6" i="366"/>
  <c r="CP6" i="366"/>
  <c r="CO6" i="366"/>
  <c r="CN6" i="366"/>
  <c r="CM6" i="366"/>
  <c r="CL6" i="366"/>
  <c r="CK6" i="366"/>
  <c r="CJ6" i="366"/>
  <c r="CI6" i="366"/>
  <c r="CH6" i="366"/>
  <c r="CG6" i="366"/>
  <c r="CF6" i="366"/>
  <c r="CE6" i="366"/>
  <c r="CD6" i="366"/>
  <c r="CC6" i="366"/>
  <c r="CB6" i="366"/>
  <c r="CA6" i="366"/>
  <c r="BZ6" i="366"/>
  <c r="BX6" i="366"/>
  <c r="BW6" i="366"/>
  <c r="BV6" i="366"/>
  <c r="BU6" i="366"/>
  <c r="BT6" i="366"/>
  <c r="BS6" i="366"/>
  <c r="BR6" i="366"/>
  <c r="BQ6" i="366"/>
  <c r="BP6" i="366"/>
  <c r="BO6" i="366"/>
  <c r="BN6" i="366"/>
  <c r="BM6" i="366"/>
  <c r="BL6" i="366"/>
  <c r="BK6" i="366"/>
  <c r="BJ6" i="366"/>
  <c r="BI6" i="366"/>
  <c r="BH6" i="366"/>
  <c r="BG6" i="366"/>
  <c r="BF6" i="366"/>
  <c r="BE6" i="366"/>
  <c r="BD6" i="366"/>
  <c r="BC6" i="366"/>
  <c r="BB6" i="366"/>
  <c r="AZ6" i="366"/>
  <c r="AY6" i="366"/>
  <c r="AX6" i="366"/>
  <c r="AW6" i="366"/>
  <c r="AV6" i="366"/>
  <c r="AU6" i="366"/>
  <c r="AT6" i="366"/>
  <c r="AS6" i="366"/>
  <c r="AR6" i="366"/>
  <c r="AQ6" i="366"/>
  <c r="AP6" i="366"/>
  <c r="AO6" i="366"/>
  <c r="AN6" i="366"/>
  <c r="AM6" i="366"/>
  <c r="AL6" i="366"/>
  <c r="AK6" i="366"/>
  <c r="AJ6" i="366"/>
  <c r="AI6" i="366"/>
  <c r="AH6" i="366"/>
  <c r="AF6" i="366"/>
  <c r="AD6" i="366"/>
  <c r="AC6" i="366"/>
  <c r="AB6" i="366"/>
  <c r="AA6" i="366"/>
  <c r="Z6" i="366"/>
  <c r="Y6" i="366"/>
  <c r="X6" i="366"/>
  <c r="W6" i="366"/>
  <c r="V6" i="366"/>
  <c r="U6" i="366"/>
  <c r="T6" i="366"/>
  <c r="S6" i="366"/>
  <c r="M5" i="366"/>
  <c r="P5" i="366" s="1"/>
  <c r="B15" i="365"/>
  <c r="F13" i="365"/>
  <c r="F12" i="365"/>
  <c r="F11" i="365"/>
  <c r="A8" i="365"/>
  <c r="CV6" i="365"/>
  <c r="CU6" i="365"/>
  <c r="CT6" i="365"/>
  <c r="CS6" i="365"/>
  <c r="CR6" i="365"/>
  <c r="CQ6" i="365"/>
  <c r="CP6" i="365"/>
  <c r="CO6" i="365"/>
  <c r="CN6" i="365"/>
  <c r="CM6" i="365"/>
  <c r="CL6" i="365"/>
  <c r="CK6" i="365"/>
  <c r="CJ6" i="365"/>
  <c r="CI6" i="365"/>
  <c r="CH6" i="365"/>
  <c r="CG6" i="365"/>
  <c r="CF6" i="365"/>
  <c r="CE6" i="365"/>
  <c r="CD6" i="365"/>
  <c r="CC6" i="365"/>
  <c r="CB6" i="365"/>
  <c r="CA6" i="365"/>
  <c r="BZ6" i="365"/>
  <c r="BY6" i="365"/>
  <c r="BX6" i="365"/>
  <c r="BW6" i="365"/>
  <c r="BV6" i="365"/>
  <c r="BU6" i="365"/>
  <c r="BT6" i="365"/>
  <c r="BS6" i="365"/>
  <c r="BR6" i="365"/>
  <c r="BQ6" i="365"/>
  <c r="BP6" i="365"/>
  <c r="BO6" i="365"/>
  <c r="BN6" i="365"/>
  <c r="BM6" i="365"/>
  <c r="BL6" i="365"/>
  <c r="BK6" i="365"/>
  <c r="BJ6" i="365"/>
  <c r="BI6" i="365"/>
  <c r="BH6" i="365"/>
  <c r="BG6" i="365"/>
  <c r="BF6" i="365"/>
  <c r="BE6" i="365"/>
  <c r="BD6" i="365"/>
  <c r="BC6" i="365"/>
  <c r="AZ6" i="365"/>
  <c r="AY6" i="365"/>
  <c r="AX6" i="365"/>
  <c r="AW6" i="365"/>
  <c r="AV6" i="365"/>
  <c r="AU6" i="365"/>
  <c r="AT6" i="365"/>
  <c r="AS6" i="365"/>
  <c r="AR6" i="365"/>
  <c r="AQ6" i="365"/>
  <c r="AP6" i="365"/>
  <c r="AO6" i="365"/>
  <c r="AN6" i="365"/>
  <c r="AM6" i="365"/>
  <c r="AL6" i="365"/>
  <c r="AK6" i="365"/>
  <c r="AJ6" i="365"/>
  <c r="AI6" i="365"/>
  <c r="AH6" i="365"/>
  <c r="AF6" i="365"/>
  <c r="AD6" i="365"/>
  <c r="AC6" i="365"/>
  <c r="AB6" i="365"/>
  <c r="AA6" i="365"/>
  <c r="Z6" i="365"/>
  <c r="Y6" i="365"/>
  <c r="X6" i="365"/>
  <c r="W6" i="365"/>
  <c r="V6" i="365"/>
  <c r="U6" i="365"/>
  <c r="T6" i="365"/>
  <c r="S6" i="365"/>
  <c r="M5" i="365"/>
  <c r="F10" i="262"/>
  <c r="F12" i="260"/>
  <c r="F10" i="259"/>
  <c r="F10" i="257"/>
  <c r="F10" i="256"/>
  <c r="F10" i="255"/>
  <c r="F10" i="254"/>
  <c r="F10" i="253"/>
  <c r="F10" i="329"/>
  <c r="F10" i="328"/>
  <c r="F10" i="327"/>
  <c r="F10" i="326"/>
  <c r="F10" i="325"/>
  <c r="F10" i="324"/>
  <c r="CU85" i="127" l="1"/>
  <c r="CV85" i="127" s="1"/>
  <c r="BC149" i="127"/>
  <c r="BO149" i="127"/>
  <c r="CU44" i="127"/>
  <c r="CV44" i="127" s="1"/>
  <c r="CU19" i="127"/>
  <c r="CV19" i="127" s="1"/>
  <c r="CU146" i="127"/>
  <c r="CV146" i="127" s="1"/>
  <c r="CU101" i="127"/>
  <c r="CV101" i="127" s="1"/>
  <c r="CU105" i="127"/>
  <c r="CV105" i="127" s="1"/>
  <c r="V488" i="128"/>
  <c r="N488" i="128"/>
  <c r="CU12" i="127"/>
  <c r="CV12" i="127" s="1"/>
  <c r="CU109" i="127"/>
  <c r="CV109" i="127" s="1"/>
  <c r="CU97" i="127"/>
  <c r="CV97" i="127" s="1"/>
  <c r="CU27" i="127"/>
  <c r="CV27" i="127" s="1"/>
  <c r="CV148" i="127"/>
  <c r="CU117" i="127"/>
  <c r="CV117" i="127" s="1"/>
  <c r="CU99" i="127"/>
  <c r="CV99" i="127" s="1"/>
  <c r="CU9" i="127"/>
  <c r="CV9" i="127" s="1"/>
  <c r="BC324" i="128"/>
  <c r="BC325" i="128" s="1"/>
  <c r="R83" i="127"/>
  <c r="R149" i="127" s="1"/>
  <c r="CU13" i="127"/>
  <c r="CV13" i="127" s="1"/>
  <c r="CU92" i="127"/>
  <c r="CV92" i="127" s="1"/>
  <c r="CU16" i="127"/>
  <c r="CV16" i="127" s="1"/>
  <c r="CU96" i="127"/>
  <c r="CV96" i="127" s="1"/>
  <c r="V149" i="127"/>
  <c r="CU86" i="127"/>
  <c r="CV86" i="127" s="1"/>
  <c r="CU110" i="127"/>
  <c r="CV110" i="127" s="1"/>
  <c r="CU98" i="127"/>
  <c r="CV98" i="127" s="1"/>
  <c r="P149" i="127"/>
  <c r="CU18" i="127"/>
  <c r="CV18" i="127" s="1"/>
  <c r="CU145" i="127"/>
  <c r="CV145" i="127" s="1"/>
  <c r="CU432" i="128"/>
  <c r="CV432" i="128" s="1"/>
  <c r="CU89" i="127"/>
  <c r="CV89" i="127" s="1"/>
  <c r="CU76" i="127"/>
  <c r="CV76" i="127" s="1"/>
  <c r="R66" i="127"/>
  <c r="CU66" i="127" s="1"/>
  <c r="CV66" i="127" s="1"/>
  <c r="CU88" i="127"/>
  <c r="CV88" i="127" s="1"/>
  <c r="CU348" i="128"/>
  <c r="CV348" i="128" s="1"/>
  <c r="CU365" i="128"/>
  <c r="CV365" i="128" s="1"/>
  <c r="CU17" i="127"/>
  <c r="CV17" i="127" s="1"/>
  <c r="CU118" i="127"/>
  <c r="CV118" i="127" s="1"/>
  <c r="CU22" i="127"/>
  <c r="CV22" i="127" s="1"/>
  <c r="CU67" i="127"/>
  <c r="CV67" i="127" s="1"/>
  <c r="CU102" i="127"/>
  <c r="CV102" i="127" s="1"/>
  <c r="M246" i="128"/>
  <c r="Q297" i="128"/>
  <c r="CU438" i="128"/>
  <c r="CV438" i="128" s="1"/>
  <c r="M292" i="128"/>
  <c r="P295" i="128"/>
  <c r="Q316" i="128"/>
  <c r="Q317" i="128" s="1"/>
  <c r="M336" i="128"/>
  <c r="N336" i="128" s="1"/>
  <c r="AR337" i="128"/>
  <c r="R422" i="128"/>
  <c r="CU422" i="128" s="1"/>
  <c r="CV422" i="128" s="1"/>
  <c r="M272" i="128"/>
  <c r="CU369" i="128"/>
  <c r="CV369" i="128" s="1"/>
  <c r="M248" i="128"/>
  <c r="M311" i="128"/>
  <c r="M315" i="128"/>
  <c r="M334" i="128"/>
  <c r="N334" i="128" s="1"/>
  <c r="CU457" i="128"/>
  <c r="CV457" i="128" s="1"/>
  <c r="P302" i="128"/>
  <c r="P303" i="128" s="1"/>
  <c r="CU367" i="128"/>
  <c r="CV367" i="128" s="1"/>
  <c r="CU347" i="128"/>
  <c r="CV347" i="128" s="1"/>
  <c r="P488" i="128"/>
  <c r="CU487" i="128"/>
  <c r="CU407" i="128"/>
  <c r="CV407" i="128" s="1"/>
  <c r="CU486" i="128"/>
  <c r="CV486" i="128" s="1"/>
  <c r="R405" i="128"/>
  <c r="CU405" i="128" s="1"/>
  <c r="CV405" i="128" s="1"/>
  <c r="CU406" i="128"/>
  <c r="CV406" i="128" s="1"/>
  <c r="AH431" i="128"/>
  <c r="CU444" i="128"/>
  <c r="CV444" i="128" s="1"/>
  <c r="CU384" i="128"/>
  <c r="CV384" i="128" s="1"/>
  <c r="CU379" i="128"/>
  <c r="CV379" i="128" s="1"/>
  <c r="CU451" i="128"/>
  <c r="CV451" i="128" s="1"/>
  <c r="BC488" i="128"/>
  <c r="CU370" i="128"/>
  <c r="CV370" i="128" s="1"/>
  <c r="R415" i="128"/>
  <c r="CU415" i="128" s="1"/>
  <c r="CV415" i="128" s="1"/>
  <c r="CU456" i="128"/>
  <c r="CV456" i="128" s="1"/>
  <c r="M8" i="426"/>
  <c r="E15" i="426" s="1"/>
  <c r="E14" i="425"/>
  <c r="M12" i="423"/>
  <c r="E19" i="423" s="1"/>
  <c r="E14" i="422"/>
  <c r="M8" i="421"/>
  <c r="E15" i="421" s="1"/>
  <c r="M7" i="420"/>
  <c r="N7" i="420" s="1"/>
  <c r="M6" i="415"/>
  <c r="P7" i="413"/>
  <c r="Q7" i="413"/>
  <c r="M6" i="411"/>
  <c r="N6" i="411" s="1"/>
  <c r="M6" i="409"/>
  <c r="E13" i="409" s="1"/>
  <c r="M8" i="408"/>
  <c r="E15" i="408" s="1"/>
  <c r="M11" i="405"/>
  <c r="E18" i="405" s="1"/>
  <c r="P7" i="404"/>
  <c r="R7" i="404" s="1"/>
  <c r="Q7" i="404"/>
  <c r="M6" i="402"/>
  <c r="N6" i="402" s="1"/>
  <c r="M6" i="401"/>
  <c r="E13" i="401" s="1"/>
  <c r="P7" i="398"/>
  <c r="Q7" i="398"/>
  <c r="P10" i="398"/>
  <c r="Q10" i="398"/>
  <c r="M6" i="397"/>
  <c r="E13" i="397" s="1"/>
  <c r="M6" i="396"/>
  <c r="E13" i="396" s="1"/>
  <c r="AW271" i="128"/>
  <c r="AW272" i="128" s="1"/>
  <c r="P272" i="128"/>
  <c r="N250" i="128"/>
  <c r="P255" i="128"/>
  <c r="P256" i="128" s="1"/>
  <c r="Q257" i="128"/>
  <c r="Q258" i="128" s="1"/>
  <c r="M262" i="128"/>
  <c r="N262" i="128" s="1"/>
  <c r="P275" i="128"/>
  <c r="P278" i="128" s="1"/>
  <c r="M305" i="128"/>
  <c r="AF337" i="128"/>
  <c r="Q242" i="128"/>
  <c r="M256" i="128"/>
  <c r="N256" i="128" s="1"/>
  <c r="M258" i="128"/>
  <c r="N258" i="128" s="1"/>
  <c r="N317" i="128"/>
  <c r="CU325" i="128"/>
  <c r="CV325" i="128" s="1"/>
  <c r="S337" i="128"/>
  <c r="AS337" i="128"/>
  <c r="AZ337" i="128"/>
  <c r="BT337" i="128"/>
  <c r="CF337" i="128"/>
  <c r="CR337" i="128"/>
  <c r="AW250" i="128"/>
  <c r="P265" i="128"/>
  <c r="P266" i="128" s="1"/>
  <c r="P276" i="128"/>
  <c r="BW276" i="128" s="1"/>
  <c r="CU276" i="128" s="1"/>
  <c r="CV276" i="128" s="1"/>
  <c r="P316" i="128"/>
  <c r="P317" i="128" s="1"/>
  <c r="BI332" i="128"/>
  <c r="CU332" i="128" s="1"/>
  <c r="CV332" i="128" s="1"/>
  <c r="U337" i="128"/>
  <c r="AI337" i="128"/>
  <c r="BH337" i="128"/>
  <c r="BU337" i="128"/>
  <c r="CG337" i="128"/>
  <c r="CS337" i="128"/>
  <c r="AW269" i="128"/>
  <c r="AW270" i="128" s="1"/>
  <c r="BM337" i="128"/>
  <c r="CK337" i="128"/>
  <c r="AO337" i="128"/>
  <c r="V337" i="128"/>
  <c r="AJ337" i="128"/>
  <c r="AV337" i="128"/>
  <c r="BE337" i="128"/>
  <c r="M278" i="128"/>
  <c r="N278" i="128" s="1"/>
  <c r="Z337" i="128"/>
  <c r="AN337" i="128"/>
  <c r="BN337" i="128"/>
  <c r="BZ337" i="128"/>
  <c r="BK337" i="128"/>
  <c r="AK337" i="128"/>
  <c r="P240" i="128"/>
  <c r="Q244" i="128"/>
  <c r="R244" i="128" s="1"/>
  <c r="CU244" i="128" s="1"/>
  <c r="CV244" i="128" s="1"/>
  <c r="BR337" i="128"/>
  <c r="CD337" i="128"/>
  <c r="CP337" i="128"/>
  <c r="X337" i="128"/>
  <c r="AL337" i="128"/>
  <c r="AX337" i="128"/>
  <c r="BL337" i="128"/>
  <c r="BX337" i="128"/>
  <c r="CJ337" i="128"/>
  <c r="Q240" i="128"/>
  <c r="Q241" i="128" s="1"/>
  <c r="P306" i="128"/>
  <c r="P307" i="128" s="1"/>
  <c r="BO326" i="128"/>
  <c r="BO327" i="128" s="1"/>
  <c r="AD337" i="128"/>
  <c r="BF337" i="128"/>
  <c r="Y337" i="128"/>
  <c r="AM337" i="128"/>
  <c r="AY337" i="128"/>
  <c r="W337" i="128"/>
  <c r="M307" i="128"/>
  <c r="AC337" i="128"/>
  <c r="CL337" i="128"/>
  <c r="AH337" i="128"/>
  <c r="AT337" i="128"/>
  <c r="AA337" i="128"/>
  <c r="CA337" i="128"/>
  <c r="CM337" i="128"/>
  <c r="P267" i="128"/>
  <c r="P268" i="128" s="1"/>
  <c r="M288" i="128"/>
  <c r="M301" i="128"/>
  <c r="N301" i="128" s="1"/>
  <c r="BG337" i="128"/>
  <c r="CE337" i="128"/>
  <c r="CQ337" i="128"/>
  <c r="BJ337" i="128"/>
  <c r="BV337" i="128"/>
  <c r="CH337" i="128"/>
  <c r="CT337" i="128"/>
  <c r="AB337" i="128"/>
  <c r="AP337" i="128"/>
  <c r="BP337" i="128"/>
  <c r="CB337" i="128"/>
  <c r="CN337" i="128"/>
  <c r="CU250" i="128"/>
  <c r="CV250" i="128" s="1"/>
  <c r="M280" i="128"/>
  <c r="N284" i="128" s="1"/>
  <c r="AQ337" i="128"/>
  <c r="BD337" i="128"/>
  <c r="CC337" i="128"/>
  <c r="CO337" i="128"/>
  <c r="CU335" i="128"/>
  <c r="CV335" i="128" s="1"/>
  <c r="BI336" i="128"/>
  <c r="Q256" i="128"/>
  <c r="CU256" i="128" s="1"/>
  <c r="CV256" i="128" s="1"/>
  <c r="CI255" i="128"/>
  <c r="CI256" i="128" s="1"/>
  <c r="P258" i="128"/>
  <c r="BS257" i="128"/>
  <c r="BS258" i="128" s="1"/>
  <c r="BB262" i="128"/>
  <c r="CU262" i="128" s="1"/>
  <c r="CV262" i="128" s="1"/>
  <c r="CU261" i="128"/>
  <c r="CV261" i="128" s="1"/>
  <c r="P305" i="128"/>
  <c r="R248" i="128"/>
  <c r="CU248" i="128" s="1"/>
  <c r="CU247" i="128"/>
  <c r="CV247" i="128" s="1"/>
  <c r="CU298" i="128"/>
  <c r="CV298" i="128" s="1"/>
  <c r="R299" i="128"/>
  <c r="CU299" i="128" s="1"/>
  <c r="Q323" i="128"/>
  <c r="R251" i="128"/>
  <c r="BW277" i="128"/>
  <c r="CU277" i="128" s="1"/>
  <c r="CV277" i="128" s="1"/>
  <c r="R292" i="128"/>
  <c r="CU292" i="128" s="1"/>
  <c r="CU269" i="128"/>
  <c r="CV269" i="128" s="1"/>
  <c r="Q307" i="128"/>
  <c r="R245" i="128"/>
  <c r="CU245" i="128" s="1"/>
  <c r="CV245" i="128" s="1"/>
  <c r="P288" i="128"/>
  <c r="P301" i="128"/>
  <c r="CU327" i="128"/>
  <c r="CV327" i="128" s="1"/>
  <c r="P280" i="128"/>
  <c r="BY279" i="128"/>
  <c r="BY280" i="128" s="1"/>
  <c r="BC337" i="128"/>
  <c r="R253" i="128"/>
  <c r="CU253" i="128" s="1"/>
  <c r="CV253" i="128" s="1"/>
  <c r="P263" i="128"/>
  <c r="M270" i="128"/>
  <c r="N274" i="128" s="1"/>
  <c r="CU271" i="128"/>
  <c r="CV271" i="128" s="1"/>
  <c r="P273" i="128"/>
  <c r="AW273" i="128" s="1"/>
  <c r="AW274" i="128" s="1"/>
  <c r="AW287" i="128"/>
  <c r="AW288" i="128" s="1"/>
  <c r="R293" i="128"/>
  <c r="CU293" i="128" s="1"/>
  <c r="CV293" i="128" s="1"/>
  <c r="R295" i="128"/>
  <c r="CU295" i="128" s="1"/>
  <c r="CV295" i="128" s="1"/>
  <c r="M299" i="128"/>
  <c r="Q300" i="128"/>
  <c r="Q301" i="128" s="1"/>
  <c r="Q304" i="128"/>
  <c r="Q305" i="128" s="1"/>
  <c r="M309" i="128"/>
  <c r="N311" i="128" s="1"/>
  <c r="P310" i="128"/>
  <c r="M319" i="128"/>
  <c r="N319" i="128" s="1"/>
  <c r="P320" i="128"/>
  <c r="P322" i="128"/>
  <c r="P330" i="128"/>
  <c r="AW330" i="128" s="1"/>
  <c r="AW331" i="128" s="1"/>
  <c r="T337" i="128"/>
  <c r="P242" i="128"/>
  <c r="P270" i="128"/>
  <c r="CU270" i="128" s="1"/>
  <c r="M286" i="128"/>
  <c r="R300" i="128"/>
  <c r="R301" i="128" s="1"/>
  <c r="BS304" i="128"/>
  <c r="BS305" i="128" s="1"/>
  <c r="P241" i="128"/>
  <c r="M254" i="128"/>
  <c r="N254" i="128" s="1"/>
  <c r="P294" i="128"/>
  <c r="P296" i="128"/>
  <c r="M323" i="128"/>
  <c r="N327" i="128" s="1"/>
  <c r="P252" i="128"/>
  <c r="P254" i="128" s="1"/>
  <c r="P259" i="128"/>
  <c r="R267" i="128"/>
  <c r="R268" i="128" s="1"/>
  <c r="CU268" i="128" s="1"/>
  <c r="CV268" i="128" s="1"/>
  <c r="BO281" i="128"/>
  <c r="BO283" i="128"/>
  <c r="Q302" i="128"/>
  <c r="P312" i="128"/>
  <c r="P321" i="128"/>
  <c r="CU324" i="128"/>
  <c r="CV324" i="128" s="1"/>
  <c r="CU326" i="128"/>
  <c r="CV326" i="128" s="1"/>
  <c r="P328" i="128"/>
  <c r="P243" i="128"/>
  <c r="R243" i="128" s="1"/>
  <c r="Q259" i="128"/>
  <c r="Q260" i="128" s="1"/>
  <c r="R302" i="128"/>
  <c r="R303" i="128" s="1"/>
  <c r="P308" i="128"/>
  <c r="BO308" i="128" s="1"/>
  <c r="BO309" i="128" s="1"/>
  <c r="Q312" i="128"/>
  <c r="Q313" i="128" s="1"/>
  <c r="P318" i="128"/>
  <c r="AU318" i="128" s="1"/>
  <c r="AU319" i="128" s="1"/>
  <c r="AU337" i="128" s="1"/>
  <c r="Q328" i="128"/>
  <c r="Q329" i="128" s="1"/>
  <c r="P285" i="128"/>
  <c r="AW285" i="128" s="1"/>
  <c r="AW286" i="128" s="1"/>
  <c r="M297" i="128"/>
  <c r="P314" i="128"/>
  <c r="BB314" i="128" s="1"/>
  <c r="BB315" i="128" s="1"/>
  <c r="P5" i="438"/>
  <c r="BO5" i="438" s="1"/>
  <c r="BO6" i="438" s="1"/>
  <c r="D10" i="438" s="1"/>
  <c r="Q5" i="438"/>
  <c r="Q6" i="438" s="1"/>
  <c r="D11" i="438" s="1"/>
  <c r="P5" i="437"/>
  <c r="BO5" i="437" s="1"/>
  <c r="BO6" i="437" s="1"/>
  <c r="D10" i="437" s="1"/>
  <c r="E13" i="438"/>
  <c r="N6" i="438"/>
  <c r="M6" i="437"/>
  <c r="Q6" i="437"/>
  <c r="D11" i="437" s="1"/>
  <c r="E13" i="436"/>
  <c r="N6" i="436"/>
  <c r="P5" i="436"/>
  <c r="Q5" i="436"/>
  <c r="M6" i="435"/>
  <c r="P5" i="435"/>
  <c r="BS5" i="435" s="1"/>
  <c r="BI6" i="433"/>
  <c r="M7" i="433"/>
  <c r="M6" i="432"/>
  <c r="M6" i="431"/>
  <c r="P5" i="431"/>
  <c r="Q5" i="431"/>
  <c r="N6" i="430"/>
  <c r="P5" i="430"/>
  <c r="Q5" i="430"/>
  <c r="M6" i="429"/>
  <c r="M8" i="395"/>
  <c r="Q8" i="395"/>
  <c r="P7" i="395"/>
  <c r="R7" i="395" s="1"/>
  <c r="M6" i="428"/>
  <c r="BC5" i="428"/>
  <c r="BC6" i="428" s="1"/>
  <c r="D10" i="428" s="1"/>
  <c r="D14" i="428" s="1"/>
  <c r="D11" i="428"/>
  <c r="P13" i="388"/>
  <c r="R13" i="388" s="1"/>
  <c r="R17" i="388"/>
  <c r="R14" i="388"/>
  <c r="R12" i="388"/>
  <c r="R10" i="388"/>
  <c r="P20" i="388"/>
  <c r="P8" i="388"/>
  <c r="R8" i="388" s="1"/>
  <c r="R11" i="388"/>
  <c r="R19" i="388"/>
  <c r="R7" i="388"/>
  <c r="Q9" i="388"/>
  <c r="R9" i="388" s="1"/>
  <c r="Q20" i="388"/>
  <c r="Q8" i="388"/>
  <c r="R16" i="388"/>
  <c r="R15" i="388"/>
  <c r="M26" i="388"/>
  <c r="E33" i="388" s="1"/>
  <c r="P7" i="390"/>
  <c r="P10" i="390"/>
  <c r="R10" i="390" s="1"/>
  <c r="N13" i="390"/>
  <c r="Q7" i="390"/>
  <c r="Q10" i="390"/>
  <c r="P5" i="390"/>
  <c r="P8" i="390"/>
  <c r="P11" i="390"/>
  <c r="Q5" i="390"/>
  <c r="Q8" i="390"/>
  <c r="Q11" i="390"/>
  <c r="P6" i="390"/>
  <c r="R6" i="390" s="1"/>
  <c r="P9" i="390"/>
  <c r="R9" i="390" s="1"/>
  <c r="P12" i="390"/>
  <c r="R12" i="390" s="1"/>
  <c r="M6" i="389"/>
  <c r="P5" i="389"/>
  <c r="P6" i="389" s="1"/>
  <c r="E12" i="389" s="1"/>
  <c r="Q5" i="389"/>
  <c r="Q6" i="427"/>
  <c r="D11" i="427" s="1"/>
  <c r="M6" i="427"/>
  <c r="P5" i="427"/>
  <c r="R5" i="427" s="1"/>
  <c r="R6" i="427" s="1"/>
  <c r="D10" i="427" s="1"/>
  <c r="M6" i="424"/>
  <c r="E12" i="424"/>
  <c r="R5" i="424"/>
  <c r="P7" i="423"/>
  <c r="Q7" i="423"/>
  <c r="P5" i="423"/>
  <c r="P8" i="423"/>
  <c r="Q5" i="423"/>
  <c r="Q8" i="423"/>
  <c r="P6" i="423"/>
  <c r="R6" i="423" s="1"/>
  <c r="P9" i="423"/>
  <c r="R9" i="423" s="1"/>
  <c r="R5" i="422"/>
  <c r="R6" i="422"/>
  <c r="E14" i="420"/>
  <c r="R6" i="420"/>
  <c r="M6" i="419"/>
  <c r="P5" i="419"/>
  <c r="Q5" i="419"/>
  <c r="Q6" i="419" s="1"/>
  <c r="D11" i="419" s="1"/>
  <c r="M6" i="418"/>
  <c r="M6" i="417"/>
  <c r="M6" i="416"/>
  <c r="E13" i="415"/>
  <c r="N6" i="415"/>
  <c r="P5" i="415"/>
  <c r="P6" i="415" s="1"/>
  <c r="E12" i="415" s="1"/>
  <c r="Q5" i="415"/>
  <c r="M7" i="414"/>
  <c r="P5" i="414"/>
  <c r="Q5" i="414"/>
  <c r="P6" i="414"/>
  <c r="Q6" i="414"/>
  <c r="M8" i="413"/>
  <c r="P5" i="413"/>
  <c r="Q5" i="413"/>
  <c r="Q8" i="413" s="1"/>
  <c r="D13" i="413" s="1"/>
  <c r="P6" i="413"/>
  <c r="Q6" i="413"/>
  <c r="M7" i="412"/>
  <c r="P5" i="412"/>
  <c r="Q5" i="412"/>
  <c r="Q7" i="412" s="1"/>
  <c r="D13" i="412" s="1"/>
  <c r="P6" i="412"/>
  <c r="R6" i="412" s="1"/>
  <c r="P5" i="411"/>
  <c r="Q5" i="411"/>
  <c r="M6" i="410"/>
  <c r="N6" i="409"/>
  <c r="P5" i="409"/>
  <c r="Q5" i="409"/>
  <c r="P7" i="408"/>
  <c r="Q7" i="408"/>
  <c r="P5" i="408"/>
  <c r="Q5" i="408"/>
  <c r="P6" i="408"/>
  <c r="AH6" i="408" s="1"/>
  <c r="M7" i="407"/>
  <c r="P5" i="407"/>
  <c r="Q5" i="407"/>
  <c r="P6" i="407"/>
  <c r="AH6" i="407" s="1"/>
  <c r="M6" i="406"/>
  <c r="P7" i="405"/>
  <c r="P10" i="405"/>
  <c r="R10" i="405" s="1"/>
  <c r="Q7" i="405"/>
  <c r="Q10" i="405"/>
  <c r="P5" i="405"/>
  <c r="P8" i="405"/>
  <c r="Q5" i="405"/>
  <c r="Q8" i="405"/>
  <c r="P6" i="405"/>
  <c r="R6" i="405" s="1"/>
  <c r="P9" i="405"/>
  <c r="R9" i="405" s="1"/>
  <c r="M8" i="404"/>
  <c r="P5" i="404"/>
  <c r="Q5" i="404"/>
  <c r="P6" i="404"/>
  <c r="Q6" i="404"/>
  <c r="M6" i="403"/>
  <c r="D11" i="403"/>
  <c r="E13" i="402"/>
  <c r="E12" i="402"/>
  <c r="P5" i="401"/>
  <c r="Q5" i="401"/>
  <c r="D11" i="400"/>
  <c r="M6" i="400"/>
  <c r="R5" i="400"/>
  <c r="D11" i="399"/>
  <c r="M6" i="399"/>
  <c r="BO5" i="399"/>
  <c r="M11" i="398"/>
  <c r="P5" i="398"/>
  <c r="R5" i="398" s="1"/>
  <c r="P8" i="398"/>
  <c r="R8" i="398" s="1"/>
  <c r="Q8" i="398"/>
  <c r="P6" i="398"/>
  <c r="P9" i="398"/>
  <c r="Q6" i="398"/>
  <c r="Q9" i="398"/>
  <c r="Q5" i="397"/>
  <c r="N6" i="396"/>
  <c r="P5" i="396"/>
  <c r="Q5" i="396"/>
  <c r="P5" i="395"/>
  <c r="R5" i="395"/>
  <c r="R8" i="395" s="1"/>
  <c r="P6" i="395"/>
  <c r="R6" i="395" s="1"/>
  <c r="M6" i="394"/>
  <c r="P5" i="394"/>
  <c r="Q5" i="394"/>
  <c r="M6" i="393"/>
  <c r="M6" i="392"/>
  <c r="M6" i="391"/>
  <c r="AW5" i="391"/>
  <c r="M6" i="386"/>
  <c r="E13" i="386" s="1"/>
  <c r="M6" i="384"/>
  <c r="E13" i="384" s="1"/>
  <c r="M6" i="385"/>
  <c r="E13" i="385" s="1"/>
  <c r="M6" i="377"/>
  <c r="E13" i="377" s="1"/>
  <c r="M9" i="381"/>
  <c r="E16" i="381" s="1"/>
  <c r="Q21" i="388"/>
  <c r="Q22" i="388"/>
  <c r="M9" i="387"/>
  <c r="Q7" i="387"/>
  <c r="R7" i="387" s="1"/>
  <c r="P5" i="387"/>
  <c r="Q5" i="387"/>
  <c r="P6" i="387"/>
  <c r="Q6" i="387"/>
  <c r="P5" i="386"/>
  <c r="Q5" i="386"/>
  <c r="P5" i="385"/>
  <c r="BB5" i="385" s="1"/>
  <c r="BB6" i="385" s="1"/>
  <c r="D10" i="385" s="1"/>
  <c r="D14" i="385" s="1"/>
  <c r="Q5" i="385"/>
  <c r="Q6" i="385" s="1"/>
  <c r="D11" i="385" s="1"/>
  <c r="P5" i="384"/>
  <c r="Q5" i="384"/>
  <c r="P7" i="381"/>
  <c r="Q7" i="381"/>
  <c r="P8" i="381"/>
  <c r="Q8" i="381"/>
  <c r="P6" i="381"/>
  <c r="P9" i="381" s="1"/>
  <c r="Q6" i="381"/>
  <c r="M8" i="379"/>
  <c r="N8" i="379" s="1"/>
  <c r="E15" i="379"/>
  <c r="R5" i="379"/>
  <c r="M6" i="372"/>
  <c r="E13" i="372" s="1"/>
  <c r="M6" i="378"/>
  <c r="P5" i="378"/>
  <c r="Q5" i="378"/>
  <c r="R5" i="377"/>
  <c r="M6" i="375"/>
  <c r="D11" i="375"/>
  <c r="M6" i="374"/>
  <c r="P6" i="374"/>
  <c r="E12" i="374" s="1"/>
  <c r="M6" i="373"/>
  <c r="Q6" i="373"/>
  <c r="D11" i="373" s="1"/>
  <c r="BO5" i="372"/>
  <c r="M6" i="371"/>
  <c r="D11" i="371"/>
  <c r="P5" i="368"/>
  <c r="R5" i="368" s="1"/>
  <c r="M6" i="264"/>
  <c r="E13" i="264" s="1"/>
  <c r="D11" i="264"/>
  <c r="M6" i="369"/>
  <c r="M6" i="368"/>
  <c r="M6" i="367"/>
  <c r="M6" i="366"/>
  <c r="M6" i="365"/>
  <c r="BB5" i="365"/>
  <c r="D11" i="365"/>
  <c r="N6" i="372" l="1"/>
  <c r="BQ240" i="128"/>
  <c r="BQ241" i="128" s="1"/>
  <c r="BQ337" i="128" s="1"/>
  <c r="AW265" i="128"/>
  <c r="CV292" i="128"/>
  <c r="CV248" i="128"/>
  <c r="CU272" i="128"/>
  <c r="CV272" i="128" s="1"/>
  <c r="CU83" i="127"/>
  <c r="CV83" i="127" s="1"/>
  <c r="CU149" i="127"/>
  <c r="P13" i="390"/>
  <c r="E19" i="390" s="1"/>
  <c r="E21" i="390" s="1"/>
  <c r="N6" i="377"/>
  <c r="AH7" i="408"/>
  <c r="D14" i="427"/>
  <c r="R11" i="390"/>
  <c r="R7" i="390"/>
  <c r="R5" i="431"/>
  <c r="BO5" i="436"/>
  <c r="BO6" i="436" s="1"/>
  <c r="D10" i="436" s="1"/>
  <c r="CV149" i="127"/>
  <c r="R8" i="390"/>
  <c r="R488" i="128"/>
  <c r="CU300" i="128"/>
  <c r="CV300" i="128" s="1"/>
  <c r="CV299" i="128"/>
  <c r="CU288" i="128"/>
  <c r="CV288" i="128" s="1"/>
  <c r="BW275" i="128"/>
  <c r="CU275" i="128" s="1"/>
  <c r="CV275" i="128" s="1"/>
  <c r="AH488" i="128"/>
  <c r="CU431" i="128"/>
  <c r="CV431" i="128" s="1"/>
  <c r="CV487" i="128"/>
  <c r="R7" i="426"/>
  <c r="R6" i="426"/>
  <c r="N8" i="426"/>
  <c r="R6" i="425"/>
  <c r="E13" i="425"/>
  <c r="E15" i="425" s="1"/>
  <c r="N12" i="423"/>
  <c r="R7" i="423"/>
  <c r="R8" i="423"/>
  <c r="Q12" i="423"/>
  <c r="D17" i="423" s="1"/>
  <c r="D12" i="422"/>
  <c r="N7" i="422"/>
  <c r="R7" i="421"/>
  <c r="N8" i="421"/>
  <c r="R6" i="421"/>
  <c r="V5" i="419"/>
  <c r="V6" i="419" s="1"/>
  <c r="D10" i="419" s="1"/>
  <c r="D14" i="419" s="1"/>
  <c r="E14" i="415"/>
  <c r="R6" i="414"/>
  <c r="R7" i="413"/>
  <c r="R6" i="413"/>
  <c r="AT5" i="412"/>
  <c r="R5" i="411"/>
  <c r="R6" i="411" s="1"/>
  <c r="D10" i="411" s="1"/>
  <c r="E13" i="411"/>
  <c r="AH5" i="409"/>
  <c r="N8" i="408"/>
  <c r="BC5" i="406"/>
  <c r="BC6" i="406" s="1"/>
  <c r="D10" i="406" s="1"/>
  <c r="R7" i="405"/>
  <c r="N11" i="405"/>
  <c r="R8" i="405"/>
  <c r="R6" i="404"/>
  <c r="E14" i="402"/>
  <c r="R5" i="401"/>
  <c r="R6" i="401" s="1"/>
  <c r="D10" i="401" s="1"/>
  <c r="N6" i="401"/>
  <c r="R10" i="398"/>
  <c r="R9" i="398"/>
  <c r="R7" i="398"/>
  <c r="R6" i="398"/>
  <c r="Q11" i="398"/>
  <c r="D16" i="398" s="1"/>
  <c r="BO5" i="397"/>
  <c r="N6" i="397"/>
  <c r="R5" i="396"/>
  <c r="R6" i="396" s="1"/>
  <c r="D10" i="396" s="1"/>
  <c r="BI334" i="128"/>
  <c r="CU334" i="128" s="1"/>
  <c r="CV334" i="128" s="1"/>
  <c r="BS337" i="128"/>
  <c r="BO306" i="128"/>
  <c r="BO307" i="128" s="1"/>
  <c r="CU307" i="128" s="1"/>
  <c r="CV307" i="128" s="1"/>
  <c r="Q246" i="128"/>
  <c r="N288" i="128"/>
  <c r="N299" i="128"/>
  <c r="CU240" i="128"/>
  <c r="CV240" i="128" s="1"/>
  <c r="R252" i="128"/>
  <c r="R254" i="128" s="1"/>
  <c r="CU254" i="128" s="1"/>
  <c r="CV254" i="128" s="1"/>
  <c r="BB316" i="128"/>
  <c r="CU316" i="128" s="1"/>
  <c r="CV316" i="128" s="1"/>
  <c r="CU287" i="128"/>
  <c r="CV287" i="128" s="1"/>
  <c r="P297" i="128"/>
  <c r="N337" i="128"/>
  <c r="CU306" i="128"/>
  <c r="CV306" i="128" s="1"/>
  <c r="P264" i="128"/>
  <c r="BY263" i="128"/>
  <c r="BY264" i="128" s="1"/>
  <c r="BY337" i="128" s="1"/>
  <c r="CU336" i="128"/>
  <c r="CU308" i="128"/>
  <c r="CV308" i="128" s="1"/>
  <c r="P309" i="128"/>
  <c r="CU309" i="128" s="1"/>
  <c r="CV309" i="128" s="1"/>
  <c r="BO284" i="128"/>
  <c r="CU284" i="128" s="1"/>
  <c r="CV284" i="128" s="1"/>
  <c r="CU283" i="128"/>
  <c r="CV283" i="128" s="1"/>
  <c r="CU241" i="128"/>
  <c r="CV241" i="128" s="1"/>
  <c r="P311" i="128"/>
  <c r="BO310" i="128"/>
  <c r="BO311" i="128" s="1"/>
  <c r="BO282" i="128"/>
  <c r="CU282" i="128" s="1"/>
  <c r="CV282" i="128" s="1"/>
  <c r="CU281" i="128"/>
  <c r="CV281" i="128" s="1"/>
  <c r="CU267" i="128"/>
  <c r="CV267" i="128" s="1"/>
  <c r="CU301" i="128"/>
  <c r="CV301" i="128" s="1"/>
  <c r="CI259" i="128"/>
  <c r="CI260" i="128" s="1"/>
  <c r="CI337" i="128" s="1"/>
  <c r="P260" i="128"/>
  <c r="CU243" i="128"/>
  <c r="CV243" i="128" s="1"/>
  <c r="CU255" i="128"/>
  <c r="CV255" i="128" s="1"/>
  <c r="CV270" i="128"/>
  <c r="CU257" i="128"/>
  <c r="CV257" i="128" s="1"/>
  <c r="P315" i="128"/>
  <c r="CU315" i="128" s="1"/>
  <c r="CV315" i="128" s="1"/>
  <c r="CU314" i="128"/>
  <c r="CV314" i="128" s="1"/>
  <c r="CU328" i="128"/>
  <c r="CV328" i="128" s="1"/>
  <c r="R328" i="128"/>
  <c r="R329" i="128" s="1"/>
  <c r="P329" i="128"/>
  <c r="CU329" i="128" s="1"/>
  <c r="CV329" i="128" s="1"/>
  <c r="R242" i="128"/>
  <c r="R246" i="128" s="1"/>
  <c r="P246" i="128"/>
  <c r="CU258" i="128"/>
  <c r="CV258" i="128" s="1"/>
  <c r="CU279" i="128"/>
  <c r="CV279" i="128" s="1"/>
  <c r="BB317" i="128"/>
  <c r="P331" i="128"/>
  <c r="CU330" i="128"/>
  <c r="CV330" i="128" s="1"/>
  <c r="CU280" i="128"/>
  <c r="CV280" i="128" s="1"/>
  <c r="R294" i="128"/>
  <c r="CU294" i="128" s="1"/>
  <c r="CV294" i="128" s="1"/>
  <c r="CU285" i="128"/>
  <c r="CV285" i="128" s="1"/>
  <c r="P286" i="128"/>
  <c r="CU286" i="128" s="1"/>
  <c r="CV286" i="128" s="1"/>
  <c r="R321" i="128"/>
  <c r="CU321" i="128" s="1"/>
  <c r="CV321" i="128" s="1"/>
  <c r="R322" i="128"/>
  <c r="CU322" i="128" s="1"/>
  <c r="CV322" i="128" s="1"/>
  <c r="P274" i="128"/>
  <c r="CU274" i="128" s="1"/>
  <c r="CV274" i="128" s="1"/>
  <c r="CU273" i="128"/>
  <c r="CV273" i="128" s="1"/>
  <c r="R296" i="128"/>
  <c r="CU296" i="128" s="1"/>
  <c r="CV296" i="128" s="1"/>
  <c r="P323" i="128"/>
  <c r="R320" i="128"/>
  <c r="BB312" i="128"/>
  <c r="BB313" i="128" s="1"/>
  <c r="P313" i="128"/>
  <c r="CU304" i="128"/>
  <c r="CV304" i="128" s="1"/>
  <c r="CU318" i="128"/>
  <c r="CV318" i="128" s="1"/>
  <c r="P319" i="128"/>
  <c r="CU319" i="128" s="1"/>
  <c r="CV319" i="128" s="1"/>
  <c r="CU265" i="128"/>
  <c r="CV265" i="128" s="1"/>
  <c r="AW266" i="128"/>
  <c r="CU266" i="128" s="1"/>
  <c r="CV266" i="128" s="1"/>
  <c r="CU305" i="128"/>
  <c r="CV305" i="128" s="1"/>
  <c r="CU302" i="128"/>
  <c r="CV302" i="128" s="1"/>
  <c r="Q303" i="128"/>
  <c r="CU303" i="128" s="1"/>
  <c r="CV303" i="128" s="1"/>
  <c r="CU251" i="128"/>
  <c r="CV251" i="128" s="1"/>
  <c r="P6" i="438"/>
  <c r="E12" i="438" s="1"/>
  <c r="E14" i="438" s="1"/>
  <c r="R6" i="438"/>
  <c r="D14" i="438" s="1"/>
  <c r="P6" i="437"/>
  <c r="E12" i="437" s="1"/>
  <c r="E13" i="437"/>
  <c r="N6" i="437"/>
  <c r="R6" i="437"/>
  <c r="D14" i="437" s="1"/>
  <c r="Q6" i="436"/>
  <c r="D11" i="436" s="1"/>
  <c r="P6" i="436"/>
  <c r="E12" i="436" s="1"/>
  <c r="E14" i="436" s="1"/>
  <c r="BS6" i="435"/>
  <c r="D10" i="435" s="1"/>
  <c r="D14" i="435" s="1"/>
  <c r="P6" i="435"/>
  <c r="E12" i="435" s="1"/>
  <c r="E13" i="435"/>
  <c r="N6" i="435"/>
  <c r="BI5" i="432"/>
  <c r="BI6" i="432" s="1"/>
  <c r="D10" i="432" s="1"/>
  <c r="D13" i="433"/>
  <c r="E14" i="433"/>
  <c r="E15" i="433"/>
  <c r="N7" i="433"/>
  <c r="BI5" i="433"/>
  <c r="D11" i="432"/>
  <c r="E12" i="432"/>
  <c r="E13" i="432"/>
  <c r="N6" i="432"/>
  <c r="Q6" i="431"/>
  <c r="D11" i="431" s="1"/>
  <c r="P6" i="431"/>
  <c r="E12" i="431" s="1"/>
  <c r="N6" i="431"/>
  <c r="E13" i="431"/>
  <c r="R6" i="431"/>
  <c r="D10" i="431" s="1"/>
  <c r="R5" i="430"/>
  <c r="R6" i="430" s="1"/>
  <c r="D10" i="430" s="1"/>
  <c r="Q6" i="430"/>
  <c r="D11" i="430" s="1"/>
  <c r="P6" i="430"/>
  <c r="E12" i="430" s="1"/>
  <c r="E14" i="430" s="1"/>
  <c r="D11" i="429"/>
  <c r="E13" i="429"/>
  <c r="N6" i="429"/>
  <c r="E12" i="429"/>
  <c r="BO5" i="429"/>
  <c r="BO6" i="429" s="1"/>
  <c r="D10" i="429" s="1"/>
  <c r="E12" i="428"/>
  <c r="E13" i="428"/>
  <c r="N6" i="428"/>
  <c r="R20" i="388"/>
  <c r="R18" i="388"/>
  <c r="R6" i="388"/>
  <c r="R21" i="388"/>
  <c r="R25" i="388"/>
  <c r="R24" i="388"/>
  <c r="R23" i="388"/>
  <c r="N26" i="388"/>
  <c r="R22" i="388"/>
  <c r="R5" i="390"/>
  <c r="R13" i="390" s="1"/>
  <c r="D17" i="390" s="1"/>
  <c r="Q13" i="390"/>
  <c r="D18" i="390" s="1"/>
  <c r="Q6" i="389"/>
  <c r="D11" i="389" s="1"/>
  <c r="N6" i="389"/>
  <c r="E13" i="389"/>
  <c r="E14" i="389" s="1"/>
  <c r="R5" i="389"/>
  <c r="R6" i="389" s="1"/>
  <c r="D10" i="389" s="1"/>
  <c r="P6" i="427"/>
  <c r="E12" i="427" s="1"/>
  <c r="N6" i="427"/>
  <c r="E13" i="427"/>
  <c r="E14" i="426"/>
  <c r="E16" i="426" s="1"/>
  <c r="R5" i="426"/>
  <c r="D13" i="426"/>
  <c r="D12" i="425"/>
  <c r="R5" i="425"/>
  <c r="R6" i="424"/>
  <c r="D10" i="424" s="1"/>
  <c r="D11" i="424"/>
  <c r="E13" i="424"/>
  <c r="E14" i="424" s="1"/>
  <c r="N6" i="424"/>
  <c r="P12" i="423"/>
  <c r="E18" i="423" s="1"/>
  <c r="E20" i="423" s="1"/>
  <c r="R5" i="423"/>
  <c r="R7" i="422"/>
  <c r="D11" i="422" s="1"/>
  <c r="E13" i="422"/>
  <c r="E15" i="422" s="1"/>
  <c r="D13" i="421"/>
  <c r="E14" i="421"/>
  <c r="E16" i="421" s="1"/>
  <c r="R5" i="421"/>
  <c r="R8" i="421" s="1"/>
  <c r="D12" i="421" s="1"/>
  <c r="D12" i="420"/>
  <c r="R5" i="420"/>
  <c r="R7" i="420" s="1"/>
  <c r="D11" i="420" s="1"/>
  <c r="E13" i="420"/>
  <c r="E15" i="420" s="1"/>
  <c r="P6" i="419"/>
  <c r="E12" i="419" s="1"/>
  <c r="N6" i="419"/>
  <c r="E13" i="419"/>
  <c r="D11" i="418"/>
  <c r="E12" i="418"/>
  <c r="E14" i="418" s="1"/>
  <c r="R5" i="418"/>
  <c r="R6" i="418" s="1"/>
  <c r="D10" i="418" s="1"/>
  <c r="N6" i="418"/>
  <c r="E13" i="418"/>
  <c r="D11" i="417"/>
  <c r="E13" i="417"/>
  <c r="N6" i="417"/>
  <c r="E12" i="417"/>
  <c r="R5" i="417"/>
  <c r="R6" i="417" s="1"/>
  <c r="D10" i="417" s="1"/>
  <c r="D14" i="417" s="1"/>
  <c r="D11" i="416"/>
  <c r="N6" i="416"/>
  <c r="E13" i="416"/>
  <c r="E12" i="416"/>
  <c r="BC5" i="416"/>
  <c r="BC6" i="416" s="1"/>
  <c r="D10" i="416" s="1"/>
  <c r="W5" i="415"/>
  <c r="W6" i="415" s="1"/>
  <c r="D10" i="415" s="1"/>
  <c r="Q6" i="415"/>
  <c r="D11" i="415" s="1"/>
  <c r="Q7" i="414"/>
  <c r="D12" i="414" s="1"/>
  <c r="N7" i="414"/>
  <c r="E14" i="414"/>
  <c r="P7" i="414"/>
  <c r="E13" i="414" s="1"/>
  <c r="R5" i="414"/>
  <c r="P8" i="413"/>
  <c r="E14" i="413" s="1"/>
  <c r="N8" i="413"/>
  <c r="E15" i="413"/>
  <c r="R5" i="413"/>
  <c r="N7" i="412"/>
  <c r="E15" i="412"/>
  <c r="P7" i="412"/>
  <c r="E14" i="412" s="1"/>
  <c r="Q6" i="411"/>
  <c r="D11" i="411" s="1"/>
  <c r="P6" i="411"/>
  <c r="E12" i="411" s="1"/>
  <c r="D11" i="410"/>
  <c r="V5" i="410"/>
  <c r="V6" i="410" s="1"/>
  <c r="D10" i="410" s="1"/>
  <c r="E12" i="410"/>
  <c r="N6" i="410"/>
  <c r="E13" i="410"/>
  <c r="AH6" i="409"/>
  <c r="D10" i="409" s="1"/>
  <c r="Q6" i="409"/>
  <c r="D11" i="409" s="1"/>
  <c r="P6" i="409"/>
  <c r="E12" i="409" s="1"/>
  <c r="E14" i="409" s="1"/>
  <c r="Q8" i="408"/>
  <c r="D13" i="408" s="1"/>
  <c r="AH5" i="408"/>
  <c r="AH8" i="408" s="1"/>
  <c r="D12" i="408" s="1"/>
  <c r="P8" i="408"/>
  <c r="E14" i="408" s="1"/>
  <c r="E16" i="408" s="1"/>
  <c r="Q7" i="407"/>
  <c r="D12" i="407" s="1"/>
  <c r="P7" i="407"/>
  <c r="E13" i="407" s="1"/>
  <c r="N7" i="407"/>
  <c r="E14" i="407"/>
  <c r="AH5" i="407"/>
  <c r="AH7" i="407" s="1"/>
  <c r="D11" i="407" s="1"/>
  <c r="D11" i="406"/>
  <c r="E12" i="406"/>
  <c r="N6" i="406"/>
  <c r="E13" i="406"/>
  <c r="Q11" i="405"/>
  <c r="D16" i="405" s="1"/>
  <c r="R5" i="405"/>
  <c r="P11" i="405"/>
  <c r="E17" i="405" s="1"/>
  <c r="E19" i="405" s="1"/>
  <c r="Q8" i="404"/>
  <c r="D13" i="404" s="1"/>
  <c r="P8" i="404"/>
  <c r="E14" i="404" s="1"/>
  <c r="N8" i="404"/>
  <c r="E15" i="404"/>
  <c r="R5" i="404"/>
  <c r="N6" i="403"/>
  <c r="E13" i="403"/>
  <c r="E12" i="403"/>
  <c r="R5" i="403"/>
  <c r="R6" i="403" s="1"/>
  <c r="D10" i="403" s="1"/>
  <c r="D14" i="403" s="1"/>
  <c r="R5" i="402"/>
  <c r="R6" i="402" s="1"/>
  <c r="D10" i="402" s="1"/>
  <c r="D11" i="402"/>
  <c r="Q6" i="401"/>
  <c r="D11" i="401" s="1"/>
  <c r="P6" i="401"/>
  <c r="E12" i="401" s="1"/>
  <c r="E14" i="401" s="1"/>
  <c r="R6" i="400"/>
  <c r="D10" i="400" s="1"/>
  <c r="D14" i="400" s="1"/>
  <c r="E12" i="400"/>
  <c r="E13" i="400"/>
  <c r="N6" i="400"/>
  <c r="E12" i="399"/>
  <c r="BO6" i="399"/>
  <c r="D10" i="399" s="1"/>
  <c r="D14" i="399" s="1"/>
  <c r="N6" i="399"/>
  <c r="E13" i="399"/>
  <c r="N11" i="398"/>
  <c r="E18" i="398"/>
  <c r="P11" i="398"/>
  <c r="E17" i="398" s="1"/>
  <c r="BO6" i="397"/>
  <c r="D10" i="397" s="1"/>
  <c r="Q6" i="397"/>
  <c r="D11" i="397" s="1"/>
  <c r="P6" i="397"/>
  <c r="E12" i="397" s="1"/>
  <c r="E14" i="397" s="1"/>
  <c r="P6" i="396"/>
  <c r="E12" i="396" s="1"/>
  <c r="E14" i="396" s="1"/>
  <c r="Q6" i="396"/>
  <c r="D11" i="396" s="1"/>
  <c r="D13" i="395"/>
  <c r="P8" i="395"/>
  <c r="E14" i="395" s="1"/>
  <c r="E15" i="395"/>
  <c r="N8" i="395"/>
  <c r="D12" i="395"/>
  <c r="AU5" i="394"/>
  <c r="AU6" i="394"/>
  <c r="D10" i="394" s="1"/>
  <c r="Q6" i="394"/>
  <c r="D11" i="394" s="1"/>
  <c r="P6" i="394"/>
  <c r="E12" i="394" s="1"/>
  <c r="E13" i="394"/>
  <c r="N6" i="394"/>
  <c r="AW5" i="393"/>
  <c r="AW6" i="393" s="1"/>
  <c r="D10" i="393" s="1"/>
  <c r="P6" i="393"/>
  <c r="E12" i="393" s="1"/>
  <c r="N6" i="393"/>
  <c r="E13" i="393"/>
  <c r="D11" i="393"/>
  <c r="R8" i="387"/>
  <c r="R6" i="387"/>
  <c r="E12" i="392"/>
  <c r="R5" i="392"/>
  <c r="R6" i="392" s="1"/>
  <c r="D10" i="392" s="1"/>
  <c r="E13" i="392"/>
  <c r="N6" i="392"/>
  <c r="D11" i="392"/>
  <c r="D11" i="391"/>
  <c r="E12" i="391"/>
  <c r="E13" i="391"/>
  <c r="N6" i="391"/>
  <c r="AW6" i="391"/>
  <c r="D10" i="391" s="1"/>
  <c r="BB5" i="386"/>
  <c r="BB6" i="386" s="1"/>
  <c r="D10" i="386" s="1"/>
  <c r="N6" i="386"/>
  <c r="N6" i="384"/>
  <c r="N6" i="385"/>
  <c r="R8" i="381"/>
  <c r="R5" i="381"/>
  <c r="N9" i="381"/>
  <c r="R7" i="381"/>
  <c r="R6" i="381"/>
  <c r="P26" i="388"/>
  <c r="E32" i="388" s="1"/>
  <c r="E34" i="388" s="1"/>
  <c r="Q26" i="388"/>
  <c r="D31" i="388" s="1"/>
  <c r="R5" i="388"/>
  <c r="P9" i="387"/>
  <c r="E15" i="387" s="1"/>
  <c r="N9" i="387"/>
  <c r="E16" i="387"/>
  <c r="Q9" i="387"/>
  <c r="D14" i="387" s="1"/>
  <c r="R5" i="387"/>
  <c r="Q6" i="386"/>
  <c r="D11" i="386" s="1"/>
  <c r="P6" i="386"/>
  <c r="E12" i="386" s="1"/>
  <c r="E14" i="386" s="1"/>
  <c r="P6" i="385"/>
  <c r="E12" i="385" s="1"/>
  <c r="E14" i="385" s="1"/>
  <c r="Q6" i="384"/>
  <c r="D11" i="384" s="1"/>
  <c r="P6" i="384"/>
  <c r="E12" i="384" s="1"/>
  <c r="E14" i="384" s="1"/>
  <c r="BB5" i="384"/>
  <c r="BB6" i="384" s="1"/>
  <c r="D10" i="384" s="1"/>
  <c r="Q9" i="381"/>
  <c r="D14" i="381" s="1"/>
  <c r="E15" i="381"/>
  <c r="E17" i="381" s="1"/>
  <c r="D13" i="379"/>
  <c r="R7" i="379"/>
  <c r="R6" i="379"/>
  <c r="E14" i="379"/>
  <c r="E16" i="379" s="1"/>
  <c r="Q6" i="378"/>
  <c r="D11" i="378" s="1"/>
  <c r="P6" i="378"/>
  <c r="E12" i="378" s="1"/>
  <c r="N6" i="378"/>
  <c r="E13" i="378"/>
  <c r="R5" i="378"/>
  <c r="R6" i="378" s="1"/>
  <c r="D10" i="378" s="1"/>
  <c r="D14" i="378" s="1"/>
  <c r="R6" i="377"/>
  <c r="D10" i="377" s="1"/>
  <c r="D11" i="377"/>
  <c r="E12" i="377"/>
  <c r="E14" i="377" s="1"/>
  <c r="P6" i="375"/>
  <c r="E12" i="375" s="1"/>
  <c r="N6" i="375"/>
  <c r="E13" i="375"/>
  <c r="AW5" i="375"/>
  <c r="AW6" i="375" s="1"/>
  <c r="D10" i="375" s="1"/>
  <c r="D14" i="375" s="1"/>
  <c r="E13" i="374"/>
  <c r="E14" i="374" s="1"/>
  <c r="N6" i="374"/>
  <c r="D11" i="374"/>
  <c r="AW5" i="374"/>
  <c r="AW6" i="374" s="1"/>
  <c r="D10" i="374" s="1"/>
  <c r="BO5" i="373"/>
  <c r="BO6" i="373" s="1"/>
  <c r="D10" i="373" s="1"/>
  <c r="D14" i="373" s="1"/>
  <c r="P6" i="373"/>
  <c r="E12" i="373" s="1"/>
  <c r="E14" i="373" s="1"/>
  <c r="E13" i="373"/>
  <c r="N6" i="373"/>
  <c r="D11" i="372"/>
  <c r="E12" i="372"/>
  <c r="E14" i="372" s="1"/>
  <c r="BO6" i="372"/>
  <c r="D10" i="372" s="1"/>
  <c r="E12" i="371"/>
  <c r="E13" i="371"/>
  <c r="N6" i="371"/>
  <c r="BY5" i="371"/>
  <c r="BY6" i="371" s="1"/>
  <c r="D10" i="371" s="1"/>
  <c r="D14" i="371" s="1"/>
  <c r="N6" i="264"/>
  <c r="AW5" i="367"/>
  <c r="AW6" i="367" s="1"/>
  <c r="D10" i="367" s="1"/>
  <c r="BY5" i="366"/>
  <c r="BY6" i="366" s="1"/>
  <c r="D10" i="366" s="1"/>
  <c r="P6" i="264"/>
  <c r="E12" i="264" s="1"/>
  <c r="E14" i="264" s="1"/>
  <c r="AW5" i="264"/>
  <c r="AW6" i="264" s="1"/>
  <c r="D10" i="264" s="1"/>
  <c r="D14" i="264" s="1"/>
  <c r="D11" i="369"/>
  <c r="P6" i="369"/>
  <c r="E12" i="369" s="1"/>
  <c r="E13" i="369"/>
  <c r="N6" i="369"/>
  <c r="AW5" i="369"/>
  <c r="AW6" i="369" s="1"/>
  <c r="D10" i="369" s="1"/>
  <c r="P6" i="368"/>
  <c r="E12" i="368" s="1"/>
  <c r="E13" i="368"/>
  <c r="N6" i="368"/>
  <c r="R6" i="368"/>
  <c r="D10" i="368" s="1"/>
  <c r="D14" i="368" s="1"/>
  <c r="P6" i="367"/>
  <c r="E12" i="367" s="1"/>
  <c r="E13" i="367"/>
  <c r="N6" i="367"/>
  <c r="D11" i="367"/>
  <c r="P6" i="366"/>
  <c r="E12" i="366" s="1"/>
  <c r="D11" i="366"/>
  <c r="E13" i="366"/>
  <c r="N6" i="366"/>
  <c r="BB6" i="365"/>
  <c r="D10" i="365" s="1"/>
  <c r="D14" i="365" s="1"/>
  <c r="E12" i="365"/>
  <c r="E13" i="365"/>
  <c r="N6" i="365"/>
  <c r="R7" i="412" l="1"/>
  <c r="D11" i="412" s="1"/>
  <c r="D16" i="412" s="1"/>
  <c r="D14" i="394"/>
  <c r="R7" i="414"/>
  <c r="D11" i="414" s="1"/>
  <c r="D16" i="421"/>
  <c r="CU312" i="128"/>
  <c r="CV312" i="128" s="1"/>
  <c r="CU263" i="128"/>
  <c r="CV263" i="128" s="1"/>
  <c r="R9" i="381"/>
  <c r="E15" i="414"/>
  <c r="CU313" i="128"/>
  <c r="CV313" i="128" s="1"/>
  <c r="CU310" i="128"/>
  <c r="CV310" i="128" s="1"/>
  <c r="CU260" i="128"/>
  <c r="CV260" i="128" s="1"/>
  <c r="CU252" i="128"/>
  <c r="CV252" i="128" s="1"/>
  <c r="CU259" i="128"/>
  <c r="CV259" i="128" s="1"/>
  <c r="CU488" i="128"/>
  <c r="Q337" i="128"/>
  <c r="BW278" i="128"/>
  <c r="CU278" i="128" s="1"/>
  <c r="CV278" i="128" s="1"/>
  <c r="CU311" i="128"/>
  <c r="CV311" i="128" s="1"/>
  <c r="CV488" i="128"/>
  <c r="R8" i="426"/>
  <c r="D12" i="426" s="1"/>
  <c r="D16" i="426" s="1"/>
  <c r="R7" i="425"/>
  <c r="D11" i="425" s="1"/>
  <c r="D15" i="425" s="1"/>
  <c r="R12" i="423"/>
  <c r="D16" i="423" s="1"/>
  <c r="D20" i="423" s="1"/>
  <c r="D15" i="422"/>
  <c r="E14" i="417"/>
  <c r="R8" i="413"/>
  <c r="D12" i="413" s="1"/>
  <c r="D16" i="413" s="1"/>
  <c r="E16" i="413"/>
  <c r="E16" i="412"/>
  <c r="E14" i="411"/>
  <c r="D14" i="411"/>
  <c r="D14" i="410"/>
  <c r="D16" i="408"/>
  <c r="D14" i="406"/>
  <c r="R11" i="405"/>
  <c r="D15" i="405" s="1"/>
  <c r="D19" i="405" s="1"/>
  <c r="R8" i="404"/>
  <c r="D12" i="404" s="1"/>
  <c r="D16" i="404" s="1"/>
  <c r="E14" i="403"/>
  <c r="E14" i="400"/>
  <c r="E14" i="399"/>
  <c r="R11" i="398"/>
  <c r="D15" i="398" s="1"/>
  <c r="D19" i="398" s="1"/>
  <c r="E19" i="398"/>
  <c r="BW337" i="128"/>
  <c r="CU246" i="128"/>
  <c r="CV246" i="128" s="1"/>
  <c r="R323" i="128"/>
  <c r="CU323" i="128" s="1"/>
  <c r="CV323" i="128" s="1"/>
  <c r="BI337" i="128"/>
  <c r="CV336" i="128"/>
  <c r="CU264" i="128"/>
  <c r="CV264" i="128" s="1"/>
  <c r="P337" i="128"/>
  <c r="CU331" i="128"/>
  <c r="CV331" i="128" s="1"/>
  <c r="CU317" i="128"/>
  <c r="CV317" i="128" s="1"/>
  <c r="BB337" i="128"/>
  <c r="BO337" i="128"/>
  <c r="R297" i="128"/>
  <c r="CU297" i="128" s="1"/>
  <c r="CV297" i="128" s="1"/>
  <c r="CU320" i="128"/>
  <c r="CV320" i="128" s="1"/>
  <c r="CU242" i="128"/>
  <c r="CV242" i="128" s="1"/>
  <c r="AW337" i="128"/>
  <c r="E14" i="437"/>
  <c r="D14" i="436"/>
  <c r="E14" i="435"/>
  <c r="BI7" i="433"/>
  <c r="D16" i="433" s="1"/>
  <c r="E16" i="433"/>
  <c r="E14" i="432"/>
  <c r="D14" i="432"/>
  <c r="E14" i="431"/>
  <c r="D14" i="431"/>
  <c r="D14" i="430"/>
  <c r="D14" i="429"/>
  <c r="E14" i="429"/>
  <c r="E16" i="395"/>
  <c r="E14" i="428"/>
  <c r="R26" i="388"/>
  <c r="D30" i="388" s="1"/>
  <c r="D34" i="388" s="1"/>
  <c r="D21" i="390"/>
  <c r="D14" i="389"/>
  <c r="E14" i="427"/>
  <c r="D14" i="424"/>
  <c r="D15" i="420"/>
  <c r="E14" i="419"/>
  <c r="D14" i="418"/>
  <c r="D14" i="416"/>
  <c r="E14" i="416"/>
  <c r="D14" i="415"/>
  <c r="D15" i="414"/>
  <c r="E14" i="410"/>
  <c r="D14" i="409"/>
  <c r="E15" i="407"/>
  <c r="D15" i="407"/>
  <c r="E14" i="406"/>
  <c r="E16" i="404"/>
  <c r="D14" i="402"/>
  <c r="D14" i="401"/>
  <c r="D14" i="397"/>
  <c r="D14" i="396"/>
  <c r="D16" i="395"/>
  <c r="E14" i="394"/>
  <c r="D14" i="393"/>
  <c r="E14" i="393"/>
  <c r="D14" i="392"/>
  <c r="D14" i="391"/>
  <c r="E14" i="391"/>
  <c r="R9" i="387"/>
  <c r="D13" i="387" s="1"/>
  <c r="D17" i="387" s="1"/>
  <c r="E17" i="387"/>
  <c r="E14" i="392"/>
  <c r="D14" i="386"/>
  <c r="D14" i="384"/>
  <c r="D14" i="377"/>
  <c r="D13" i="381"/>
  <c r="D17" i="381"/>
  <c r="R8" i="379"/>
  <c r="D12" i="379" s="1"/>
  <c r="D16" i="379" s="1"/>
  <c r="E14" i="378"/>
  <c r="E14" i="375"/>
  <c r="D14" i="374"/>
  <c r="D14" i="372"/>
  <c r="E14" i="371"/>
  <c r="E14" i="369"/>
  <c r="E14" i="368"/>
  <c r="D14" i="369"/>
  <c r="E14" i="367"/>
  <c r="D14" i="367"/>
  <c r="D14" i="366"/>
  <c r="E14" i="366"/>
  <c r="E14" i="365"/>
  <c r="R337" i="128" l="1"/>
  <c r="CV337" i="128"/>
  <c r="CU337" i="128"/>
  <c r="CY234" i="128"/>
  <c r="CX234" i="128"/>
  <c r="CW234" i="128"/>
  <c r="BA234" i="128"/>
  <c r="AG234" i="128"/>
  <c r="AE234" i="128"/>
  <c r="CT233" i="128"/>
  <c r="CS233" i="128"/>
  <c r="CR233" i="128"/>
  <c r="CQ233" i="128"/>
  <c r="CP233" i="128"/>
  <c r="CO233" i="128"/>
  <c r="CN233" i="128"/>
  <c r="CM233" i="128"/>
  <c r="CL233" i="128"/>
  <c r="CK233" i="128"/>
  <c r="CJ233" i="128"/>
  <c r="CI233" i="128"/>
  <c r="CH233" i="128"/>
  <c r="CG233" i="128"/>
  <c r="CF233" i="128"/>
  <c r="CE233" i="128"/>
  <c r="CD233" i="128"/>
  <c r="CC233" i="128"/>
  <c r="CB233" i="128"/>
  <c r="CA233" i="128"/>
  <c r="BZ233" i="128"/>
  <c r="BY233" i="128"/>
  <c r="BX233" i="128"/>
  <c r="BW233" i="128"/>
  <c r="BV233" i="128"/>
  <c r="BU233" i="128"/>
  <c r="BT233" i="128"/>
  <c r="BS233" i="128"/>
  <c r="BR233" i="128"/>
  <c r="BQ233" i="128"/>
  <c r="BP233" i="128"/>
  <c r="BO233" i="128"/>
  <c r="BN233" i="128"/>
  <c r="BM233" i="128"/>
  <c r="BL233" i="128"/>
  <c r="BK233" i="128"/>
  <c r="BJ233" i="128"/>
  <c r="BI233" i="128"/>
  <c r="BH233" i="128"/>
  <c r="BG233" i="128"/>
  <c r="BF233" i="128"/>
  <c r="BE233" i="128"/>
  <c r="BD233" i="128"/>
  <c r="BC233" i="128"/>
  <c r="BB233" i="128"/>
  <c r="AY233" i="128"/>
  <c r="AX233" i="128"/>
  <c r="AW233" i="128"/>
  <c r="AV233" i="128"/>
  <c r="AU233" i="128"/>
  <c r="AT233" i="128"/>
  <c r="AS233" i="128"/>
  <c r="AR233" i="128"/>
  <c r="AQ233" i="128"/>
  <c r="AP233" i="128"/>
  <c r="AO233" i="128"/>
  <c r="AN233" i="128"/>
  <c r="AM233" i="128"/>
  <c r="AL233" i="128"/>
  <c r="AK233" i="128"/>
  <c r="AJ233" i="128"/>
  <c r="AI233" i="128"/>
  <c r="AH233" i="128"/>
  <c r="AF233" i="128"/>
  <c r="AD233" i="128"/>
  <c r="AC233" i="128"/>
  <c r="AB233" i="128"/>
  <c r="AA233" i="128"/>
  <c r="Z233" i="128"/>
  <c r="Y233" i="128"/>
  <c r="X233" i="128"/>
  <c r="W233" i="128"/>
  <c r="V233" i="128"/>
  <c r="U233" i="128"/>
  <c r="T233" i="128"/>
  <c r="S233" i="128"/>
  <c r="M232" i="128"/>
  <c r="M233" i="128" s="1"/>
  <c r="CT231" i="128"/>
  <c r="CS231" i="128"/>
  <c r="CR231" i="128"/>
  <c r="CQ231" i="128"/>
  <c r="CP231" i="128"/>
  <c r="CO231" i="128"/>
  <c r="CN231" i="128"/>
  <c r="CM231" i="128"/>
  <c r="CL231" i="128"/>
  <c r="CK231" i="128"/>
  <c r="CJ231" i="128"/>
  <c r="CI231" i="128"/>
  <c r="CH231" i="128"/>
  <c r="CG231" i="128"/>
  <c r="CF231" i="128"/>
  <c r="CE231" i="128"/>
  <c r="CD231" i="128"/>
  <c r="CC231" i="128"/>
  <c r="CB231" i="128"/>
  <c r="CA231" i="128"/>
  <c r="BZ231" i="128"/>
  <c r="BY231" i="128"/>
  <c r="BX231" i="128"/>
  <c r="BW231" i="128"/>
  <c r="BV231" i="128"/>
  <c r="BU231" i="128"/>
  <c r="BT231" i="128"/>
  <c r="BS231" i="128"/>
  <c r="BR231" i="128"/>
  <c r="BQ231" i="128"/>
  <c r="BP231" i="128"/>
  <c r="BO231" i="128"/>
  <c r="BN231" i="128"/>
  <c r="BM231" i="128"/>
  <c r="BL231" i="128"/>
  <c r="BK231" i="128"/>
  <c r="BJ231" i="128"/>
  <c r="BI231" i="128"/>
  <c r="BH231" i="128"/>
  <c r="BG231" i="128"/>
  <c r="BF231" i="128"/>
  <c r="BE231" i="128"/>
  <c r="BD231" i="128"/>
  <c r="BC231" i="128"/>
  <c r="BB231" i="128"/>
  <c r="AY231" i="128"/>
  <c r="AX231" i="128"/>
  <c r="AW231" i="128"/>
  <c r="AV231" i="128"/>
  <c r="AU231" i="128"/>
  <c r="AT231" i="128"/>
  <c r="AS231" i="128"/>
  <c r="AR231" i="128"/>
  <c r="AQ231" i="128"/>
  <c r="AP231" i="128"/>
  <c r="AO231" i="128"/>
  <c r="AN231" i="128"/>
  <c r="AM231" i="128"/>
  <c r="AL231" i="128"/>
  <c r="AK231" i="128"/>
  <c r="AJ231" i="128"/>
  <c r="AI231" i="128"/>
  <c r="AH231" i="128"/>
  <c r="AF231" i="128"/>
  <c r="AD231" i="128"/>
  <c r="AC231" i="128"/>
  <c r="AB231" i="128"/>
  <c r="AA231" i="128"/>
  <c r="Z231" i="128"/>
  <c r="Y231" i="128"/>
  <c r="X231" i="128"/>
  <c r="W231" i="128"/>
  <c r="V231" i="128"/>
  <c r="U231" i="128"/>
  <c r="T231" i="128"/>
  <c r="S231" i="128"/>
  <c r="M230" i="128"/>
  <c r="M231" i="128" s="1"/>
  <c r="CT229" i="128"/>
  <c r="CS229" i="128"/>
  <c r="CR229" i="128"/>
  <c r="CQ229" i="128"/>
  <c r="CP229" i="128"/>
  <c r="CO229" i="128"/>
  <c r="CN229" i="128"/>
  <c r="CM229" i="128"/>
  <c r="CL229" i="128"/>
  <c r="CK229" i="128"/>
  <c r="CJ229" i="128"/>
  <c r="CI229" i="128"/>
  <c r="CH229" i="128"/>
  <c r="CG229" i="128"/>
  <c r="CF229" i="128"/>
  <c r="CE229" i="128"/>
  <c r="CD229" i="128"/>
  <c r="CC229" i="128"/>
  <c r="CB229" i="128"/>
  <c r="CA229" i="128"/>
  <c r="BZ229" i="128"/>
  <c r="BY229" i="128"/>
  <c r="BX229" i="128"/>
  <c r="BW229" i="128"/>
  <c r="BV229" i="128"/>
  <c r="BU229" i="128"/>
  <c r="BT229" i="128"/>
  <c r="BS229" i="128"/>
  <c r="BR229" i="128"/>
  <c r="BQ229" i="128"/>
  <c r="BP229" i="128"/>
  <c r="BN229" i="128"/>
  <c r="BM229" i="128"/>
  <c r="BL229" i="128"/>
  <c r="BK229" i="128"/>
  <c r="BJ229" i="128"/>
  <c r="BI229" i="128"/>
  <c r="BH229" i="128"/>
  <c r="BG229" i="128"/>
  <c r="BF229" i="128"/>
  <c r="BE229" i="128"/>
  <c r="BD229" i="128"/>
  <c r="BC229" i="128"/>
  <c r="BB229" i="128"/>
  <c r="AZ229" i="128"/>
  <c r="AY229" i="128"/>
  <c r="AX229" i="128"/>
  <c r="AW229" i="128"/>
  <c r="AV229" i="128"/>
  <c r="AU229" i="128"/>
  <c r="AT229" i="128"/>
  <c r="AS229" i="128"/>
  <c r="AR229" i="128"/>
  <c r="AQ229" i="128"/>
  <c r="AP229" i="128"/>
  <c r="AO229" i="128"/>
  <c r="AN229" i="128"/>
  <c r="AM229" i="128"/>
  <c r="AL229" i="128"/>
  <c r="AK229" i="128"/>
  <c r="AJ229" i="128"/>
  <c r="AI229" i="128"/>
  <c r="AH229" i="128"/>
  <c r="AF229" i="128"/>
  <c r="AD229" i="128"/>
  <c r="AC229" i="128"/>
  <c r="AB229" i="128"/>
  <c r="AA229" i="128"/>
  <c r="Z229" i="128"/>
  <c r="Y229" i="128"/>
  <c r="X229" i="128"/>
  <c r="W229" i="128"/>
  <c r="V229" i="128"/>
  <c r="U229" i="128"/>
  <c r="T229" i="128"/>
  <c r="S229" i="128"/>
  <c r="M228" i="128"/>
  <c r="M229" i="128" s="1"/>
  <c r="CT227" i="128"/>
  <c r="CS227" i="128"/>
  <c r="CR227" i="128"/>
  <c r="CQ227" i="128"/>
  <c r="CP227" i="128"/>
  <c r="CO227" i="128"/>
  <c r="CN227" i="128"/>
  <c r="CM227" i="128"/>
  <c r="CL227" i="128"/>
  <c r="CK227" i="128"/>
  <c r="CJ227" i="128"/>
  <c r="CI227" i="128"/>
  <c r="CH227" i="128"/>
  <c r="CG227" i="128"/>
  <c r="CF227" i="128"/>
  <c r="CE227" i="128"/>
  <c r="CD227" i="128"/>
  <c r="CC227" i="128"/>
  <c r="CB227" i="128"/>
  <c r="CA227" i="128"/>
  <c r="BZ227" i="128"/>
  <c r="BY227" i="128"/>
  <c r="BX227" i="128"/>
  <c r="BW227" i="128"/>
  <c r="BV227" i="128"/>
  <c r="BU227" i="128"/>
  <c r="BT227" i="128"/>
  <c r="BS227" i="128"/>
  <c r="BR227" i="128"/>
  <c r="BQ227" i="128"/>
  <c r="BP227" i="128"/>
  <c r="BO227" i="128"/>
  <c r="BN227" i="128"/>
  <c r="BM227" i="128"/>
  <c r="BL227" i="128"/>
  <c r="BK227" i="128"/>
  <c r="BJ227" i="128"/>
  <c r="BI227" i="128"/>
  <c r="BH227" i="128"/>
  <c r="BG227" i="128"/>
  <c r="BF227" i="128"/>
  <c r="BE227" i="128"/>
  <c r="BD227" i="128"/>
  <c r="BC227" i="128"/>
  <c r="AZ227" i="128"/>
  <c r="AY227" i="128"/>
  <c r="AX227" i="128"/>
  <c r="AW227" i="128"/>
  <c r="AV227" i="128"/>
  <c r="AU227" i="128"/>
  <c r="AT227" i="128"/>
  <c r="AS227" i="128"/>
  <c r="AR227" i="128"/>
  <c r="AQ227" i="128"/>
  <c r="AP227" i="128"/>
  <c r="AO227" i="128"/>
  <c r="AN227" i="128"/>
  <c r="AM227" i="128"/>
  <c r="AL227" i="128"/>
  <c r="AK227" i="128"/>
  <c r="AJ227" i="128"/>
  <c r="AI227" i="128"/>
  <c r="AH227" i="128"/>
  <c r="AF227" i="128"/>
  <c r="AD227" i="128"/>
  <c r="AC227" i="128"/>
  <c r="AB227" i="128"/>
  <c r="AA227" i="128"/>
  <c r="Z227" i="128"/>
  <c r="Y227" i="128"/>
  <c r="X227" i="128"/>
  <c r="W227" i="128"/>
  <c r="V227" i="128"/>
  <c r="U227" i="128"/>
  <c r="T227" i="128"/>
  <c r="S227" i="128"/>
  <c r="M226" i="128"/>
  <c r="M227" i="128" s="1"/>
  <c r="CT225" i="128"/>
  <c r="CS225" i="128"/>
  <c r="CR225" i="128"/>
  <c r="CQ225" i="128"/>
  <c r="CP225" i="128"/>
  <c r="CO225" i="128"/>
  <c r="CN225" i="128"/>
  <c r="CM225" i="128"/>
  <c r="CL225" i="128"/>
  <c r="CK225" i="128"/>
  <c r="CJ225" i="128"/>
  <c r="CI225" i="128"/>
  <c r="CH225" i="128"/>
  <c r="CG225" i="128"/>
  <c r="CF225" i="128"/>
  <c r="CE225" i="128"/>
  <c r="CD225" i="128"/>
  <c r="CC225" i="128"/>
  <c r="CB225" i="128"/>
  <c r="CA225" i="128"/>
  <c r="BZ225" i="128"/>
  <c r="BY225" i="128"/>
  <c r="BX225" i="128"/>
  <c r="BW225" i="128"/>
  <c r="BV225" i="128"/>
  <c r="BU225" i="128"/>
  <c r="BT225" i="128"/>
  <c r="BS225" i="128"/>
  <c r="BR225" i="128"/>
  <c r="BQ225" i="128"/>
  <c r="BP225" i="128"/>
  <c r="BO225" i="128"/>
  <c r="BN225" i="128"/>
  <c r="BM225" i="128"/>
  <c r="BL225" i="128"/>
  <c r="BK225" i="128"/>
  <c r="BJ225" i="128"/>
  <c r="BI225" i="128"/>
  <c r="BH225" i="128"/>
  <c r="BG225" i="128"/>
  <c r="BF225" i="128"/>
  <c r="BE225" i="128"/>
  <c r="BD225" i="128"/>
  <c r="BC225" i="128"/>
  <c r="AZ225" i="128"/>
  <c r="AY225" i="128"/>
  <c r="AX225" i="128"/>
  <c r="AW225" i="128"/>
  <c r="AV225" i="128"/>
  <c r="AU225" i="128"/>
  <c r="AT225" i="128"/>
  <c r="AS225" i="128"/>
  <c r="AR225" i="128"/>
  <c r="AQ225" i="128"/>
  <c r="AP225" i="128"/>
  <c r="AO225" i="128"/>
  <c r="AN225" i="128"/>
  <c r="AM225" i="128"/>
  <c r="AL225" i="128"/>
  <c r="AK225" i="128"/>
  <c r="AJ225" i="128"/>
  <c r="AI225" i="128"/>
  <c r="AH225" i="128"/>
  <c r="AF225" i="128"/>
  <c r="AD225" i="128"/>
  <c r="AC225" i="128"/>
  <c r="AB225" i="128"/>
  <c r="AA225" i="128"/>
  <c r="Z225" i="128"/>
  <c r="Y225" i="128"/>
  <c r="X225" i="128"/>
  <c r="W225" i="128"/>
  <c r="V225" i="128"/>
  <c r="U225" i="128"/>
  <c r="T225" i="128"/>
  <c r="S225" i="128"/>
  <c r="M224" i="128"/>
  <c r="Q224" i="128" s="1"/>
  <c r="Q225" i="128" s="1"/>
  <c r="CT223" i="128"/>
  <c r="CS223" i="128"/>
  <c r="CR223" i="128"/>
  <c r="CQ223" i="128"/>
  <c r="CP223" i="128"/>
  <c r="CO223" i="128"/>
  <c r="CN223" i="128"/>
  <c r="CM223" i="128"/>
  <c r="CL223" i="128"/>
  <c r="CK223" i="128"/>
  <c r="CJ223" i="128"/>
  <c r="CI223" i="128"/>
  <c r="CH223" i="128"/>
  <c r="CG223" i="128"/>
  <c r="CF223" i="128"/>
  <c r="CE223" i="128"/>
  <c r="CD223" i="128"/>
  <c r="CC223" i="128"/>
  <c r="CB223" i="128"/>
  <c r="CA223" i="128"/>
  <c r="BZ223" i="128"/>
  <c r="BY223" i="128"/>
  <c r="BX223" i="128"/>
  <c r="BW223" i="128"/>
  <c r="BV223" i="128"/>
  <c r="BU223" i="128"/>
  <c r="BT223" i="128"/>
  <c r="BS223" i="128"/>
  <c r="BR223" i="128"/>
  <c r="BQ223" i="128"/>
  <c r="BP223" i="128"/>
  <c r="BO223" i="128"/>
  <c r="BN223" i="128"/>
  <c r="BM223" i="128"/>
  <c r="BL223" i="128"/>
  <c r="BK223" i="128"/>
  <c r="BJ223" i="128"/>
  <c r="BI223" i="128"/>
  <c r="BH223" i="128"/>
  <c r="BG223" i="128"/>
  <c r="BF223" i="128"/>
  <c r="BE223" i="128"/>
  <c r="BD223" i="128"/>
  <c r="BC223" i="128"/>
  <c r="BB223" i="128"/>
  <c r="AZ223" i="128"/>
  <c r="AY223" i="128"/>
  <c r="AX223" i="128"/>
  <c r="AW223" i="128"/>
  <c r="AV223" i="128"/>
  <c r="AU223" i="128"/>
  <c r="AT223" i="128"/>
  <c r="AS223" i="128"/>
  <c r="AR223" i="128"/>
  <c r="AQ223" i="128"/>
  <c r="AP223" i="128"/>
  <c r="AO223" i="128"/>
  <c r="AN223" i="128"/>
  <c r="AM223" i="128"/>
  <c r="AL223" i="128"/>
  <c r="AK223" i="128"/>
  <c r="AJ223" i="128"/>
  <c r="AI223" i="128"/>
  <c r="AH223" i="128"/>
  <c r="AF223" i="128"/>
  <c r="AD223" i="128"/>
  <c r="AC223" i="128"/>
  <c r="AB223" i="128"/>
  <c r="AA223" i="128"/>
  <c r="Z223" i="128"/>
  <c r="Y223" i="128"/>
  <c r="X223" i="128"/>
  <c r="W223" i="128"/>
  <c r="V223" i="128"/>
  <c r="U223" i="128"/>
  <c r="T223" i="128"/>
  <c r="S223" i="128"/>
  <c r="M222" i="128"/>
  <c r="M221" i="128"/>
  <c r="CT220" i="128"/>
  <c r="CS220" i="128"/>
  <c r="CR220" i="128"/>
  <c r="CQ220" i="128"/>
  <c r="CP220" i="128"/>
  <c r="CO220" i="128"/>
  <c r="CN220" i="128"/>
  <c r="CM220" i="128"/>
  <c r="CL220" i="128"/>
  <c r="CK220" i="128"/>
  <c r="CJ220" i="128"/>
  <c r="CI220" i="128"/>
  <c r="CH220" i="128"/>
  <c r="CG220" i="128"/>
  <c r="CF220" i="128"/>
  <c r="CE220" i="128"/>
  <c r="CD220" i="128"/>
  <c r="CC220" i="128"/>
  <c r="CB220" i="128"/>
  <c r="CA220" i="128"/>
  <c r="BZ220" i="128"/>
  <c r="BY220" i="128"/>
  <c r="BX220" i="128"/>
  <c r="BW220" i="128"/>
  <c r="BV220" i="128"/>
  <c r="BU220" i="128"/>
  <c r="BT220" i="128"/>
  <c r="BS220" i="128"/>
  <c r="BR220" i="128"/>
  <c r="BQ220" i="128"/>
  <c r="BP220" i="128"/>
  <c r="BO220" i="128"/>
  <c r="BN220" i="128"/>
  <c r="BM220" i="128"/>
  <c r="BL220" i="128"/>
  <c r="BK220" i="128"/>
  <c r="BJ220" i="128"/>
  <c r="BI220" i="128"/>
  <c r="BH220" i="128"/>
  <c r="BG220" i="128"/>
  <c r="BF220" i="128"/>
  <c r="BE220" i="128"/>
  <c r="BD220" i="128"/>
  <c r="BC220" i="128"/>
  <c r="BB220" i="128"/>
  <c r="AZ220" i="128"/>
  <c r="AY220" i="128"/>
  <c r="AX220" i="128"/>
  <c r="AW220" i="128"/>
  <c r="AV220" i="128"/>
  <c r="AU220" i="128"/>
  <c r="AT220" i="128"/>
  <c r="AS220" i="128"/>
  <c r="AR220" i="128"/>
  <c r="AQ220" i="128"/>
  <c r="AP220" i="128"/>
  <c r="AO220" i="128"/>
  <c r="AN220" i="128"/>
  <c r="AM220" i="128"/>
  <c r="AL220" i="128"/>
  <c r="AK220" i="128"/>
  <c r="AJ220" i="128"/>
  <c r="AI220" i="128"/>
  <c r="AH220" i="128"/>
  <c r="AF220" i="128"/>
  <c r="AD220" i="128"/>
  <c r="AC220" i="128"/>
  <c r="AB220" i="128"/>
  <c r="AA220" i="128"/>
  <c r="Z220" i="128"/>
  <c r="Y220" i="128"/>
  <c r="X220" i="128"/>
  <c r="W220" i="128"/>
  <c r="V220" i="128"/>
  <c r="U220" i="128"/>
  <c r="T220" i="128"/>
  <c r="S220" i="128"/>
  <c r="M219" i="128"/>
  <c r="Q219" i="128" s="1"/>
  <c r="Q220" i="128" s="1"/>
  <c r="CT218" i="128"/>
  <c r="CS218" i="128"/>
  <c r="CR218" i="128"/>
  <c r="CQ218" i="128"/>
  <c r="CP218" i="128"/>
  <c r="CO218" i="128"/>
  <c r="CN218" i="128"/>
  <c r="CM218" i="128"/>
  <c r="CL218" i="128"/>
  <c r="CK218" i="128"/>
  <c r="CJ218" i="128"/>
  <c r="CI218" i="128"/>
  <c r="CH218" i="128"/>
  <c r="CG218" i="128"/>
  <c r="CF218" i="128"/>
  <c r="CE218" i="128"/>
  <c r="CD218" i="128"/>
  <c r="CC218" i="128"/>
  <c r="CB218" i="128"/>
  <c r="CA218" i="128"/>
  <c r="BZ218" i="128"/>
  <c r="BY218" i="128"/>
  <c r="BX218" i="128"/>
  <c r="BW218" i="128"/>
  <c r="BV218" i="128"/>
  <c r="BU218" i="128"/>
  <c r="BT218" i="128"/>
  <c r="BS218" i="128"/>
  <c r="BR218" i="128"/>
  <c r="BQ218" i="128"/>
  <c r="BP218" i="128"/>
  <c r="BO218" i="128"/>
  <c r="BN218" i="128"/>
  <c r="BM218" i="128"/>
  <c r="BL218" i="128"/>
  <c r="BK218" i="128"/>
  <c r="BJ218" i="128"/>
  <c r="BI218" i="128"/>
  <c r="BH218" i="128"/>
  <c r="BG218" i="128"/>
  <c r="BF218" i="128"/>
  <c r="BE218" i="128"/>
  <c r="BD218" i="128"/>
  <c r="BC218" i="128"/>
  <c r="BB218" i="128"/>
  <c r="AZ218" i="128"/>
  <c r="AY218" i="128"/>
  <c r="AX218" i="128"/>
  <c r="AW218" i="128"/>
  <c r="AV218" i="128"/>
  <c r="AU218" i="128"/>
  <c r="AT218" i="128"/>
  <c r="AS218" i="128"/>
  <c r="AR218" i="128"/>
  <c r="AQ218" i="128"/>
  <c r="AP218" i="128"/>
  <c r="AO218" i="128"/>
  <c r="AN218" i="128"/>
  <c r="AM218" i="128"/>
  <c r="AL218" i="128"/>
  <c r="AJ218" i="128"/>
  <c r="AI218" i="128"/>
  <c r="AH218" i="128"/>
  <c r="AF218" i="128"/>
  <c r="AD218" i="128"/>
  <c r="AC218" i="128"/>
  <c r="AB218" i="128"/>
  <c r="AA218" i="128"/>
  <c r="Z218" i="128"/>
  <c r="Y218" i="128"/>
  <c r="X218" i="128"/>
  <c r="W218" i="128"/>
  <c r="V218" i="128"/>
  <c r="U218" i="128"/>
  <c r="T218" i="128"/>
  <c r="S218" i="128"/>
  <c r="M217" i="128"/>
  <c r="M218" i="128" s="1"/>
  <c r="N218" i="128" s="1"/>
  <c r="CT216" i="128"/>
  <c r="CS216" i="128"/>
  <c r="CR216" i="128"/>
  <c r="CQ216" i="128"/>
  <c r="CP216" i="128"/>
  <c r="CO216" i="128"/>
  <c r="CN216" i="128"/>
  <c r="CM216" i="128"/>
  <c r="CL216" i="128"/>
  <c r="CK216" i="128"/>
  <c r="CJ216" i="128"/>
  <c r="CI216" i="128"/>
  <c r="CH216" i="128"/>
  <c r="CG216" i="128"/>
  <c r="CF216" i="128"/>
  <c r="CE216" i="128"/>
  <c r="CD216" i="128"/>
  <c r="CC216" i="128"/>
  <c r="CB216" i="128"/>
  <c r="CA216" i="128"/>
  <c r="BZ216" i="128"/>
  <c r="BY216" i="128"/>
  <c r="BX216" i="128"/>
  <c r="BW216" i="128"/>
  <c r="BV216" i="128"/>
  <c r="BU216" i="128"/>
  <c r="BT216" i="128"/>
  <c r="BS216" i="128"/>
  <c r="BR216" i="128"/>
  <c r="BQ216" i="128"/>
  <c r="BP216" i="128"/>
  <c r="BO216" i="128"/>
  <c r="BN216" i="128"/>
  <c r="BM216" i="128"/>
  <c r="BL216" i="128"/>
  <c r="BK216" i="128"/>
  <c r="BJ216" i="128"/>
  <c r="BI216" i="128"/>
  <c r="BH216" i="128"/>
  <c r="BG216" i="128"/>
  <c r="BF216" i="128"/>
  <c r="BE216" i="128"/>
  <c r="BD216" i="128"/>
  <c r="BC216" i="128"/>
  <c r="BB216" i="128"/>
  <c r="AZ216" i="128"/>
  <c r="AY216" i="128"/>
  <c r="AX216" i="128"/>
  <c r="AW216" i="128"/>
  <c r="AV216" i="128"/>
  <c r="AU216" i="128"/>
  <c r="AT216" i="128"/>
  <c r="AS216" i="128"/>
  <c r="AR216" i="128"/>
  <c r="AQ216" i="128"/>
  <c r="AP216" i="128"/>
  <c r="AO216" i="128"/>
  <c r="AN216" i="128"/>
  <c r="AM216" i="128"/>
  <c r="AL216" i="128"/>
  <c r="AK216" i="128"/>
  <c r="AJ216" i="128"/>
  <c r="AI216" i="128"/>
  <c r="AH216" i="128"/>
  <c r="AF216" i="128"/>
  <c r="AD216" i="128"/>
  <c r="AC216" i="128"/>
  <c r="AB216" i="128"/>
  <c r="AA216" i="128"/>
  <c r="Z216" i="128"/>
  <c r="Y216" i="128"/>
  <c r="X216" i="128"/>
  <c r="W216" i="128"/>
  <c r="V216" i="128"/>
  <c r="U216" i="128"/>
  <c r="T216" i="128"/>
  <c r="S216" i="128"/>
  <c r="M215" i="128"/>
  <c r="CT214" i="128"/>
  <c r="CS214" i="128"/>
  <c r="CR214" i="128"/>
  <c r="CQ214" i="128"/>
  <c r="CP214" i="128"/>
  <c r="CO214" i="128"/>
  <c r="CN214" i="128"/>
  <c r="CM214" i="128"/>
  <c r="CL214" i="128"/>
  <c r="CK214" i="128"/>
  <c r="CJ214" i="128"/>
  <c r="CI214" i="128"/>
  <c r="CH214" i="128"/>
  <c r="CG214" i="128"/>
  <c r="CF214" i="128"/>
  <c r="CE214" i="128"/>
  <c r="CD214" i="128"/>
  <c r="CC214" i="128"/>
  <c r="CB214" i="128"/>
  <c r="CA214" i="128"/>
  <c r="BZ214" i="128"/>
  <c r="BY214" i="128"/>
  <c r="BX214" i="128"/>
  <c r="BW214" i="128"/>
  <c r="BV214" i="128"/>
  <c r="BU214" i="128"/>
  <c r="BT214" i="128"/>
  <c r="BS214" i="128"/>
  <c r="BR214" i="128"/>
  <c r="BQ214" i="128"/>
  <c r="BP214" i="128"/>
  <c r="BO214" i="128"/>
  <c r="BN214" i="128"/>
  <c r="BM214" i="128"/>
  <c r="BL214" i="128"/>
  <c r="BK214" i="128"/>
  <c r="BJ214" i="128"/>
  <c r="BI214" i="128"/>
  <c r="BH214" i="128"/>
  <c r="BG214" i="128"/>
  <c r="BF214" i="128"/>
  <c r="BE214" i="128"/>
  <c r="BD214" i="128"/>
  <c r="BC214" i="128"/>
  <c r="BB214" i="128"/>
  <c r="AZ214" i="128"/>
  <c r="AY214" i="128"/>
  <c r="AX214" i="128"/>
  <c r="AW214" i="128"/>
  <c r="AV214" i="128"/>
  <c r="AU214" i="128"/>
  <c r="AT214" i="128"/>
  <c r="AS214" i="128"/>
  <c r="AR214" i="128"/>
  <c r="AQ214" i="128"/>
  <c r="AP214" i="128"/>
  <c r="AO214" i="128"/>
  <c r="AN214" i="128"/>
  <c r="AM214" i="128"/>
  <c r="AL214" i="128"/>
  <c r="AK214" i="128"/>
  <c r="AJ214" i="128"/>
  <c r="AI214" i="128"/>
  <c r="AH214" i="128"/>
  <c r="AF214" i="128"/>
  <c r="AD214" i="128"/>
  <c r="AC214" i="128"/>
  <c r="AB214" i="128"/>
  <c r="AA214" i="128"/>
  <c r="Z214" i="128"/>
  <c r="Y214" i="128"/>
  <c r="X214" i="128"/>
  <c r="W214" i="128"/>
  <c r="V214" i="128"/>
  <c r="U214" i="128"/>
  <c r="T214" i="128"/>
  <c r="S214" i="128"/>
  <c r="P213" i="128"/>
  <c r="M213" i="128"/>
  <c r="M214" i="128" s="1"/>
  <c r="N214" i="128" s="1"/>
  <c r="CT212" i="128"/>
  <c r="CS212" i="128"/>
  <c r="CR212" i="128"/>
  <c r="CQ212" i="128"/>
  <c r="CP212" i="128"/>
  <c r="CO212" i="128"/>
  <c r="CN212" i="128"/>
  <c r="CM212" i="128"/>
  <c r="CL212" i="128"/>
  <c r="CK212" i="128"/>
  <c r="CJ212" i="128"/>
  <c r="CI212" i="128"/>
  <c r="CH212" i="128"/>
  <c r="CG212" i="128"/>
  <c r="CF212" i="128"/>
  <c r="CE212" i="128"/>
  <c r="CD212" i="128"/>
  <c r="CC212" i="128"/>
  <c r="CB212" i="128"/>
  <c r="CA212" i="128"/>
  <c r="BZ212" i="128"/>
  <c r="BY212" i="128"/>
  <c r="BX212" i="128"/>
  <c r="BW212" i="128"/>
  <c r="BV212" i="128"/>
  <c r="BU212" i="128"/>
  <c r="BT212" i="128"/>
  <c r="BS212" i="128"/>
  <c r="BR212" i="128"/>
  <c r="BQ212" i="128"/>
  <c r="BP212" i="128"/>
  <c r="BO212" i="128"/>
  <c r="BN212" i="128"/>
  <c r="BM212" i="128"/>
  <c r="BL212" i="128"/>
  <c r="BK212" i="128"/>
  <c r="BJ212" i="128"/>
  <c r="BI212" i="128"/>
  <c r="BH212" i="128"/>
  <c r="BG212" i="128"/>
  <c r="BF212" i="128"/>
  <c r="BE212" i="128"/>
  <c r="BD212" i="128"/>
  <c r="BC212" i="128"/>
  <c r="BB212" i="128"/>
  <c r="AZ212" i="128"/>
  <c r="AY212" i="128"/>
  <c r="AX212" i="128"/>
  <c r="AW212" i="128"/>
  <c r="AV212" i="128"/>
  <c r="AU212" i="128"/>
  <c r="AT212" i="128"/>
  <c r="AS212" i="128"/>
  <c r="AR212" i="128"/>
  <c r="AQ212" i="128"/>
  <c r="AP212" i="128"/>
  <c r="AO212" i="128"/>
  <c r="AN212" i="128"/>
  <c r="AM212" i="128"/>
  <c r="AL212" i="128"/>
  <c r="AK212" i="128"/>
  <c r="AJ212" i="128"/>
  <c r="AI212" i="128"/>
  <c r="AH212" i="128"/>
  <c r="AF212" i="128"/>
  <c r="AD212" i="128"/>
  <c r="AC212" i="128"/>
  <c r="AB212" i="128"/>
  <c r="AA212" i="128"/>
  <c r="Z212" i="128"/>
  <c r="Y212" i="128"/>
  <c r="X212" i="128"/>
  <c r="W212" i="128"/>
  <c r="V212" i="128"/>
  <c r="U212" i="128"/>
  <c r="T212" i="128"/>
  <c r="S212" i="128"/>
  <c r="M211" i="128"/>
  <c r="M212" i="128" s="1"/>
  <c r="N212" i="128" s="1"/>
  <c r="CT210" i="128"/>
  <c r="CS210" i="128"/>
  <c r="CR210" i="128"/>
  <c r="CQ210" i="128"/>
  <c r="CP210" i="128"/>
  <c r="CO210" i="128"/>
  <c r="CN210" i="128"/>
  <c r="CM210" i="128"/>
  <c r="CL210" i="128"/>
  <c r="CK210" i="128"/>
  <c r="CJ210" i="128"/>
  <c r="CI210" i="128"/>
  <c r="CH210" i="128"/>
  <c r="CG210" i="128"/>
  <c r="CF210" i="128"/>
  <c r="CE210" i="128"/>
  <c r="CD210" i="128"/>
  <c r="CC210" i="128"/>
  <c r="CB210" i="128"/>
  <c r="CA210" i="128"/>
  <c r="BZ210" i="128"/>
  <c r="BY210" i="128"/>
  <c r="BX210" i="128"/>
  <c r="BW210" i="128"/>
  <c r="BV210" i="128"/>
  <c r="BU210" i="128"/>
  <c r="BT210" i="128"/>
  <c r="BS210" i="128"/>
  <c r="BR210" i="128"/>
  <c r="BQ210" i="128"/>
  <c r="BP210" i="128"/>
  <c r="BO210" i="128"/>
  <c r="BN210" i="128"/>
  <c r="BM210" i="128"/>
  <c r="BL210" i="128"/>
  <c r="BK210" i="128"/>
  <c r="BJ210" i="128"/>
  <c r="BI210" i="128"/>
  <c r="BH210" i="128"/>
  <c r="BG210" i="128"/>
  <c r="BF210" i="128"/>
  <c r="BE210" i="128"/>
  <c r="BD210" i="128"/>
  <c r="BC210" i="128"/>
  <c r="BB210" i="128"/>
  <c r="AZ210" i="128"/>
  <c r="AY210" i="128"/>
  <c r="AX210" i="128"/>
  <c r="AW210" i="128"/>
  <c r="AV210" i="128"/>
  <c r="AU210" i="128"/>
  <c r="AT210" i="128"/>
  <c r="AS210" i="128"/>
  <c r="AR210" i="128"/>
  <c r="AQ210" i="128"/>
  <c r="AP210" i="128"/>
  <c r="AO210" i="128"/>
  <c r="AN210" i="128"/>
  <c r="AM210" i="128"/>
  <c r="AL210" i="128"/>
  <c r="AK210" i="128"/>
  <c r="AJ210" i="128"/>
  <c r="AI210" i="128"/>
  <c r="AH210" i="128"/>
  <c r="AF210" i="128"/>
  <c r="AD210" i="128"/>
  <c r="AC210" i="128"/>
  <c r="AB210" i="128"/>
  <c r="AA210" i="128"/>
  <c r="Z210" i="128"/>
  <c r="Y210" i="128"/>
  <c r="X210" i="128"/>
  <c r="W210" i="128"/>
  <c r="V210" i="128"/>
  <c r="U210" i="128"/>
  <c r="T210" i="128"/>
  <c r="S210" i="128"/>
  <c r="Q210" i="128"/>
  <c r="M209" i="128"/>
  <c r="M208" i="128"/>
  <c r="P208" i="128" s="1"/>
  <c r="CT207" i="128"/>
  <c r="CS207" i="128"/>
  <c r="CR207" i="128"/>
  <c r="CQ207" i="128"/>
  <c r="CP207" i="128"/>
  <c r="CO207" i="128"/>
  <c r="CN207" i="128"/>
  <c r="CM207" i="128"/>
  <c r="CL207" i="128"/>
  <c r="CK207" i="128"/>
  <c r="CJ207" i="128"/>
  <c r="CI207" i="128"/>
  <c r="CH207" i="128"/>
  <c r="CG207" i="128"/>
  <c r="CF207" i="128"/>
  <c r="CE207" i="128"/>
  <c r="CD207" i="128"/>
  <c r="CC207" i="128"/>
  <c r="CB207" i="128"/>
  <c r="CA207" i="128"/>
  <c r="BZ207" i="128"/>
  <c r="BY207" i="128"/>
  <c r="BX207" i="128"/>
  <c r="BW207" i="128"/>
  <c r="BV207" i="128"/>
  <c r="BU207" i="128"/>
  <c r="BT207" i="128"/>
  <c r="BS207" i="128"/>
  <c r="BR207" i="128"/>
  <c r="BQ207" i="128"/>
  <c r="BP207" i="128"/>
  <c r="BO207" i="128"/>
  <c r="BN207" i="128"/>
  <c r="BM207" i="128"/>
  <c r="BL207" i="128"/>
  <c r="BK207" i="128"/>
  <c r="BJ207" i="128"/>
  <c r="BI207" i="128"/>
  <c r="BH207" i="128"/>
  <c r="BG207" i="128"/>
  <c r="BF207" i="128"/>
  <c r="BE207" i="128"/>
  <c r="BD207" i="128"/>
  <c r="BC207" i="128"/>
  <c r="BB207" i="128"/>
  <c r="AZ207" i="128"/>
  <c r="AY207" i="128"/>
  <c r="AX207" i="128"/>
  <c r="AW207" i="128"/>
  <c r="AV207" i="128"/>
  <c r="AU207" i="128"/>
  <c r="AT207" i="128"/>
  <c r="AS207" i="128"/>
  <c r="AR207" i="128"/>
  <c r="AQ207" i="128"/>
  <c r="AP207" i="128"/>
  <c r="AO207" i="128"/>
  <c r="AN207" i="128"/>
  <c r="AM207" i="128"/>
  <c r="AL207" i="128"/>
  <c r="AK207" i="128"/>
  <c r="AJ207" i="128"/>
  <c r="AI207" i="128"/>
  <c r="AH207" i="128"/>
  <c r="AF207" i="128"/>
  <c r="AD207" i="128"/>
  <c r="AC207" i="128"/>
  <c r="AB207" i="128"/>
  <c r="AA207" i="128"/>
  <c r="Z207" i="128"/>
  <c r="Y207" i="128"/>
  <c r="X207" i="128"/>
  <c r="W207" i="128"/>
  <c r="V207" i="128"/>
  <c r="U207" i="128"/>
  <c r="T207" i="128"/>
  <c r="S207" i="128"/>
  <c r="M206" i="128"/>
  <c r="R206" i="128" s="1"/>
  <c r="CU206" i="128" s="1"/>
  <c r="CV206" i="128" s="1"/>
  <c r="M205" i="128"/>
  <c r="CT204" i="128"/>
  <c r="CS204" i="128"/>
  <c r="CR204" i="128"/>
  <c r="CQ204" i="128"/>
  <c r="CP204" i="128"/>
  <c r="CO204" i="128"/>
  <c r="CN204" i="128"/>
  <c r="CM204" i="128"/>
  <c r="CL204" i="128"/>
  <c r="CK204" i="128"/>
  <c r="CJ204" i="128"/>
  <c r="CI204" i="128"/>
  <c r="CH204" i="128"/>
  <c r="CG204" i="128"/>
  <c r="CF204" i="128"/>
  <c r="CE204" i="128"/>
  <c r="CD204" i="128"/>
  <c r="CC204" i="128"/>
  <c r="CB204" i="128"/>
  <c r="CA204" i="128"/>
  <c r="BZ204" i="128"/>
  <c r="BY204" i="128"/>
  <c r="BX204" i="128"/>
  <c r="BW204" i="128"/>
  <c r="BV204" i="128"/>
  <c r="BU204" i="128"/>
  <c r="BT204" i="128"/>
  <c r="BS204" i="128"/>
  <c r="BR204" i="128"/>
  <c r="BQ204" i="128"/>
  <c r="BP204" i="128"/>
  <c r="BO204" i="128"/>
  <c r="BN204" i="128"/>
  <c r="BM204" i="128"/>
  <c r="BL204" i="128"/>
  <c r="BK204" i="128"/>
  <c r="BJ204" i="128"/>
  <c r="BI204" i="128"/>
  <c r="BH204" i="128"/>
  <c r="BG204" i="128"/>
  <c r="BF204" i="128"/>
  <c r="BE204" i="128"/>
  <c r="BD204" i="128"/>
  <c r="BC204" i="128"/>
  <c r="BB204" i="128"/>
  <c r="AZ204" i="128"/>
  <c r="AY204" i="128"/>
  <c r="AX204" i="128"/>
  <c r="AW204" i="128"/>
  <c r="AV204" i="128"/>
  <c r="AU204" i="128"/>
  <c r="AT204" i="128"/>
  <c r="AS204" i="128"/>
  <c r="AR204" i="128"/>
  <c r="AQ204" i="128"/>
  <c r="AP204" i="128"/>
  <c r="AO204" i="128"/>
  <c r="AN204" i="128"/>
  <c r="AM204" i="128"/>
  <c r="AL204" i="128"/>
  <c r="AK204" i="128"/>
  <c r="AJ204" i="128"/>
  <c r="AI204" i="128"/>
  <c r="AH204" i="128"/>
  <c r="AF204" i="128"/>
  <c r="AD204" i="128"/>
  <c r="AC204" i="128"/>
  <c r="AB204" i="128"/>
  <c r="AA204" i="128"/>
  <c r="Z204" i="128"/>
  <c r="Y204" i="128"/>
  <c r="X204" i="128"/>
  <c r="V204" i="128"/>
  <c r="U204" i="128"/>
  <c r="T204" i="128"/>
  <c r="S204" i="128"/>
  <c r="M203" i="128"/>
  <c r="M202" i="128"/>
  <c r="P202" i="128" s="1"/>
  <c r="M201" i="128"/>
  <c r="M200" i="128"/>
  <c r="P200" i="128" s="1"/>
  <c r="CT199" i="128"/>
  <c r="CS199" i="128"/>
  <c r="CR199" i="128"/>
  <c r="CQ199" i="128"/>
  <c r="CP199" i="128"/>
  <c r="CO199" i="128"/>
  <c r="CN199" i="128"/>
  <c r="CM199" i="128"/>
  <c r="CL199" i="128"/>
  <c r="CK199" i="128"/>
  <c r="CJ199" i="128"/>
  <c r="CI199" i="128"/>
  <c r="CH199" i="128"/>
  <c r="CG199" i="128"/>
  <c r="CF199" i="128"/>
  <c r="CE199" i="128"/>
  <c r="CD199" i="128"/>
  <c r="CC199" i="128"/>
  <c r="CB199" i="128"/>
  <c r="CA199" i="128"/>
  <c r="BZ199" i="128"/>
  <c r="BY199" i="128"/>
  <c r="BX199" i="128"/>
  <c r="BW199" i="128"/>
  <c r="BV199" i="128"/>
  <c r="BU199" i="128"/>
  <c r="BT199" i="128"/>
  <c r="BS199" i="128"/>
  <c r="BR199" i="128"/>
  <c r="BQ199" i="128"/>
  <c r="BP199" i="128"/>
  <c r="BO199" i="128"/>
  <c r="BN199" i="128"/>
  <c r="BM199" i="128"/>
  <c r="BL199" i="128"/>
  <c r="BK199" i="128"/>
  <c r="BJ199" i="128"/>
  <c r="BI199" i="128"/>
  <c r="BH199" i="128"/>
  <c r="BG199" i="128"/>
  <c r="BF199" i="128"/>
  <c r="BE199" i="128"/>
  <c r="BD199" i="128"/>
  <c r="BC199" i="128"/>
  <c r="BB199" i="128"/>
  <c r="AZ199" i="128"/>
  <c r="AY199" i="128"/>
  <c r="AX199" i="128"/>
  <c r="AW199" i="128"/>
  <c r="AV199" i="128"/>
  <c r="AU199" i="128"/>
  <c r="AT199" i="128"/>
  <c r="AS199" i="128"/>
  <c r="AR199" i="128"/>
  <c r="AQ199" i="128"/>
  <c r="AP199" i="128"/>
  <c r="AO199" i="128"/>
  <c r="AN199" i="128"/>
  <c r="AM199" i="128"/>
  <c r="AL199" i="128"/>
  <c r="AK199" i="128"/>
  <c r="AJ199" i="128"/>
  <c r="AI199" i="128"/>
  <c r="AH199" i="128"/>
  <c r="AF199" i="128"/>
  <c r="AD199" i="128"/>
  <c r="AC199" i="128"/>
  <c r="AB199" i="128"/>
  <c r="AA199" i="128"/>
  <c r="Z199" i="128"/>
  <c r="Y199" i="128"/>
  <c r="X199" i="128"/>
  <c r="W199" i="128"/>
  <c r="V199" i="128"/>
  <c r="U199" i="128"/>
  <c r="T199" i="128"/>
  <c r="S199" i="128"/>
  <c r="Q199" i="128"/>
  <c r="P199" i="128"/>
  <c r="M198" i="128"/>
  <c r="R198" i="128" s="1"/>
  <c r="CU198" i="128" s="1"/>
  <c r="CV198" i="128" s="1"/>
  <c r="M197" i="128"/>
  <c r="CT196" i="128"/>
  <c r="CS196" i="128"/>
  <c r="CR196" i="128"/>
  <c r="CQ196" i="128"/>
  <c r="CP196" i="128"/>
  <c r="CO196" i="128"/>
  <c r="CN196" i="128"/>
  <c r="CM196" i="128"/>
  <c r="CL196" i="128"/>
  <c r="CK196" i="128"/>
  <c r="CJ196" i="128"/>
  <c r="CI196" i="128"/>
  <c r="CH196" i="128"/>
  <c r="CG196" i="128"/>
  <c r="CF196" i="128"/>
  <c r="CE196" i="128"/>
  <c r="CD196" i="128"/>
  <c r="CC196" i="128"/>
  <c r="CB196" i="128"/>
  <c r="CA196" i="128"/>
  <c r="BZ196" i="128"/>
  <c r="BY196" i="128"/>
  <c r="BX196" i="128"/>
  <c r="BW196" i="128"/>
  <c r="BV196" i="128"/>
  <c r="BU196" i="128"/>
  <c r="BT196" i="128"/>
  <c r="BS196" i="128"/>
  <c r="BR196" i="128"/>
  <c r="BQ196" i="128"/>
  <c r="BP196" i="128"/>
  <c r="BO196" i="128"/>
  <c r="BN196" i="128"/>
  <c r="BM196" i="128"/>
  <c r="BL196" i="128"/>
  <c r="BK196" i="128"/>
  <c r="BJ196" i="128"/>
  <c r="BI196" i="128"/>
  <c r="BH196" i="128"/>
  <c r="BG196" i="128"/>
  <c r="BF196" i="128"/>
  <c r="BE196" i="128"/>
  <c r="BD196" i="128"/>
  <c r="BC196" i="128"/>
  <c r="BB196" i="128"/>
  <c r="AZ196" i="128"/>
  <c r="AY196" i="128"/>
  <c r="AX196" i="128"/>
  <c r="AW196" i="128"/>
  <c r="AV196" i="128"/>
  <c r="AU196" i="128"/>
  <c r="AT196" i="128"/>
  <c r="AS196" i="128"/>
  <c r="AR196" i="128"/>
  <c r="AQ196" i="128"/>
  <c r="AP196" i="128"/>
  <c r="AO196" i="128"/>
  <c r="AN196" i="128"/>
  <c r="AM196" i="128"/>
  <c r="AL196" i="128"/>
  <c r="AK196" i="128"/>
  <c r="AJ196" i="128"/>
  <c r="AI196" i="128"/>
  <c r="AH196" i="128"/>
  <c r="AF196" i="128"/>
  <c r="AD196" i="128"/>
  <c r="AC196" i="128"/>
  <c r="AB196" i="128"/>
  <c r="AA196" i="128"/>
  <c r="Z196" i="128"/>
  <c r="Y196" i="128"/>
  <c r="X196" i="128"/>
  <c r="W196" i="128"/>
  <c r="V196" i="128"/>
  <c r="U196" i="128"/>
  <c r="T196" i="128"/>
  <c r="S196" i="128"/>
  <c r="M195" i="128"/>
  <c r="P195" i="128" s="1"/>
  <c r="M194" i="128"/>
  <c r="M193" i="128"/>
  <c r="P193" i="128" s="1"/>
  <c r="M192" i="128"/>
  <c r="M191" i="128"/>
  <c r="P191" i="128" s="1"/>
  <c r="M190" i="128"/>
  <c r="M189" i="128"/>
  <c r="P189" i="128" s="1"/>
  <c r="M188" i="128"/>
  <c r="M187" i="128"/>
  <c r="M186" i="128"/>
  <c r="CT185" i="128"/>
  <c r="CS185" i="128"/>
  <c r="CR185" i="128"/>
  <c r="CQ185" i="128"/>
  <c r="CP185" i="128"/>
  <c r="CO185" i="128"/>
  <c r="CN185" i="128"/>
  <c r="CM185" i="128"/>
  <c r="CL185" i="128"/>
  <c r="CK185" i="128"/>
  <c r="CJ185" i="128"/>
  <c r="CI185" i="128"/>
  <c r="CH185" i="128"/>
  <c r="CG185" i="128"/>
  <c r="CF185" i="128"/>
  <c r="CE185" i="128"/>
  <c r="CD185" i="128"/>
  <c r="CC185" i="128"/>
  <c r="CB185" i="128"/>
  <c r="CA185" i="128"/>
  <c r="BZ185" i="128"/>
  <c r="BY185" i="128"/>
  <c r="BX185" i="128"/>
  <c r="BW185" i="128"/>
  <c r="BV185" i="128"/>
  <c r="BU185" i="128"/>
  <c r="BT185" i="128"/>
  <c r="BS185" i="128"/>
  <c r="BR185" i="128"/>
  <c r="BQ185" i="128"/>
  <c r="BP185" i="128"/>
  <c r="BO185" i="128"/>
  <c r="BN185" i="128"/>
  <c r="BM185" i="128"/>
  <c r="BL185" i="128"/>
  <c r="BK185" i="128"/>
  <c r="BJ185" i="128"/>
  <c r="BI185" i="128"/>
  <c r="BH185" i="128"/>
  <c r="BG185" i="128"/>
  <c r="BF185" i="128"/>
  <c r="BE185" i="128"/>
  <c r="BD185" i="128"/>
  <c r="BC185" i="128"/>
  <c r="BB185" i="128"/>
  <c r="AZ185" i="128"/>
  <c r="AY185" i="128"/>
  <c r="AX185" i="128"/>
  <c r="AW185" i="128"/>
  <c r="AV185" i="128"/>
  <c r="AU185" i="128"/>
  <c r="AT185" i="128"/>
  <c r="AS185" i="128"/>
  <c r="AR185" i="128"/>
  <c r="AQ185" i="128"/>
  <c r="AP185" i="128"/>
  <c r="AO185" i="128"/>
  <c r="AN185" i="128"/>
  <c r="AM185" i="128"/>
  <c r="AL185" i="128"/>
  <c r="AK185" i="128"/>
  <c r="AJ185" i="128"/>
  <c r="AI185" i="128"/>
  <c r="AH185" i="128"/>
  <c r="AF185" i="128"/>
  <c r="AD185" i="128"/>
  <c r="AC185" i="128"/>
  <c r="AB185" i="128"/>
  <c r="AA185" i="128"/>
  <c r="Z185" i="128"/>
  <c r="Y185" i="128"/>
  <c r="X185" i="128"/>
  <c r="W185" i="128"/>
  <c r="V185" i="128"/>
  <c r="U185" i="128"/>
  <c r="T185" i="128"/>
  <c r="S185" i="128"/>
  <c r="M184" i="128"/>
  <c r="M185" i="128" s="1"/>
  <c r="CT183" i="128"/>
  <c r="CS183" i="128"/>
  <c r="CR183" i="128"/>
  <c r="CQ183" i="128"/>
  <c r="CP183" i="128"/>
  <c r="CO183" i="128"/>
  <c r="CN183" i="128"/>
  <c r="CM183" i="128"/>
  <c r="CL183" i="128"/>
  <c r="CK183" i="128"/>
  <c r="CJ183" i="128"/>
  <c r="CI183" i="128"/>
  <c r="CH183" i="128"/>
  <c r="CG183" i="128"/>
  <c r="CF183" i="128"/>
  <c r="CE183" i="128"/>
  <c r="CD183" i="128"/>
  <c r="CC183" i="128"/>
  <c r="CB183" i="128"/>
  <c r="CA183" i="128"/>
  <c r="BZ183" i="128"/>
  <c r="BY183" i="128"/>
  <c r="BX183" i="128"/>
  <c r="BW183" i="128"/>
  <c r="BV183" i="128"/>
  <c r="BU183" i="128"/>
  <c r="BT183" i="128"/>
  <c r="BS183" i="128"/>
  <c r="BR183" i="128"/>
  <c r="BQ183" i="128"/>
  <c r="BP183" i="128"/>
  <c r="BO183" i="128"/>
  <c r="BN183" i="128"/>
  <c r="BM183" i="128"/>
  <c r="BL183" i="128"/>
  <c r="BK183" i="128"/>
  <c r="BJ183" i="128"/>
  <c r="BI183" i="128"/>
  <c r="BH183" i="128"/>
  <c r="BG183" i="128"/>
  <c r="BF183" i="128"/>
  <c r="BE183" i="128"/>
  <c r="BD183" i="128"/>
  <c r="BC183" i="128"/>
  <c r="BB183" i="128"/>
  <c r="AZ183" i="128"/>
  <c r="AY183" i="128"/>
  <c r="AX183" i="128"/>
  <c r="AW183" i="128"/>
  <c r="AV183" i="128"/>
  <c r="AU183" i="128"/>
  <c r="AT183" i="128"/>
  <c r="AS183" i="128"/>
  <c r="AR183" i="128"/>
  <c r="AQ183" i="128"/>
  <c r="AP183" i="128"/>
  <c r="AO183" i="128"/>
  <c r="AN183" i="128"/>
  <c r="AM183" i="128"/>
  <c r="AL183" i="128"/>
  <c r="AK183" i="128"/>
  <c r="AJ183" i="128"/>
  <c r="AI183" i="128"/>
  <c r="AH183" i="128"/>
  <c r="AF183" i="128"/>
  <c r="AD183" i="128"/>
  <c r="AC183" i="128"/>
  <c r="AB183" i="128"/>
  <c r="AA183" i="128"/>
  <c r="Z183" i="128"/>
  <c r="Y183" i="128"/>
  <c r="X183" i="128"/>
  <c r="W183" i="128"/>
  <c r="V183" i="128"/>
  <c r="U183" i="128"/>
  <c r="T183" i="128"/>
  <c r="S183" i="128"/>
  <c r="M182" i="128"/>
  <c r="P182" i="128" s="1"/>
  <c r="P181" i="128"/>
  <c r="M181" i="128"/>
  <c r="M180" i="128"/>
  <c r="P180" i="128" s="1"/>
  <c r="CT179" i="128"/>
  <c r="CS179" i="128"/>
  <c r="CR179" i="128"/>
  <c r="CQ179" i="128"/>
  <c r="CP179" i="128"/>
  <c r="CO179" i="128"/>
  <c r="CN179" i="128"/>
  <c r="CM179" i="128"/>
  <c r="CL179" i="128"/>
  <c r="CK179" i="128"/>
  <c r="CJ179" i="128"/>
  <c r="CI179" i="128"/>
  <c r="CH179" i="128"/>
  <c r="CG179" i="128"/>
  <c r="CF179" i="128"/>
  <c r="CE179" i="128"/>
  <c r="CD179" i="128"/>
  <c r="CC179" i="128"/>
  <c r="CB179" i="128"/>
  <c r="CA179" i="128"/>
  <c r="BZ179" i="128"/>
  <c r="BY179" i="128"/>
  <c r="BX179" i="128"/>
  <c r="BW179" i="128"/>
  <c r="BV179" i="128"/>
  <c r="BU179" i="128"/>
  <c r="BT179" i="128"/>
  <c r="BS179" i="128"/>
  <c r="BR179" i="128"/>
  <c r="BQ179" i="128"/>
  <c r="BP179" i="128"/>
  <c r="BO179" i="128"/>
  <c r="BN179" i="128"/>
  <c r="BM179" i="128"/>
  <c r="BL179" i="128"/>
  <c r="BK179" i="128"/>
  <c r="BJ179" i="128"/>
  <c r="BI179" i="128"/>
  <c r="BH179" i="128"/>
  <c r="BG179" i="128"/>
  <c r="BF179" i="128"/>
  <c r="BE179" i="128"/>
  <c r="BD179" i="128"/>
  <c r="BC179" i="128"/>
  <c r="BB179" i="128"/>
  <c r="AY179" i="128"/>
  <c r="AX179" i="128"/>
  <c r="AW179" i="128"/>
  <c r="AV179" i="128"/>
  <c r="AU179" i="128"/>
  <c r="AT179" i="128"/>
  <c r="AS179" i="128"/>
  <c r="AR179" i="128"/>
  <c r="AQ179" i="128"/>
  <c r="AP179" i="128"/>
  <c r="AO179" i="128"/>
  <c r="AN179" i="128"/>
  <c r="AM179" i="128"/>
  <c r="AL179" i="128"/>
  <c r="AK179" i="128"/>
  <c r="AJ179" i="128"/>
  <c r="AI179" i="128"/>
  <c r="AH179" i="128"/>
  <c r="AF179" i="128"/>
  <c r="AD179" i="128"/>
  <c r="AC179" i="128"/>
  <c r="AB179" i="128"/>
  <c r="AA179" i="128"/>
  <c r="Z179" i="128"/>
  <c r="Y179" i="128"/>
  <c r="X179" i="128"/>
  <c r="W179" i="128"/>
  <c r="V179" i="128"/>
  <c r="U179" i="128"/>
  <c r="T179" i="128"/>
  <c r="S179" i="128"/>
  <c r="M178" i="128"/>
  <c r="M179" i="128" s="1"/>
  <c r="CT177" i="128"/>
  <c r="CS177" i="128"/>
  <c r="CR177" i="128"/>
  <c r="CQ177" i="128"/>
  <c r="CP177" i="128"/>
  <c r="CO177" i="128"/>
  <c r="CN177" i="128"/>
  <c r="CM177" i="128"/>
  <c r="CL177" i="128"/>
  <c r="CK177" i="128"/>
  <c r="CJ177" i="128"/>
  <c r="CI177" i="128"/>
  <c r="CH177" i="128"/>
  <c r="CG177" i="128"/>
  <c r="CF177" i="128"/>
  <c r="CE177" i="128"/>
  <c r="CD177" i="128"/>
  <c r="CC177" i="128"/>
  <c r="CB177" i="128"/>
  <c r="CA177" i="128"/>
  <c r="BZ177" i="128"/>
  <c r="BY177" i="128"/>
  <c r="BX177" i="128"/>
  <c r="BW177" i="128"/>
  <c r="BV177" i="128"/>
  <c r="BU177" i="128"/>
  <c r="BT177" i="128"/>
  <c r="BS177" i="128"/>
  <c r="BR177" i="128"/>
  <c r="BQ177" i="128"/>
  <c r="BP177" i="128"/>
  <c r="BO177" i="128"/>
  <c r="BN177" i="128"/>
  <c r="BM177" i="128"/>
  <c r="BL177" i="128"/>
  <c r="BK177" i="128"/>
  <c r="BJ177" i="128"/>
  <c r="BI177" i="128"/>
  <c r="BH177" i="128"/>
  <c r="BG177" i="128"/>
  <c r="BF177" i="128"/>
  <c r="BE177" i="128"/>
  <c r="BD177" i="128"/>
  <c r="BC177" i="128"/>
  <c r="BB177" i="128"/>
  <c r="AY177" i="128"/>
  <c r="AX177" i="128"/>
  <c r="AW177" i="128"/>
  <c r="AV177" i="128"/>
  <c r="AU177" i="128"/>
  <c r="AT177" i="128"/>
  <c r="AS177" i="128"/>
  <c r="AR177" i="128"/>
  <c r="AQ177" i="128"/>
  <c r="AP177" i="128"/>
  <c r="AO177" i="128"/>
  <c r="AN177" i="128"/>
  <c r="AM177" i="128"/>
  <c r="AL177" i="128"/>
  <c r="AK177" i="128"/>
  <c r="AJ177" i="128"/>
  <c r="AI177" i="128"/>
  <c r="AH177" i="128"/>
  <c r="AF177" i="128"/>
  <c r="AD177" i="128"/>
  <c r="AC177" i="128"/>
  <c r="AB177" i="128"/>
  <c r="AA177" i="128"/>
  <c r="Z177" i="128"/>
  <c r="Y177" i="128"/>
  <c r="X177" i="128"/>
  <c r="W177" i="128"/>
  <c r="V177" i="128"/>
  <c r="U177" i="128"/>
  <c r="T177" i="128"/>
  <c r="S177" i="128"/>
  <c r="M176" i="128"/>
  <c r="M177" i="128" s="1"/>
  <c r="CT175" i="128"/>
  <c r="CS175" i="128"/>
  <c r="CR175" i="128"/>
  <c r="CQ175" i="128"/>
  <c r="CP175" i="128"/>
  <c r="CO175" i="128"/>
  <c r="CN175" i="128"/>
  <c r="CM175" i="128"/>
  <c r="CL175" i="128"/>
  <c r="CK175" i="128"/>
  <c r="CJ175" i="128"/>
  <c r="CI175" i="128"/>
  <c r="CH175" i="128"/>
  <c r="CG175" i="128"/>
  <c r="CF175" i="128"/>
  <c r="CE175" i="128"/>
  <c r="CD175" i="128"/>
  <c r="CC175" i="128"/>
  <c r="CB175" i="128"/>
  <c r="CA175" i="128"/>
  <c r="BZ175" i="128"/>
  <c r="BY175" i="128"/>
  <c r="BX175" i="128"/>
  <c r="BW175" i="128"/>
  <c r="BV175" i="128"/>
  <c r="BU175" i="128"/>
  <c r="BT175" i="128"/>
  <c r="BS175" i="128"/>
  <c r="BR175" i="128"/>
  <c r="BQ175" i="128"/>
  <c r="BP175" i="128"/>
  <c r="BO175" i="128"/>
  <c r="BN175" i="128"/>
  <c r="BM175" i="128"/>
  <c r="BL175" i="128"/>
  <c r="BK175" i="128"/>
  <c r="BJ175" i="128"/>
  <c r="BI175" i="128"/>
  <c r="BH175" i="128"/>
  <c r="BG175" i="128"/>
  <c r="BF175" i="128"/>
  <c r="BE175" i="128"/>
  <c r="BD175" i="128"/>
  <c r="BC175" i="128"/>
  <c r="BB175" i="128"/>
  <c r="AY175" i="128"/>
  <c r="AX175" i="128"/>
  <c r="AW175" i="128"/>
  <c r="AV175" i="128"/>
  <c r="AU175" i="128"/>
  <c r="AT175" i="128"/>
  <c r="AS175" i="128"/>
  <c r="AR175" i="128"/>
  <c r="AQ175" i="128"/>
  <c r="AP175" i="128"/>
  <c r="AO175" i="128"/>
  <c r="AN175" i="128"/>
  <c r="AM175" i="128"/>
  <c r="AL175" i="128"/>
  <c r="AK175" i="128"/>
  <c r="AJ175" i="128"/>
  <c r="AI175" i="128"/>
  <c r="AH175" i="128"/>
  <c r="AF175" i="128"/>
  <c r="AD175" i="128"/>
  <c r="AC175" i="128"/>
  <c r="AB175" i="128"/>
  <c r="AA175" i="128"/>
  <c r="Z175" i="128"/>
  <c r="Y175" i="128"/>
  <c r="X175" i="128"/>
  <c r="W175" i="128"/>
  <c r="V175" i="128"/>
  <c r="U175" i="128"/>
  <c r="T175" i="128"/>
  <c r="S175" i="128"/>
  <c r="M174" i="128"/>
  <c r="M175" i="128" s="1"/>
  <c r="CT173" i="128"/>
  <c r="CS173" i="128"/>
  <c r="CR173" i="128"/>
  <c r="CQ173" i="128"/>
  <c r="CP173" i="128"/>
  <c r="CO173" i="128"/>
  <c r="CN173" i="128"/>
  <c r="CM173" i="128"/>
  <c r="CL173" i="128"/>
  <c r="CK173" i="128"/>
  <c r="CJ173" i="128"/>
  <c r="CI173" i="128"/>
  <c r="CH173" i="128"/>
  <c r="CG173" i="128"/>
  <c r="CF173" i="128"/>
  <c r="CE173" i="128"/>
  <c r="CD173" i="128"/>
  <c r="CC173" i="128"/>
  <c r="CB173" i="128"/>
  <c r="CA173" i="128"/>
  <c r="BZ173" i="128"/>
  <c r="BY173" i="128"/>
  <c r="BX173" i="128"/>
  <c r="BW173" i="128"/>
  <c r="BV173" i="128"/>
  <c r="BU173" i="128"/>
  <c r="BT173" i="128"/>
  <c r="BS173" i="128"/>
  <c r="BR173" i="128"/>
  <c r="BQ173" i="128"/>
  <c r="BP173" i="128"/>
  <c r="BO173" i="128"/>
  <c r="BN173" i="128"/>
  <c r="BM173" i="128"/>
  <c r="BL173" i="128"/>
  <c r="BK173" i="128"/>
  <c r="BJ173" i="128"/>
  <c r="BI173" i="128"/>
  <c r="BH173" i="128"/>
  <c r="BG173" i="128"/>
  <c r="BF173" i="128"/>
  <c r="BE173" i="128"/>
  <c r="BD173" i="128"/>
  <c r="BC173" i="128"/>
  <c r="BB173" i="128"/>
  <c r="AY173" i="128"/>
  <c r="AX173" i="128"/>
  <c r="AW173" i="128"/>
  <c r="AV173" i="128"/>
  <c r="AU173" i="128"/>
  <c r="AT173" i="128"/>
  <c r="AS173" i="128"/>
  <c r="AR173" i="128"/>
  <c r="AQ173" i="128"/>
  <c r="AP173" i="128"/>
  <c r="AO173" i="128"/>
  <c r="AN173" i="128"/>
  <c r="AM173" i="128"/>
  <c r="AL173" i="128"/>
  <c r="AK173" i="128"/>
  <c r="AJ173" i="128"/>
  <c r="AI173" i="128"/>
  <c r="AH173" i="128"/>
  <c r="AF173" i="128"/>
  <c r="AD173" i="128"/>
  <c r="AC173" i="128"/>
  <c r="AB173" i="128"/>
  <c r="AA173" i="128"/>
  <c r="Z173" i="128"/>
  <c r="Y173" i="128"/>
  <c r="X173" i="128"/>
  <c r="W173" i="128"/>
  <c r="V173" i="128"/>
  <c r="U173" i="128"/>
  <c r="T173" i="128"/>
  <c r="S173" i="128"/>
  <c r="M172" i="128"/>
  <c r="M173" i="128" s="1"/>
  <c r="CT171" i="128"/>
  <c r="CS171" i="128"/>
  <c r="CR171" i="128"/>
  <c r="CQ171" i="128"/>
  <c r="CP171" i="128"/>
  <c r="CO171" i="128"/>
  <c r="CN171" i="128"/>
  <c r="CM171" i="128"/>
  <c r="CL171" i="128"/>
  <c r="CK171" i="128"/>
  <c r="CJ171" i="128"/>
  <c r="CI171" i="128"/>
  <c r="CH171" i="128"/>
  <c r="CG171" i="128"/>
  <c r="CF171" i="128"/>
  <c r="CE171" i="128"/>
  <c r="CD171" i="128"/>
  <c r="CC171" i="128"/>
  <c r="CB171" i="128"/>
  <c r="CA171" i="128"/>
  <c r="BZ171" i="128"/>
  <c r="BY171" i="128"/>
  <c r="BX171" i="128"/>
  <c r="BW171" i="128"/>
  <c r="BV171" i="128"/>
  <c r="BU171" i="128"/>
  <c r="BT171" i="128"/>
  <c r="BS171" i="128"/>
  <c r="BR171" i="128"/>
  <c r="BQ171" i="128"/>
  <c r="BP171" i="128"/>
  <c r="BO171" i="128"/>
  <c r="BN171" i="128"/>
  <c r="BM171" i="128"/>
  <c r="BL171" i="128"/>
  <c r="BK171" i="128"/>
  <c r="BJ171" i="128"/>
  <c r="BI171" i="128"/>
  <c r="BH171" i="128"/>
  <c r="BG171" i="128"/>
  <c r="BF171" i="128"/>
  <c r="BE171" i="128"/>
  <c r="BD171" i="128"/>
  <c r="BC171" i="128"/>
  <c r="BB171" i="128"/>
  <c r="AY171" i="128"/>
  <c r="AX171" i="128"/>
  <c r="AW171" i="128"/>
  <c r="AV171" i="128"/>
  <c r="AU171" i="128"/>
  <c r="AT171" i="128"/>
  <c r="AS171" i="128"/>
  <c r="AR171" i="128"/>
  <c r="AQ171" i="128"/>
  <c r="AP171" i="128"/>
  <c r="AO171" i="128"/>
  <c r="AN171" i="128"/>
  <c r="AM171" i="128"/>
  <c r="AL171" i="128"/>
  <c r="AK171" i="128"/>
  <c r="AJ171" i="128"/>
  <c r="AI171" i="128"/>
  <c r="AH171" i="128"/>
  <c r="AF171" i="128"/>
  <c r="AD171" i="128"/>
  <c r="AC171" i="128"/>
  <c r="AB171" i="128"/>
  <c r="AA171" i="128"/>
  <c r="Z171" i="128"/>
  <c r="Y171" i="128"/>
  <c r="X171" i="128"/>
  <c r="W171" i="128"/>
  <c r="V171" i="128"/>
  <c r="U171" i="128"/>
  <c r="T171" i="128"/>
  <c r="S171" i="128"/>
  <c r="M170" i="128"/>
  <c r="CT169" i="128"/>
  <c r="CS169" i="128"/>
  <c r="CR169" i="128"/>
  <c r="CQ169" i="128"/>
  <c r="CP169" i="128"/>
  <c r="CO169" i="128"/>
  <c r="CN169" i="128"/>
  <c r="CM169" i="128"/>
  <c r="CL169" i="128"/>
  <c r="CK169" i="128"/>
  <c r="CJ169" i="128"/>
  <c r="CI169" i="128"/>
  <c r="CH169" i="128"/>
  <c r="CG169" i="128"/>
  <c r="CF169" i="128"/>
  <c r="CE169" i="128"/>
  <c r="CD169" i="128"/>
  <c r="CC169" i="128"/>
  <c r="CB169" i="128"/>
  <c r="CA169" i="128"/>
  <c r="BZ169" i="128"/>
  <c r="BY169" i="128"/>
  <c r="BX169" i="128"/>
  <c r="BW169" i="128"/>
  <c r="BV169" i="128"/>
  <c r="BU169" i="128"/>
  <c r="BT169" i="128"/>
  <c r="BS169" i="128"/>
  <c r="BR169" i="128"/>
  <c r="BQ169" i="128"/>
  <c r="BP169" i="128"/>
  <c r="BO169" i="128"/>
  <c r="BN169" i="128"/>
  <c r="BM169" i="128"/>
  <c r="BL169" i="128"/>
  <c r="BK169" i="128"/>
  <c r="BJ169" i="128"/>
  <c r="BI169" i="128"/>
  <c r="BH169" i="128"/>
  <c r="BG169" i="128"/>
  <c r="BF169" i="128"/>
  <c r="BE169" i="128"/>
  <c r="BD169" i="128"/>
  <c r="BC169" i="128"/>
  <c r="BB169" i="128"/>
  <c r="AY169" i="128"/>
  <c r="AX169" i="128"/>
  <c r="AW169" i="128"/>
  <c r="AV169" i="128"/>
  <c r="AU169" i="128"/>
  <c r="AT169" i="128"/>
  <c r="AS169" i="128"/>
  <c r="AR169" i="128"/>
  <c r="AQ169" i="128"/>
  <c r="AP169" i="128"/>
  <c r="AO169" i="128"/>
  <c r="AN169" i="128"/>
  <c r="AM169" i="128"/>
  <c r="AL169" i="128"/>
  <c r="AK169" i="128"/>
  <c r="AJ169" i="128"/>
  <c r="AI169" i="128"/>
  <c r="AH169" i="128"/>
  <c r="AF169" i="128"/>
  <c r="AD169" i="128"/>
  <c r="AC169" i="128"/>
  <c r="AB169" i="128"/>
  <c r="AA169" i="128"/>
  <c r="Z169" i="128"/>
  <c r="Y169" i="128"/>
  <c r="X169" i="128"/>
  <c r="W169" i="128"/>
  <c r="V169" i="128"/>
  <c r="U169" i="128"/>
  <c r="T169" i="128"/>
  <c r="S169" i="128"/>
  <c r="M168" i="128"/>
  <c r="P168" i="128" s="1"/>
  <c r="CT167" i="128"/>
  <c r="CS167" i="128"/>
  <c r="CR167" i="128"/>
  <c r="CQ167" i="128"/>
  <c r="CP167" i="128"/>
  <c r="CO167" i="128"/>
  <c r="CN167" i="128"/>
  <c r="CM167" i="128"/>
  <c r="CL167" i="128"/>
  <c r="CK167" i="128"/>
  <c r="CJ167" i="128"/>
  <c r="CI167" i="128"/>
  <c r="CH167" i="128"/>
  <c r="CG167" i="128"/>
  <c r="CF167" i="128"/>
  <c r="CE167" i="128"/>
  <c r="CD167" i="128"/>
  <c r="CC167" i="128"/>
  <c r="CB167" i="128"/>
  <c r="CA167" i="128"/>
  <c r="BZ167" i="128"/>
  <c r="BY167" i="128"/>
  <c r="BX167" i="128"/>
  <c r="BW167" i="128"/>
  <c r="BV167" i="128"/>
  <c r="BU167" i="128"/>
  <c r="BT167" i="128"/>
  <c r="BS167" i="128"/>
  <c r="BR167" i="128"/>
  <c r="BQ167" i="128"/>
  <c r="BP167" i="128"/>
  <c r="BO167" i="128"/>
  <c r="BN167" i="128"/>
  <c r="BM167" i="128"/>
  <c r="BL167" i="128"/>
  <c r="BK167" i="128"/>
  <c r="BJ167" i="128"/>
  <c r="BI167" i="128"/>
  <c r="BH167" i="128"/>
  <c r="BG167" i="128"/>
  <c r="BF167" i="128"/>
  <c r="BE167" i="128"/>
  <c r="BD167" i="128"/>
  <c r="BC167" i="128"/>
  <c r="BB167" i="128"/>
  <c r="AY167" i="128"/>
  <c r="AX167" i="128"/>
  <c r="AW167" i="128"/>
  <c r="AV167" i="128"/>
  <c r="AU167" i="128"/>
  <c r="AT167" i="128"/>
  <c r="AS167" i="128"/>
  <c r="AR167" i="128"/>
  <c r="AQ167" i="128"/>
  <c r="AP167" i="128"/>
  <c r="AO167" i="128"/>
  <c r="AN167" i="128"/>
  <c r="AM167" i="128"/>
  <c r="AL167" i="128"/>
  <c r="AK167" i="128"/>
  <c r="AJ167" i="128"/>
  <c r="AI167" i="128"/>
  <c r="AH167" i="128"/>
  <c r="AF167" i="128"/>
  <c r="AD167" i="128"/>
  <c r="AC167" i="128"/>
  <c r="AB167" i="128"/>
  <c r="AA167" i="128"/>
  <c r="Z167" i="128"/>
  <c r="Y167" i="128"/>
  <c r="X167" i="128"/>
  <c r="W167" i="128"/>
  <c r="V167" i="128"/>
  <c r="U167" i="128"/>
  <c r="T167" i="128"/>
  <c r="S167" i="128"/>
  <c r="M166" i="128"/>
  <c r="M167" i="128" s="1"/>
  <c r="CT165" i="128"/>
  <c r="CS165" i="128"/>
  <c r="CR165" i="128"/>
  <c r="CQ165" i="128"/>
  <c r="CP165" i="128"/>
  <c r="CO165" i="128"/>
  <c r="CN165" i="128"/>
  <c r="CM165" i="128"/>
  <c r="CL165" i="128"/>
  <c r="CK165" i="128"/>
  <c r="CJ165" i="128"/>
  <c r="CI165" i="128"/>
  <c r="CH165" i="128"/>
  <c r="CG165" i="128"/>
  <c r="CF165" i="128"/>
  <c r="CE165" i="128"/>
  <c r="CD165" i="128"/>
  <c r="CC165" i="128"/>
  <c r="CB165" i="128"/>
  <c r="CA165" i="128"/>
  <c r="BZ165" i="128"/>
  <c r="BY165" i="128"/>
  <c r="BX165" i="128"/>
  <c r="BW165" i="128"/>
  <c r="BV165" i="128"/>
  <c r="BU165" i="128"/>
  <c r="BT165" i="128"/>
  <c r="BS165" i="128"/>
  <c r="BR165" i="128"/>
  <c r="BQ165" i="128"/>
  <c r="BP165" i="128"/>
  <c r="BO165" i="128"/>
  <c r="BN165" i="128"/>
  <c r="BM165" i="128"/>
  <c r="BL165" i="128"/>
  <c r="BK165" i="128"/>
  <c r="BJ165" i="128"/>
  <c r="BI165" i="128"/>
  <c r="BH165" i="128"/>
  <c r="BG165" i="128"/>
  <c r="BF165" i="128"/>
  <c r="BE165" i="128"/>
  <c r="BD165" i="128"/>
  <c r="BC165" i="128"/>
  <c r="BB165" i="128"/>
  <c r="AZ165" i="128"/>
  <c r="AY165" i="128"/>
  <c r="AX165" i="128"/>
  <c r="AW165" i="128"/>
  <c r="AV165" i="128"/>
  <c r="AU165" i="128"/>
  <c r="AT165" i="128"/>
  <c r="AS165" i="128"/>
  <c r="AR165" i="128"/>
  <c r="AQ165" i="128"/>
  <c r="AP165" i="128"/>
  <c r="AO165" i="128"/>
  <c r="AN165" i="128"/>
  <c r="AM165" i="128"/>
  <c r="AL165" i="128"/>
  <c r="AK165" i="128"/>
  <c r="AJ165" i="128"/>
  <c r="AI165" i="128"/>
  <c r="AH165" i="128"/>
  <c r="AF165" i="128"/>
  <c r="AD165" i="128"/>
  <c r="AC165" i="128"/>
  <c r="AB165" i="128"/>
  <c r="AA165" i="128"/>
  <c r="Z165" i="128"/>
  <c r="Y165" i="128"/>
  <c r="X165" i="128"/>
  <c r="W165" i="128"/>
  <c r="V165" i="128"/>
  <c r="U165" i="128"/>
  <c r="T165" i="128"/>
  <c r="S165" i="128"/>
  <c r="M164" i="128"/>
  <c r="M165" i="128" s="1"/>
  <c r="CT163" i="128"/>
  <c r="CS163" i="128"/>
  <c r="CR163" i="128"/>
  <c r="CQ163" i="128"/>
  <c r="CP163" i="128"/>
  <c r="CO163" i="128"/>
  <c r="CN163" i="128"/>
  <c r="CM163" i="128"/>
  <c r="CL163" i="128"/>
  <c r="CK163" i="128"/>
  <c r="CJ163" i="128"/>
  <c r="CI163" i="128"/>
  <c r="CH163" i="128"/>
  <c r="CG163" i="128"/>
  <c r="CF163" i="128"/>
  <c r="CE163" i="128"/>
  <c r="CD163" i="128"/>
  <c r="CC163" i="128"/>
  <c r="CB163" i="128"/>
  <c r="CA163" i="128"/>
  <c r="BZ163" i="128"/>
  <c r="BY163" i="128"/>
  <c r="BX163" i="128"/>
  <c r="BW163" i="128"/>
  <c r="BV163" i="128"/>
  <c r="BU163" i="128"/>
  <c r="BT163" i="128"/>
  <c r="BS163" i="128"/>
  <c r="BR163" i="128"/>
  <c r="BQ163" i="128"/>
  <c r="BP163" i="128"/>
  <c r="BO163" i="128"/>
  <c r="BN163" i="128"/>
  <c r="BM163" i="128"/>
  <c r="BL163" i="128"/>
  <c r="BK163" i="128"/>
  <c r="BJ163" i="128"/>
  <c r="BI163" i="128"/>
  <c r="BH163" i="128"/>
  <c r="BG163" i="128"/>
  <c r="BF163" i="128"/>
  <c r="BE163" i="128"/>
  <c r="BD163" i="128"/>
  <c r="BC163" i="128"/>
  <c r="BB163" i="128"/>
  <c r="AY163" i="128"/>
  <c r="AX163" i="128"/>
  <c r="AW163" i="128"/>
  <c r="AV163" i="128"/>
  <c r="AU163" i="128"/>
  <c r="AT163" i="128"/>
  <c r="AS163" i="128"/>
  <c r="AR163" i="128"/>
  <c r="AQ163" i="128"/>
  <c r="AP163" i="128"/>
  <c r="AO163" i="128"/>
  <c r="AN163" i="128"/>
  <c r="AM163" i="128"/>
  <c r="AL163" i="128"/>
  <c r="AK163" i="128"/>
  <c r="AJ163" i="128"/>
  <c r="AI163" i="128"/>
  <c r="AH163" i="128"/>
  <c r="AF163" i="128"/>
  <c r="AD163" i="128"/>
  <c r="AC163" i="128"/>
  <c r="AB163" i="128"/>
  <c r="AA163" i="128"/>
  <c r="Z163" i="128"/>
  <c r="Y163" i="128"/>
  <c r="X163" i="128"/>
  <c r="W163" i="128"/>
  <c r="V163" i="128"/>
  <c r="U163" i="128"/>
  <c r="T163" i="128"/>
  <c r="S163" i="128"/>
  <c r="M162" i="128"/>
  <c r="M163" i="128" s="1"/>
  <c r="CT161" i="128"/>
  <c r="CS161" i="128"/>
  <c r="CR161" i="128"/>
  <c r="CQ161" i="128"/>
  <c r="CP161" i="128"/>
  <c r="CO161" i="128"/>
  <c r="CN161" i="128"/>
  <c r="CM161" i="128"/>
  <c r="CL161" i="128"/>
  <c r="CK161" i="128"/>
  <c r="CJ161" i="128"/>
  <c r="CI161" i="128"/>
  <c r="CH161" i="128"/>
  <c r="CG161" i="128"/>
  <c r="CF161" i="128"/>
  <c r="CE161" i="128"/>
  <c r="CD161" i="128"/>
  <c r="CC161" i="128"/>
  <c r="CB161" i="128"/>
  <c r="CA161" i="128"/>
  <c r="BZ161" i="128"/>
  <c r="BY161" i="128"/>
  <c r="BX161" i="128"/>
  <c r="BW161" i="128"/>
  <c r="BV161" i="128"/>
  <c r="BU161" i="128"/>
  <c r="BT161" i="128"/>
  <c r="BS161" i="128"/>
  <c r="BR161" i="128"/>
  <c r="BQ161" i="128"/>
  <c r="BP161" i="128"/>
  <c r="BO161" i="128"/>
  <c r="BN161" i="128"/>
  <c r="BM161" i="128"/>
  <c r="BL161" i="128"/>
  <c r="BK161" i="128"/>
  <c r="BJ161" i="128"/>
  <c r="BI161" i="128"/>
  <c r="BH161" i="128"/>
  <c r="BG161" i="128"/>
  <c r="BF161" i="128"/>
  <c r="BE161" i="128"/>
  <c r="BD161" i="128"/>
  <c r="BC161" i="128"/>
  <c r="BB161" i="128"/>
  <c r="AY161" i="128"/>
  <c r="AX161" i="128"/>
  <c r="AW161" i="128"/>
  <c r="AV161" i="128"/>
  <c r="AU161" i="128"/>
  <c r="AT161" i="128"/>
  <c r="AS161" i="128"/>
  <c r="AR161" i="128"/>
  <c r="AQ161" i="128"/>
  <c r="AP161" i="128"/>
  <c r="AO161" i="128"/>
  <c r="AN161" i="128"/>
  <c r="AM161" i="128"/>
  <c r="AL161" i="128"/>
  <c r="AK161" i="128"/>
  <c r="AJ161" i="128"/>
  <c r="AI161" i="128"/>
  <c r="AH161" i="128"/>
  <c r="AF161" i="128"/>
  <c r="AD161" i="128"/>
  <c r="AC161" i="128"/>
  <c r="AB161" i="128"/>
  <c r="AA161" i="128"/>
  <c r="Z161" i="128"/>
  <c r="Y161" i="128"/>
  <c r="X161" i="128"/>
  <c r="W161" i="128"/>
  <c r="V161" i="128"/>
  <c r="U161" i="128"/>
  <c r="T161" i="128"/>
  <c r="S161" i="128"/>
  <c r="M160" i="128"/>
  <c r="P160" i="128" s="1"/>
  <c r="CT159" i="128"/>
  <c r="CS159" i="128"/>
  <c r="CR159" i="128"/>
  <c r="CQ159" i="128"/>
  <c r="CP159" i="128"/>
  <c r="CO159" i="128"/>
  <c r="CN159" i="128"/>
  <c r="CM159" i="128"/>
  <c r="CL159" i="128"/>
  <c r="CK159" i="128"/>
  <c r="CJ159" i="128"/>
  <c r="CI159" i="128"/>
  <c r="CH159" i="128"/>
  <c r="CG159" i="128"/>
  <c r="CF159" i="128"/>
  <c r="CE159" i="128"/>
  <c r="CD159" i="128"/>
  <c r="CC159" i="128"/>
  <c r="CB159" i="128"/>
  <c r="CA159" i="128"/>
  <c r="BZ159" i="128"/>
  <c r="BY159" i="128"/>
  <c r="BX159" i="128"/>
  <c r="BW159" i="128"/>
  <c r="BV159" i="128"/>
  <c r="BU159" i="128"/>
  <c r="BT159" i="128"/>
  <c r="BS159" i="128"/>
  <c r="BR159" i="128"/>
  <c r="BQ159" i="128"/>
  <c r="BP159" i="128"/>
  <c r="BO159" i="128"/>
  <c r="BN159" i="128"/>
  <c r="BM159" i="128"/>
  <c r="BL159" i="128"/>
  <c r="BK159" i="128"/>
  <c r="BJ159" i="128"/>
  <c r="BI159" i="128"/>
  <c r="BH159" i="128"/>
  <c r="BG159" i="128"/>
  <c r="BF159" i="128"/>
  <c r="BE159" i="128"/>
  <c r="BD159" i="128"/>
  <c r="BC159" i="128"/>
  <c r="BB159" i="128"/>
  <c r="AY159" i="128"/>
  <c r="AX159" i="128"/>
  <c r="AW159" i="128"/>
  <c r="AV159" i="128"/>
  <c r="AU159" i="128"/>
  <c r="AT159" i="128"/>
  <c r="AS159" i="128"/>
  <c r="AR159" i="128"/>
  <c r="AQ159" i="128"/>
  <c r="AP159" i="128"/>
  <c r="AO159" i="128"/>
  <c r="AN159" i="128"/>
  <c r="AM159" i="128"/>
  <c r="AL159" i="128"/>
  <c r="AK159" i="128"/>
  <c r="AJ159" i="128"/>
  <c r="AI159" i="128"/>
  <c r="AH159" i="128"/>
  <c r="AF159" i="128"/>
  <c r="AD159" i="128"/>
  <c r="AC159" i="128"/>
  <c r="AB159" i="128"/>
  <c r="AA159" i="128"/>
  <c r="Z159" i="128"/>
  <c r="Y159" i="128"/>
  <c r="X159" i="128"/>
  <c r="W159" i="128"/>
  <c r="V159" i="128"/>
  <c r="U159" i="128"/>
  <c r="T159" i="128"/>
  <c r="S159" i="128"/>
  <c r="M158" i="128"/>
  <c r="P158" i="128" s="1"/>
  <c r="CT157" i="128"/>
  <c r="CS157" i="128"/>
  <c r="CR157" i="128"/>
  <c r="CQ157" i="128"/>
  <c r="CP157" i="128"/>
  <c r="CO157" i="128"/>
  <c r="CN157" i="128"/>
  <c r="CM157" i="128"/>
  <c r="CL157" i="128"/>
  <c r="CK157" i="128"/>
  <c r="CJ157" i="128"/>
  <c r="CI157" i="128"/>
  <c r="CH157" i="128"/>
  <c r="CG157" i="128"/>
  <c r="CF157" i="128"/>
  <c r="CE157" i="128"/>
  <c r="CD157" i="128"/>
  <c r="CC157" i="128"/>
  <c r="CB157" i="128"/>
  <c r="CA157" i="128"/>
  <c r="BZ157" i="128"/>
  <c r="BY157" i="128"/>
  <c r="BX157" i="128"/>
  <c r="BW157" i="128"/>
  <c r="BV157" i="128"/>
  <c r="BU157" i="128"/>
  <c r="BT157" i="128"/>
  <c r="BS157" i="128"/>
  <c r="BR157" i="128"/>
  <c r="BQ157" i="128"/>
  <c r="BP157" i="128"/>
  <c r="BO157" i="128"/>
  <c r="BN157" i="128"/>
  <c r="BM157" i="128"/>
  <c r="BL157" i="128"/>
  <c r="BK157" i="128"/>
  <c r="BJ157" i="128"/>
  <c r="BI157" i="128"/>
  <c r="BH157" i="128"/>
  <c r="BG157" i="128"/>
  <c r="BF157" i="128"/>
  <c r="BE157" i="128"/>
  <c r="BD157" i="128"/>
  <c r="BC157" i="128"/>
  <c r="BB157" i="128"/>
  <c r="AY157" i="128"/>
  <c r="AX157" i="128"/>
  <c r="AW157" i="128"/>
  <c r="AV157" i="128"/>
  <c r="AU157" i="128"/>
  <c r="AT157" i="128"/>
  <c r="AS157" i="128"/>
  <c r="AR157" i="128"/>
  <c r="AQ157" i="128"/>
  <c r="AP157" i="128"/>
  <c r="AO157" i="128"/>
  <c r="AN157" i="128"/>
  <c r="AM157" i="128"/>
  <c r="AL157" i="128"/>
  <c r="AK157" i="128"/>
  <c r="AJ157" i="128"/>
  <c r="AI157" i="128"/>
  <c r="AH157" i="128"/>
  <c r="AF157" i="128"/>
  <c r="AD157" i="128"/>
  <c r="AC157" i="128"/>
  <c r="AB157" i="128"/>
  <c r="AA157" i="128"/>
  <c r="Z157" i="128"/>
  <c r="Y157" i="128"/>
  <c r="X157" i="128"/>
  <c r="W157" i="128"/>
  <c r="V157" i="128"/>
  <c r="U157" i="128"/>
  <c r="T157" i="128"/>
  <c r="S157" i="128"/>
  <c r="M156" i="128"/>
  <c r="M157" i="128" s="1"/>
  <c r="CT155" i="128"/>
  <c r="CS155" i="128"/>
  <c r="CR155" i="128"/>
  <c r="CQ155" i="128"/>
  <c r="CP155" i="128"/>
  <c r="CO155" i="128"/>
  <c r="CN155" i="128"/>
  <c r="CM155" i="128"/>
  <c r="CL155" i="128"/>
  <c r="CK155" i="128"/>
  <c r="CJ155" i="128"/>
  <c r="CI155" i="128"/>
  <c r="CH155" i="128"/>
  <c r="CG155" i="128"/>
  <c r="CF155" i="128"/>
  <c r="CE155" i="128"/>
  <c r="CD155" i="128"/>
  <c r="CC155" i="128"/>
  <c r="CB155" i="128"/>
  <c r="CA155" i="128"/>
  <c r="BZ155" i="128"/>
  <c r="BY155" i="128"/>
  <c r="BX155" i="128"/>
  <c r="BW155" i="128"/>
  <c r="BV155" i="128"/>
  <c r="BU155" i="128"/>
  <c r="BT155" i="128"/>
  <c r="BS155" i="128"/>
  <c r="BR155" i="128"/>
  <c r="BQ155" i="128"/>
  <c r="BP155" i="128"/>
  <c r="BO155" i="128"/>
  <c r="BN155" i="128"/>
  <c r="BM155" i="128"/>
  <c r="BL155" i="128"/>
  <c r="BK155" i="128"/>
  <c r="BJ155" i="128"/>
  <c r="BI155" i="128"/>
  <c r="BH155" i="128"/>
  <c r="BG155" i="128"/>
  <c r="BF155" i="128"/>
  <c r="BE155" i="128"/>
  <c r="BD155" i="128"/>
  <c r="BC155" i="128"/>
  <c r="BB155" i="128"/>
  <c r="AY155" i="128"/>
  <c r="AX155" i="128"/>
  <c r="AW155" i="128"/>
  <c r="AV155" i="128"/>
  <c r="AU155" i="128"/>
  <c r="AT155" i="128"/>
  <c r="AS155" i="128"/>
  <c r="AR155" i="128"/>
  <c r="AQ155" i="128"/>
  <c r="AP155" i="128"/>
  <c r="AO155" i="128"/>
  <c r="AN155" i="128"/>
  <c r="AM155" i="128"/>
  <c r="AL155" i="128"/>
  <c r="AK155" i="128"/>
  <c r="AJ155" i="128"/>
  <c r="AI155" i="128"/>
  <c r="AH155" i="128"/>
  <c r="AF155" i="128"/>
  <c r="AD155" i="128"/>
  <c r="AC155" i="128"/>
  <c r="AB155" i="128"/>
  <c r="AA155" i="128"/>
  <c r="Z155" i="128"/>
  <c r="Y155" i="128"/>
  <c r="X155" i="128"/>
  <c r="W155" i="128"/>
  <c r="V155" i="128"/>
  <c r="U155" i="128"/>
  <c r="T155" i="128"/>
  <c r="S155" i="128"/>
  <c r="M154" i="128"/>
  <c r="M155" i="128" s="1"/>
  <c r="CT153" i="128"/>
  <c r="CS153" i="128"/>
  <c r="CR153" i="128"/>
  <c r="CQ153" i="128"/>
  <c r="CP153" i="128"/>
  <c r="CO153" i="128"/>
  <c r="CN153" i="128"/>
  <c r="CM153" i="128"/>
  <c r="CL153" i="128"/>
  <c r="CK153" i="128"/>
  <c r="CJ153" i="128"/>
  <c r="CI153" i="128"/>
  <c r="CH153" i="128"/>
  <c r="CG153" i="128"/>
  <c r="CF153" i="128"/>
  <c r="CE153" i="128"/>
  <c r="CD153" i="128"/>
  <c r="CC153" i="128"/>
  <c r="CB153" i="128"/>
  <c r="CA153" i="128"/>
  <c r="BZ153" i="128"/>
  <c r="BY153" i="128"/>
  <c r="BX153" i="128"/>
  <c r="BW153" i="128"/>
  <c r="BV153" i="128"/>
  <c r="BU153" i="128"/>
  <c r="BT153" i="128"/>
  <c r="BR153" i="128"/>
  <c r="BQ153" i="128"/>
  <c r="BP153" i="128"/>
  <c r="BO153" i="128"/>
  <c r="BN153" i="128"/>
  <c r="BM153" i="128"/>
  <c r="BL153" i="128"/>
  <c r="BK153" i="128"/>
  <c r="BJ153" i="128"/>
  <c r="BI153" i="128"/>
  <c r="BH153" i="128"/>
  <c r="BG153" i="128"/>
  <c r="BF153" i="128"/>
  <c r="BE153" i="128"/>
  <c r="BD153" i="128"/>
  <c r="BC153" i="128"/>
  <c r="BB153" i="128"/>
  <c r="AZ153" i="128"/>
  <c r="AY153" i="128"/>
  <c r="AX153" i="128"/>
  <c r="AW153" i="128"/>
  <c r="AV153" i="128"/>
  <c r="AU153" i="128"/>
  <c r="AT153" i="128"/>
  <c r="AS153" i="128"/>
  <c r="AR153" i="128"/>
  <c r="AQ153" i="128"/>
  <c r="AP153" i="128"/>
  <c r="AO153" i="128"/>
  <c r="AN153" i="128"/>
  <c r="AM153" i="128"/>
  <c r="AL153" i="128"/>
  <c r="AK153" i="128"/>
  <c r="AJ153" i="128"/>
  <c r="AI153" i="128"/>
  <c r="AH153" i="128"/>
  <c r="AF153" i="128"/>
  <c r="AD153" i="128"/>
  <c r="AC153" i="128"/>
  <c r="AB153" i="128"/>
  <c r="AA153" i="128"/>
  <c r="Z153" i="128"/>
  <c r="Y153" i="128"/>
  <c r="X153" i="128"/>
  <c r="W153" i="128"/>
  <c r="V153" i="128"/>
  <c r="U153" i="128"/>
  <c r="T153" i="128"/>
  <c r="S153" i="128"/>
  <c r="M152" i="128"/>
  <c r="M153" i="128" s="1"/>
  <c r="CT151" i="128"/>
  <c r="CS151" i="128"/>
  <c r="CR151" i="128"/>
  <c r="CQ151" i="128"/>
  <c r="CP151" i="128"/>
  <c r="CO151" i="128"/>
  <c r="CN151" i="128"/>
  <c r="CM151" i="128"/>
  <c r="CL151" i="128"/>
  <c r="CK151" i="128"/>
  <c r="CJ151" i="128"/>
  <c r="CI151" i="128"/>
  <c r="CH151" i="128"/>
  <c r="CG151" i="128"/>
  <c r="CF151" i="128"/>
  <c r="CE151" i="128"/>
  <c r="CD151" i="128"/>
  <c r="CC151" i="128"/>
  <c r="CB151" i="128"/>
  <c r="CA151" i="128"/>
  <c r="BZ151" i="128"/>
  <c r="BY151" i="128"/>
  <c r="BX151" i="128"/>
  <c r="BW151" i="128"/>
  <c r="BV151" i="128"/>
  <c r="BU151" i="128"/>
  <c r="BT151" i="128"/>
  <c r="BR151" i="128"/>
  <c r="BQ151" i="128"/>
  <c r="BP151" i="128"/>
  <c r="BO151" i="128"/>
  <c r="BN151" i="128"/>
  <c r="BM151" i="128"/>
  <c r="BL151" i="128"/>
  <c r="BK151" i="128"/>
  <c r="BJ151" i="128"/>
  <c r="BI151" i="128"/>
  <c r="BH151" i="128"/>
  <c r="BG151" i="128"/>
  <c r="BF151" i="128"/>
  <c r="BE151" i="128"/>
  <c r="BD151" i="128"/>
  <c r="BC151" i="128"/>
  <c r="BB151" i="128"/>
  <c r="AZ151" i="128"/>
  <c r="AY151" i="128"/>
  <c r="AX151" i="128"/>
  <c r="AW151" i="128"/>
  <c r="AV151" i="128"/>
  <c r="AU151" i="128"/>
  <c r="AT151" i="128"/>
  <c r="AS151" i="128"/>
  <c r="AR151" i="128"/>
  <c r="AQ151" i="128"/>
  <c r="AP151" i="128"/>
  <c r="AO151" i="128"/>
  <c r="AN151" i="128"/>
  <c r="AM151" i="128"/>
  <c r="AL151" i="128"/>
  <c r="AK151" i="128"/>
  <c r="AJ151" i="128"/>
  <c r="AI151" i="128"/>
  <c r="AH151" i="128"/>
  <c r="AF151" i="128"/>
  <c r="AD151" i="128"/>
  <c r="AC151" i="128"/>
  <c r="AB151" i="128"/>
  <c r="AA151" i="128"/>
  <c r="Z151" i="128"/>
  <c r="Y151" i="128"/>
  <c r="X151" i="128"/>
  <c r="W151" i="128"/>
  <c r="V151" i="128"/>
  <c r="U151" i="128"/>
  <c r="T151" i="128"/>
  <c r="S151" i="128"/>
  <c r="M150" i="128"/>
  <c r="Q150" i="128" s="1"/>
  <c r="Q151" i="128" s="1"/>
  <c r="CT149" i="128"/>
  <c r="CS149" i="128"/>
  <c r="CR149" i="128"/>
  <c r="CQ149" i="128"/>
  <c r="CP149" i="128"/>
  <c r="CO149" i="128"/>
  <c r="CN149" i="128"/>
  <c r="CM149" i="128"/>
  <c r="CL149" i="128"/>
  <c r="CK149" i="128"/>
  <c r="CJ149" i="128"/>
  <c r="CI149" i="128"/>
  <c r="CH149" i="128"/>
  <c r="CG149" i="128"/>
  <c r="CF149" i="128"/>
  <c r="CE149" i="128"/>
  <c r="CD149" i="128"/>
  <c r="CC149" i="128"/>
  <c r="CB149" i="128"/>
  <c r="CA149" i="128"/>
  <c r="BZ149" i="128"/>
  <c r="BY149" i="128"/>
  <c r="BX149" i="128"/>
  <c r="BW149" i="128"/>
  <c r="BV149" i="128"/>
  <c r="BU149" i="128"/>
  <c r="BT149" i="128"/>
  <c r="BR149" i="128"/>
  <c r="BQ149" i="128"/>
  <c r="BP149" i="128"/>
  <c r="BO149" i="128"/>
  <c r="BN149" i="128"/>
  <c r="BM149" i="128"/>
  <c r="BL149" i="128"/>
  <c r="BK149" i="128"/>
  <c r="BJ149" i="128"/>
  <c r="BI149" i="128"/>
  <c r="BH149" i="128"/>
  <c r="BG149" i="128"/>
  <c r="BF149" i="128"/>
  <c r="BE149" i="128"/>
  <c r="BD149" i="128"/>
  <c r="BC149" i="128"/>
  <c r="BB149" i="128"/>
  <c r="AZ149" i="128"/>
  <c r="AY149" i="128"/>
  <c r="AX149" i="128"/>
  <c r="AW149" i="128"/>
  <c r="AV149" i="128"/>
  <c r="AU149" i="128"/>
  <c r="AT149" i="128"/>
  <c r="AS149" i="128"/>
  <c r="AR149" i="128"/>
  <c r="AQ149" i="128"/>
  <c r="AP149" i="128"/>
  <c r="AO149" i="128"/>
  <c r="AN149" i="128"/>
  <c r="AM149" i="128"/>
  <c r="AL149" i="128"/>
  <c r="AK149" i="128"/>
  <c r="AJ149" i="128"/>
  <c r="AI149" i="128"/>
  <c r="AH149" i="128"/>
  <c r="AF149" i="128"/>
  <c r="AD149" i="128"/>
  <c r="AC149" i="128"/>
  <c r="AB149" i="128"/>
  <c r="AA149" i="128"/>
  <c r="Z149" i="128"/>
  <c r="Y149" i="128"/>
  <c r="X149" i="128"/>
  <c r="W149" i="128"/>
  <c r="V149" i="128"/>
  <c r="U149" i="128"/>
  <c r="T149" i="128"/>
  <c r="S149" i="128"/>
  <c r="M148" i="128"/>
  <c r="M149" i="128" s="1"/>
  <c r="CT147" i="128"/>
  <c r="CS147" i="128"/>
  <c r="CR147" i="128"/>
  <c r="CQ147" i="128"/>
  <c r="CP147" i="128"/>
  <c r="CO147" i="128"/>
  <c r="CN147" i="128"/>
  <c r="CM147" i="128"/>
  <c r="CL147" i="128"/>
  <c r="CK147" i="128"/>
  <c r="CJ147" i="128"/>
  <c r="CI147" i="128"/>
  <c r="CH147" i="128"/>
  <c r="CG147" i="128"/>
  <c r="CF147" i="128"/>
  <c r="CE147" i="128"/>
  <c r="CD147" i="128"/>
  <c r="CC147" i="128"/>
  <c r="CB147" i="128"/>
  <c r="CA147" i="128"/>
  <c r="BZ147" i="128"/>
  <c r="BY147" i="128"/>
  <c r="BX147" i="128"/>
  <c r="BW147" i="128"/>
  <c r="BV147" i="128"/>
  <c r="BU147" i="128"/>
  <c r="BT147" i="128"/>
  <c r="BS147" i="128"/>
  <c r="BR147" i="128"/>
  <c r="BQ147" i="128"/>
  <c r="BP147" i="128"/>
  <c r="BO147" i="128"/>
  <c r="BN147" i="128"/>
  <c r="BM147" i="128"/>
  <c r="BL147" i="128"/>
  <c r="BK147" i="128"/>
  <c r="BJ147" i="128"/>
  <c r="BI147" i="128"/>
  <c r="BH147" i="128"/>
  <c r="BG147" i="128"/>
  <c r="BF147" i="128"/>
  <c r="BE147" i="128"/>
  <c r="BD147" i="128"/>
  <c r="BC147" i="128"/>
  <c r="AZ147" i="128"/>
  <c r="AY147" i="128"/>
  <c r="AX147" i="128"/>
  <c r="AW147" i="128"/>
  <c r="AV147" i="128"/>
  <c r="AU147" i="128"/>
  <c r="AT147" i="128"/>
  <c r="AS147" i="128"/>
  <c r="AR147" i="128"/>
  <c r="AQ147" i="128"/>
  <c r="AP147" i="128"/>
  <c r="AO147" i="128"/>
  <c r="AN147" i="128"/>
  <c r="AM147" i="128"/>
  <c r="AL147" i="128"/>
  <c r="AK147" i="128"/>
  <c r="AJ147" i="128"/>
  <c r="AI147" i="128"/>
  <c r="AH147" i="128"/>
  <c r="AF147" i="128"/>
  <c r="AD147" i="128"/>
  <c r="AC147" i="128"/>
  <c r="AB147" i="128"/>
  <c r="AA147" i="128"/>
  <c r="Z147" i="128"/>
  <c r="Y147" i="128"/>
  <c r="X147" i="128"/>
  <c r="W147" i="128"/>
  <c r="V147" i="128"/>
  <c r="U147" i="128"/>
  <c r="T147" i="128"/>
  <c r="S147" i="128"/>
  <c r="M146" i="128"/>
  <c r="M147" i="128" s="1"/>
  <c r="N147" i="128" s="1"/>
  <c r="CT145" i="128"/>
  <c r="CS145" i="128"/>
  <c r="CR145" i="128"/>
  <c r="CQ145" i="128"/>
  <c r="CP145" i="128"/>
  <c r="CO145" i="128"/>
  <c r="CN145" i="128"/>
  <c r="CM145" i="128"/>
  <c r="CL145" i="128"/>
  <c r="CK145" i="128"/>
  <c r="CJ145" i="128"/>
  <c r="CI145" i="128"/>
  <c r="CH145" i="128"/>
  <c r="CG145" i="128"/>
  <c r="CF145" i="128"/>
  <c r="CE145" i="128"/>
  <c r="CD145" i="128"/>
  <c r="CC145" i="128"/>
  <c r="CB145" i="128"/>
  <c r="CA145" i="128"/>
  <c r="BZ145" i="128"/>
  <c r="BY145" i="128"/>
  <c r="BX145" i="128"/>
  <c r="BW145" i="128"/>
  <c r="BV145" i="128"/>
  <c r="BU145" i="128"/>
  <c r="BT145" i="128"/>
  <c r="BR145" i="128"/>
  <c r="BQ145" i="128"/>
  <c r="BP145" i="128"/>
  <c r="BO145" i="128"/>
  <c r="BN145" i="128"/>
  <c r="BM145" i="128"/>
  <c r="BL145" i="128"/>
  <c r="BK145" i="128"/>
  <c r="BJ145" i="128"/>
  <c r="BI145" i="128"/>
  <c r="BH145" i="128"/>
  <c r="BG145" i="128"/>
  <c r="BF145" i="128"/>
  <c r="BE145" i="128"/>
  <c r="BD145" i="128"/>
  <c r="BC145" i="128"/>
  <c r="BB145" i="128"/>
  <c r="AZ145" i="128"/>
  <c r="AY145" i="128"/>
  <c r="AX145" i="128"/>
  <c r="AW145" i="128"/>
  <c r="AV145" i="128"/>
  <c r="AU145" i="128"/>
  <c r="AT145" i="128"/>
  <c r="AS145" i="128"/>
  <c r="AR145" i="128"/>
  <c r="AQ145" i="128"/>
  <c r="AP145" i="128"/>
  <c r="AO145" i="128"/>
  <c r="AN145" i="128"/>
  <c r="AM145" i="128"/>
  <c r="AL145" i="128"/>
  <c r="AK145" i="128"/>
  <c r="AJ145" i="128"/>
  <c r="AI145" i="128"/>
  <c r="AH145" i="128"/>
  <c r="AF145" i="128"/>
  <c r="AD145" i="128"/>
  <c r="AC145" i="128"/>
  <c r="AB145" i="128"/>
  <c r="AA145" i="128"/>
  <c r="Z145" i="128"/>
  <c r="Y145" i="128"/>
  <c r="X145" i="128"/>
  <c r="W145" i="128"/>
  <c r="U145" i="128"/>
  <c r="T145" i="128"/>
  <c r="S145" i="128"/>
  <c r="M144" i="128"/>
  <c r="P144" i="128" s="1"/>
  <c r="CT143" i="128"/>
  <c r="CS143" i="128"/>
  <c r="CR143" i="128"/>
  <c r="CQ143" i="128"/>
  <c r="CP143" i="128"/>
  <c r="CO143" i="128"/>
  <c r="CN143" i="128"/>
  <c r="CM143" i="128"/>
  <c r="CL143" i="128"/>
  <c r="CK143" i="128"/>
  <c r="CJ143" i="128"/>
  <c r="CI143" i="128"/>
  <c r="CH143" i="128"/>
  <c r="CG143" i="128"/>
  <c r="CF143" i="128"/>
  <c r="CE143" i="128"/>
  <c r="CD143" i="128"/>
  <c r="CC143" i="128"/>
  <c r="CB143" i="128"/>
  <c r="CA143" i="128"/>
  <c r="BZ143" i="128"/>
  <c r="BY143" i="128"/>
  <c r="BX143" i="128"/>
  <c r="BW143" i="128"/>
  <c r="BV143" i="128"/>
  <c r="BU143" i="128"/>
  <c r="BT143" i="128"/>
  <c r="BS143" i="128"/>
  <c r="BR143" i="128"/>
  <c r="BQ143" i="128"/>
  <c r="BP143" i="128"/>
  <c r="BO143" i="128"/>
  <c r="BN143" i="128"/>
  <c r="BM143" i="128"/>
  <c r="BL143" i="128"/>
  <c r="BK143" i="128"/>
  <c r="BJ143" i="128"/>
  <c r="BI143" i="128"/>
  <c r="BH143" i="128"/>
  <c r="BG143" i="128"/>
  <c r="BF143" i="128"/>
  <c r="BE143" i="128"/>
  <c r="BD143" i="128"/>
  <c r="BC143" i="128"/>
  <c r="BB143" i="128"/>
  <c r="AZ143" i="128"/>
  <c r="AY143" i="128"/>
  <c r="AX143" i="128"/>
  <c r="AW143" i="128"/>
  <c r="AV143" i="128"/>
  <c r="AU143" i="128"/>
  <c r="AT143" i="128"/>
  <c r="AS143" i="128"/>
  <c r="AR143" i="128"/>
  <c r="AQ143" i="128"/>
  <c r="AP143" i="128"/>
  <c r="AO143" i="128"/>
  <c r="AN143" i="128"/>
  <c r="AM143" i="128"/>
  <c r="AL143" i="128"/>
  <c r="AK143" i="128"/>
  <c r="AJ143" i="128"/>
  <c r="AI143" i="128"/>
  <c r="AH143" i="128"/>
  <c r="AF143" i="128"/>
  <c r="AD143" i="128"/>
  <c r="AC143" i="128"/>
  <c r="AB143" i="128"/>
  <c r="AA143" i="128"/>
  <c r="Z143" i="128"/>
  <c r="Y143" i="128"/>
  <c r="X143" i="128"/>
  <c r="W143" i="128"/>
  <c r="U143" i="128"/>
  <c r="T143" i="128"/>
  <c r="S143" i="128"/>
  <c r="M142" i="128"/>
  <c r="Q142" i="128" s="1"/>
  <c r="CT141" i="128"/>
  <c r="CS141" i="128"/>
  <c r="CR141" i="128"/>
  <c r="CQ141" i="128"/>
  <c r="CP141" i="128"/>
  <c r="CO141" i="128"/>
  <c r="CN141" i="128"/>
  <c r="CM141" i="128"/>
  <c r="CL141" i="128"/>
  <c r="CK141" i="128"/>
  <c r="CJ141" i="128"/>
  <c r="CI141" i="128"/>
  <c r="CH141" i="128"/>
  <c r="CG141" i="128"/>
  <c r="CF141" i="128"/>
  <c r="CE141" i="128"/>
  <c r="CD141" i="128"/>
  <c r="CC141" i="128"/>
  <c r="CB141" i="128"/>
  <c r="CA141" i="128"/>
  <c r="BZ141" i="128"/>
  <c r="BY141" i="128"/>
  <c r="BX141" i="128"/>
  <c r="BW141" i="128"/>
  <c r="BV141" i="128"/>
  <c r="BU141" i="128"/>
  <c r="BT141" i="128"/>
  <c r="BS141" i="128"/>
  <c r="BR141" i="128"/>
  <c r="BQ141" i="128"/>
  <c r="BP141" i="128"/>
  <c r="BO141" i="128"/>
  <c r="BN141" i="128"/>
  <c r="BM141" i="128"/>
  <c r="BL141" i="128"/>
  <c r="BK141" i="128"/>
  <c r="BJ141" i="128"/>
  <c r="BI141" i="128"/>
  <c r="BH141" i="128"/>
  <c r="BG141" i="128"/>
  <c r="BF141" i="128"/>
  <c r="BE141" i="128"/>
  <c r="BD141" i="128"/>
  <c r="BC141" i="128"/>
  <c r="BB141" i="128"/>
  <c r="AZ141" i="128"/>
  <c r="AY141" i="128"/>
  <c r="AX141" i="128"/>
  <c r="AW141" i="128"/>
  <c r="AV141" i="128"/>
  <c r="AU141" i="128"/>
  <c r="AT141" i="128"/>
  <c r="AS141" i="128"/>
  <c r="AR141" i="128"/>
  <c r="AQ141" i="128"/>
  <c r="AP141" i="128"/>
  <c r="AO141" i="128"/>
  <c r="AN141" i="128"/>
  <c r="AM141" i="128"/>
  <c r="AL141" i="128"/>
  <c r="AK141" i="128"/>
  <c r="AJ141" i="128"/>
  <c r="AI141" i="128"/>
  <c r="AH141" i="128"/>
  <c r="AF141" i="128"/>
  <c r="AD141" i="128"/>
  <c r="AC141" i="128"/>
  <c r="AB141" i="128"/>
  <c r="AA141" i="128"/>
  <c r="Z141" i="128"/>
  <c r="Y141" i="128"/>
  <c r="X141" i="128"/>
  <c r="V141" i="128"/>
  <c r="U141" i="128"/>
  <c r="T141" i="128"/>
  <c r="S141" i="128"/>
  <c r="M140" i="128"/>
  <c r="M141" i="128" s="1"/>
  <c r="CT139" i="128"/>
  <c r="CS139" i="128"/>
  <c r="CR139" i="128"/>
  <c r="CQ139" i="128"/>
  <c r="CP139" i="128"/>
  <c r="CO139" i="128"/>
  <c r="CN139" i="128"/>
  <c r="CM139" i="128"/>
  <c r="CL139" i="128"/>
  <c r="CK139" i="128"/>
  <c r="CJ139" i="128"/>
  <c r="CI139" i="128"/>
  <c r="CH139" i="128"/>
  <c r="CG139" i="128"/>
  <c r="CF139" i="128"/>
  <c r="CE139" i="128"/>
  <c r="CD139" i="128"/>
  <c r="CC139" i="128"/>
  <c r="CB139" i="128"/>
  <c r="CA139" i="128"/>
  <c r="BZ139" i="128"/>
  <c r="BY139" i="128"/>
  <c r="BX139" i="128"/>
  <c r="BW139" i="128"/>
  <c r="BV139" i="128"/>
  <c r="BU139" i="128"/>
  <c r="BT139" i="128"/>
  <c r="BS139" i="128"/>
  <c r="BR139" i="128"/>
  <c r="BQ139" i="128"/>
  <c r="BP139" i="128"/>
  <c r="BN139" i="128"/>
  <c r="BM139" i="128"/>
  <c r="BL139" i="128"/>
  <c r="BK139" i="128"/>
  <c r="BJ139" i="128"/>
  <c r="BI139" i="128"/>
  <c r="BH139" i="128"/>
  <c r="BG139" i="128"/>
  <c r="BF139" i="128"/>
  <c r="BE139" i="128"/>
  <c r="BD139" i="128"/>
  <c r="BC139" i="128"/>
  <c r="BB139" i="128"/>
  <c r="AZ139" i="128"/>
  <c r="AY139" i="128"/>
  <c r="AX139" i="128"/>
  <c r="AW139" i="128"/>
  <c r="AV139" i="128"/>
  <c r="AU139" i="128"/>
  <c r="AT139" i="128"/>
  <c r="AS139" i="128"/>
  <c r="AR139" i="128"/>
  <c r="AQ139" i="128"/>
  <c r="AP139" i="128"/>
  <c r="AO139" i="128"/>
  <c r="AN139" i="128"/>
  <c r="AM139" i="128"/>
  <c r="AL139" i="128"/>
  <c r="AK139" i="128"/>
  <c r="AJ139" i="128"/>
  <c r="AI139" i="128"/>
  <c r="AH139" i="128"/>
  <c r="AF139" i="128"/>
  <c r="AD139" i="128"/>
  <c r="AC139" i="128"/>
  <c r="AB139" i="128"/>
  <c r="AA139" i="128"/>
  <c r="Z139" i="128"/>
  <c r="Y139" i="128"/>
  <c r="X139" i="128"/>
  <c r="W139" i="128"/>
  <c r="V139" i="128"/>
  <c r="U139" i="128"/>
  <c r="T139" i="128"/>
  <c r="S139" i="128"/>
  <c r="Q139" i="128"/>
  <c r="P139" i="128"/>
  <c r="M138" i="128"/>
  <c r="M139" i="128" s="1"/>
  <c r="CT137" i="128"/>
  <c r="CS137" i="128"/>
  <c r="CR137" i="128"/>
  <c r="CQ137" i="128"/>
  <c r="CP137" i="128"/>
  <c r="CO137" i="128"/>
  <c r="CN137" i="128"/>
  <c r="CM137" i="128"/>
  <c r="CL137" i="128"/>
  <c r="CK137" i="128"/>
  <c r="CJ137" i="128"/>
  <c r="CI137" i="128"/>
  <c r="CH137" i="128"/>
  <c r="CG137" i="128"/>
  <c r="CF137" i="128"/>
  <c r="CE137" i="128"/>
  <c r="CD137" i="128"/>
  <c r="CC137" i="128"/>
  <c r="CB137" i="128"/>
  <c r="CA137" i="128"/>
  <c r="BZ137" i="128"/>
  <c r="BY137" i="128"/>
  <c r="BX137" i="128"/>
  <c r="BW137" i="128"/>
  <c r="BV137" i="128"/>
  <c r="BU137" i="128"/>
  <c r="BT137" i="128"/>
  <c r="BS137" i="128"/>
  <c r="BR137" i="128"/>
  <c r="BQ137" i="128"/>
  <c r="BP137" i="128"/>
  <c r="BO137" i="128"/>
  <c r="BN137" i="128"/>
  <c r="BM137" i="128"/>
  <c r="BL137" i="128"/>
  <c r="BK137" i="128"/>
  <c r="BJ137" i="128"/>
  <c r="BI137" i="128"/>
  <c r="BH137" i="128"/>
  <c r="BG137" i="128"/>
  <c r="BF137" i="128"/>
  <c r="BE137" i="128"/>
  <c r="BD137" i="128"/>
  <c r="BC137" i="128"/>
  <c r="BB137" i="128"/>
  <c r="AZ137" i="128"/>
  <c r="AY137" i="128"/>
  <c r="AX137" i="128"/>
  <c r="AW137" i="128"/>
  <c r="AV137" i="128"/>
  <c r="AU137" i="128"/>
  <c r="AT137" i="128"/>
  <c r="AS137" i="128"/>
  <c r="AR137" i="128"/>
  <c r="AQ137" i="128"/>
  <c r="AP137" i="128"/>
  <c r="AO137" i="128"/>
  <c r="AN137" i="128"/>
  <c r="AM137" i="128"/>
  <c r="AL137" i="128"/>
  <c r="AK137" i="128"/>
  <c r="AJ137" i="128"/>
  <c r="AI137" i="128"/>
  <c r="AH137" i="128"/>
  <c r="AF137" i="128"/>
  <c r="AD137" i="128"/>
  <c r="AC137" i="128"/>
  <c r="AB137" i="128"/>
  <c r="AA137" i="128"/>
  <c r="Z137" i="128"/>
  <c r="Y137" i="128"/>
  <c r="X137" i="128"/>
  <c r="W137" i="128"/>
  <c r="V137" i="128"/>
  <c r="U137" i="128"/>
  <c r="T137" i="128"/>
  <c r="S137" i="128"/>
  <c r="L136" i="128"/>
  <c r="M136" i="128" s="1"/>
  <c r="CT135" i="128"/>
  <c r="CS135" i="128"/>
  <c r="CR135" i="128"/>
  <c r="CQ135" i="128"/>
  <c r="CP135" i="128"/>
  <c r="CO135" i="128"/>
  <c r="CN135" i="128"/>
  <c r="CM135" i="128"/>
  <c r="CL135" i="128"/>
  <c r="CK135" i="128"/>
  <c r="CJ135" i="128"/>
  <c r="CI135" i="128"/>
  <c r="CH135" i="128"/>
  <c r="CG135" i="128"/>
  <c r="CF135" i="128"/>
  <c r="CE135" i="128"/>
  <c r="CD135" i="128"/>
  <c r="CC135" i="128"/>
  <c r="CB135" i="128"/>
  <c r="CA135" i="128"/>
  <c r="BZ135" i="128"/>
  <c r="BY135" i="128"/>
  <c r="BX135" i="128"/>
  <c r="BW135" i="128"/>
  <c r="BV135" i="128"/>
  <c r="BU135" i="128"/>
  <c r="BT135" i="128"/>
  <c r="BS135" i="128"/>
  <c r="BR135" i="128"/>
  <c r="BQ135" i="128"/>
  <c r="BP135" i="128"/>
  <c r="BO135" i="128"/>
  <c r="BN135" i="128"/>
  <c r="BM135" i="128"/>
  <c r="BL135" i="128"/>
  <c r="BK135" i="128"/>
  <c r="BJ135" i="128"/>
  <c r="BI135" i="128"/>
  <c r="BH135" i="128"/>
  <c r="BG135" i="128"/>
  <c r="BF135" i="128"/>
  <c r="BE135" i="128"/>
  <c r="BD135" i="128"/>
  <c r="BC135" i="128"/>
  <c r="BB135" i="128"/>
  <c r="AZ135" i="128"/>
  <c r="AY135" i="128"/>
  <c r="AX135" i="128"/>
  <c r="AW135" i="128"/>
  <c r="AV135" i="128"/>
  <c r="AU135" i="128"/>
  <c r="AT135" i="128"/>
  <c r="AS135" i="128"/>
  <c r="AR135" i="128"/>
  <c r="AQ135" i="128"/>
  <c r="AP135" i="128"/>
  <c r="AO135" i="128"/>
  <c r="AN135" i="128"/>
  <c r="AM135" i="128"/>
  <c r="AL135" i="128"/>
  <c r="AK135" i="128"/>
  <c r="AJ135" i="128"/>
  <c r="AI135" i="128"/>
  <c r="AF135" i="128"/>
  <c r="AD135" i="128"/>
  <c r="AC135" i="128"/>
  <c r="AB135" i="128"/>
  <c r="AA135" i="128"/>
  <c r="Z135" i="128"/>
  <c r="Y135" i="128"/>
  <c r="X135" i="128"/>
  <c r="W135" i="128"/>
  <c r="V135" i="128"/>
  <c r="U135" i="128"/>
  <c r="T135" i="128"/>
  <c r="S135" i="128"/>
  <c r="M134" i="128"/>
  <c r="M135" i="128" s="1"/>
  <c r="CT133" i="128"/>
  <c r="CS133" i="128"/>
  <c r="CR133" i="128"/>
  <c r="CQ133" i="128"/>
  <c r="CP133" i="128"/>
  <c r="CO133" i="128"/>
  <c r="CN133" i="128"/>
  <c r="CM133" i="128"/>
  <c r="CL133" i="128"/>
  <c r="CK133" i="128"/>
  <c r="CJ133" i="128"/>
  <c r="CI133" i="128"/>
  <c r="CH133" i="128"/>
  <c r="CG133" i="128"/>
  <c r="CF133" i="128"/>
  <c r="CE133" i="128"/>
  <c r="CD133" i="128"/>
  <c r="CC133" i="128"/>
  <c r="CB133" i="128"/>
  <c r="CA133" i="128"/>
  <c r="BZ133" i="128"/>
  <c r="BY133" i="128"/>
  <c r="BX133" i="128"/>
  <c r="BW133" i="128"/>
  <c r="BV133" i="128"/>
  <c r="BU133" i="128"/>
  <c r="BT133" i="128"/>
  <c r="BS133" i="128"/>
  <c r="BR133" i="128"/>
  <c r="BQ133" i="128"/>
  <c r="BP133" i="128"/>
  <c r="BO133" i="128"/>
  <c r="BN133" i="128"/>
  <c r="BM133" i="128"/>
  <c r="BL133" i="128"/>
  <c r="BK133" i="128"/>
  <c r="BJ133" i="128"/>
  <c r="BI133" i="128"/>
  <c r="BH133" i="128"/>
  <c r="BG133" i="128"/>
  <c r="BF133" i="128"/>
  <c r="BE133" i="128"/>
  <c r="BD133" i="128"/>
  <c r="BC133" i="128"/>
  <c r="BB133" i="128"/>
  <c r="AZ133" i="128"/>
  <c r="AY133" i="128"/>
  <c r="AX133" i="128"/>
  <c r="AW133" i="128"/>
  <c r="AV133" i="128"/>
  <c r="AU133" i="128"/>
  <c r="AT133" i="128"/>
  <c r="AS133" i="128"/>
  <c r="AR133" i="128"/>
  <c r="AQ133" i="128"/>
  <c r="AP133" i="128"/>
  <c r="AO133" i="128"/>
  <c r="AN133" i="128"/>
  <c r="AM133" i="128"/>
  <c r="AK133" i="128"/>
  <c r="AJ133" i="128"/>
  <c r="AI133" i="128"/>
  <c r="AH133" i="128"/>
  <c r="AF133" i="128"/>
  <c r="AD133" i="128"/>
  <c r="AC133" i="128"/>
  <c r="AB133" i="128"/>
  <c r="AA133" i="128"/>
  <c r="Z133" i="128"/>
  <c r="Y133" i="128"/>
  <c r="X133" i="128"/>
  <c r="W133" i="128"/>
  <c r="V133" i="128"/>
  <c r="U133" i="128"/>
  <c r="T133" i="128"/>
  <c r="S133" i="128"/>
  <c r="M132" i="128"/>
  <c r="P132" i="128" s="1"/>
  <c r="P133" i="128" s="1"/>
  <c r="CT131" i="128"/>
  <c r="CS131" i="128"/>
  <c r="CR131" i="128"/>
  <c r="CQ131" i="128"/>
  <c r="CP131" i="128"/>
  <c r="CO131" i="128"/>
  <c r="CN131" i="128"/>
  <c r="CM131" i="128"/>
  <c r="CL131" i="128"/>
  <c r="CK131" i="128"/>
  <c r="CJ131" i="128"/>
  <c r="CI131" i="128"/>
  <c r="CH131" i="128"/>
  <c r="CG131" i="128"/>
  <c r="CF131" i="128"/>
  <c r="CE131" i="128"/>
  <c r="CD131" i="128"/>
  <c r="CC131" i="128"/>
  <c r="CB131" i="128"/>
  <c r="CA131" i="128"/>
  <c r="BZ131" i="128"/>
  <c r="BY131" i="128"/>
  <c r="BX131" i="128"/>
  <c r="BW131" i="128"/>
  <c r="BV131" i="128"/>
  <c r="BU131" i="128"/>
  <c r="BT131" i="128"/>
  <c r="BS131" i="128"/>
  <c r="BR131" i="128"/>
  <c r="BQ131" i="128"/>
  <c r="BP131" i="128"/>
  <c r="BO131" i="128"/>
  <c r="BN131" i="128"/>
  <c r="BM131" i="128"/>
  <c r="BL131" i="128"/>
  <c r="BK131" i="128"/>
  <c r="BJ131" i="128"/>
  <c r="BI131" i="128"/>
  <c r="BH131" i="128"/>
  <c r="BG131" i="128"/>
  <c r="BF131" i="128"/>
  <c r="BE131" i="128"/>
  <c r="BD131" i="128"/>
  <c r="BB131" i="128"/>
  <c r="AZ131" i="128"/>
  <c r="AY131" i="128"/>
  <c r="AX131" i="128"/>
  <c r="AW131" i="128"/>
  <c r="AV131" i="128"/>
  <c r="AU131" i="128"/>
  <c r="AT131" i="128"/>
  <c r="AS131" i="128"/>
  <c r="AR131" i="128"/>
  <c r="AQ131" i="128"/>
  <c r="AP131" i="128"/>
  <c r="AO131" i="128"/>
  <c r="AN131" i="128"/>
  <c r="AM131" i="128"/>
  <c r="AL131" i="128"/>
  <c r="AK131" i="128"/>
  <c r="AJ131" i="128"/>
  <c r="AI131" i="128"/>
  <c r="AH131" i="128"/>
  <c r="AF131" i="128"/>
  <c r="AD131" i="128"/>
  <c r="AC131" i="128"/>
  <c r="AB131" i="128"/>
  <c r="AA131" i="128"/>
  <c r="Z131" i="128"/>
  <c r="Y131" i="128"/>
  <c r="X131" i="128"/>
  <c r="W131" i="128"/>
  <c r="V131" i="128"/>
  <c r="U131" i="128"/>
  <c r="T131" i="128"/>
  <c r="S131" i="128"/>
  <c r="Q131" i="128"/>
  <c r="M130" i="128"/>
  <c r="M131" i="128" s="1"/>
  <c r="CT129" i="128"/>
  <c r="CS129" i="128"/>
  <c r="CR129" i="128"/>
  <c r="CQ129" i="128"/>
  <c r="CP129" i="128"/>
  <c r="CO129" i="128"/>
  <c r="CN129" i="128"/>
  <c r="CM129" i="128"/>
  <c r="CL129" i="128"/>
  <c r="CK129" i="128"/>
  <c r="CJ129" i="128"/>
  <c r="CI129" i="128"/>
  <c r="CH129" i="128"/>
  <c r="CG129" i="128"/>
  <c r="CF129" i="128"/>
  <c r="CE129" i="128"/>
  <c r="CD129" i="128"/>
  <c r="CC129" i="128"/>
  <c r="CB129" i="128"/>
  <c r="CA129" i="128"/>
  <c r="BZ129" i="128"/>
  <c r="BY129" i="128"/>
  <c r="BX129" i="128"/>
  <c r="BW129" i="128"/>
  <c r="BV129" i="128"/>
  <c r="BU129" i="128"/>
  <c r="BT129" i="128"/>
  <c r="BR129" i="128"/>
  <c r="BQ129" i="128"/>
  <c r="BP129" i="128"/>
  <c r="BO129" i="128"/>
  <c r="BN129" i="128"/>
  <c r="BM129" i="128"/>
  <c r="BL129" i="128"/>
  <c r="BK129" i="128"/>
  <c r="BJ129" i="128"/>
  <c r="BI129" i="128"/>
  <c r="BH129" i="128"/>
  <c r="BG129" i="128"/>
  <c r="BF129" i="128"/>
  <c r="BE129" i="128"/>
  <c r="BD129" i="128"/>
  <c r="BC129" i="128"/>
  <c r="BB129" i="128"/>
  <c r="AZ129" i="128"/>
  <c r="AY129" i="128"/>
  <c r="AX129" i="128"/>
  <c r="AW129" i="128"/>
  <c r="AV129" i="128"/>
  <c r="AU129" i="128"/>
  <c r="AT129" i="128"/>
  <c r="AS129" i="128"/>
  <c r="AR129" i="128"/>
  <c r="AQ129" i="128"/>
  <c r="AP129" i="128"/>
  <c r="AO129" i="128"/>
  <c r="AN129" i="128"/>
  <c r="AM129" i="128"/>
  <c r="AL129" i="128"/>
  <c r="AK129" i="128"/>
  <c r="AJ129" i="128"/>
  <c r="AI129" i="128"/>
  <c r="AH129" i="128"/>
  <c r="AF129" i="128"/>
  <c r="AD129" i="128"/>
  <c r="AC129" i="128"/>
  <c r="AB129" i="128"/>
  <c r="AA129" i="128"/>
  <c r="Z129" i="128"/>
  <c r="Y129" i="128"/>
  <c r="X129" i="128"/>
  <c r="W129" i="128"/>
  <c r="V129" i="128"/>
  <c r="U129" i="128"/>
  <c r="T129" i="128"/>
  <c r="S129" i="128"/>
  <c r="Q129" i="128"/>
  <c r="P129" i="128"/>
  <c r="M128" i="128"/>
  <c r="M129" i="128" s="1"/>
  <c r="CT127" i="128"/>
  <c r="CS127" i="128"/>
  <c r="CR127" i="128"/>
  <c r="CQ127" i="128"/>
  <c r="CP127" i="128"/>
  <c r="CO127" i="128"/>
  <c r="CN127" i="128"/>
  <c r="CM127" i="128"/>
  <c r="CL127" i="128"/>
  <c r="CK127" i="128"/>
  <c r="CJ127" i="128"/>
  <c r="CI127" i="128"/>
  <c r="CH127" i="128"/>
  <c r="CG127" i="128"/>
  <c r="CF127" i="128"/>
  <c r="CE127" i="128"/>
  <c r="CD127" i="128"/>
  <c r="CC127" i="128"/>
  <c r="CB127" i="128"/>
  <c r="CA127" i="128"/>
  <c r="BZ127" i="128"/>
  <c r="BY127" i="128"/>
  <c r="BX127" i="128"/>
  <c r="BW127" i="128"/>
  <c r="BV127" i="128"/>
  <c r="BU127" i="128"/>
  <c r="BT127" i="128"/>
  <c r="BS127" i="128"/>
  <c r="BR127" i="128"/>
  <c r="BQ127" i="128"/>
  <c r="BP127" i="128"/>
  <c r="BN127" i="128"/>
  <c r="BM127" i="128"/>
  <c r="BL127" i="128"/>
  <c r="BK127" i="128"/>
  <c r="BJ127" i="128"/>
  <c r="BI127" i="128"/>
  <c r="BH127" i="128"/>
  <c r="BG127" i="128"/>
  <c r="BF127" i="128"/>
  <c r="BE127" i="128"/>
  <c r="BD127" i="128"/>
  <c r="BC127" i="128"/>
  <c r="BB127" i="128"/>
  <c r="AZ127" i="128"/>
  <c r="AY127" i="128"/>
  <c r="AX127" i="128"/>
  <c r="AW127" i="128"/>
  <c r="AV127" i="128"/>
  <c r="AU127" i="128"/>
  <c r="AT127" i="128"/>
  <c r="AS127" i="128"/>
  <c r="AR127" i="128"/>
  <c r="AQ127" i="128"/>
  <c r="AP127" i="128"/>
  <c r="AO127" i="128"/>
  <c r="AN127" i="128"/>
  <c r="AM127" i="128"/>
  <c r="AL127" i="128"/>
  <c r="AK127" i="128"/>
  <c r="AJ127" i="128"/>
  <c r="AI127" i="128"/>
  <c r="AH127" i="128"/>
  <c r="AF127" i="128"/>
  <c r="AD127" i="128"/>
  <c r="AC127" i="128"/>
  <c r="AB127" i="128"/>
  <c r="AA127" i="128"/>
  <c r="Z127" i="128"/>
  <c r="Y127" i="128"/>
  <c r="X127" i="128"/>
  <c r="W127" i="128"/>
  <c r="V127" i="128"/>
  <c r="U127" i="128"/>
  <c r="T127" i="128"/>
  <c r="S127" i="128"/>
  <c r="Q127" i="128"/>
  <c r="P127" i="128"/>
  <c r="M126" i="128"/>
  <c r="BO126" i="128" s="1"/>
  <c r="CT125" i="128"/>
  <c r="CS125" i="128"/>
  <c r="CR125" i="128"/>
  <c r="CQ125" i="128"/>
  <c r="CP125" i="128"/>
  <c r="CO125" i="128"/>
  <c r="CN125" i="128"/>
  <c r="CM125" i="128"/>
  <c r="CL125" i="128"/>
  <c r="CK125" i="128"/>
  <c r="CJ125" i="128"/>
  <c r="CI125" i="128"/>
  <c r="CH125" i="128"/>
  <c r="CG125" i="128"/>
  <c r="CF125" i="128"/>
  <c r="CE125" i="128"/>
  <c r="CD125" i="128"/>
  <c r="CC125" i="128"/>
  <c r="CB125" i="128"/>
  <c r="CA125" i="128"/>
  <c r="BZ125" i="128"/>
  <c r="BY125" i="128"/>
  <c r="BX125" i="128"/>
  <c r="BW125" i="128"/>
  <c r="BV125" i="128"/>
  <c r="BU125" i="128"/>
  <c r="BT125" i="128"/>
  <c r="BS125" i="128"/>
  <c r="BR125" i="128"/>
  <c r="BQ125" i="128"/>
  <c r="BP125" i="128"/>
  <c r="BN125" i="128"/>
  <c r="BM125" i="128"/>
  <c r="BL125" i="128"/>
  <c r="BK125" i="128"/>
  <c r="BJ125" i="128"/>
  <c r="BI125" i="128"/>
  <c r="BH125" i="128"/>
  <c r="BG125" i="128"/>
  <c r="BF125" i="128"/>
  <c r="BE125" i="128"/>
  <c r="BD125" i="128"/>
  <c r="BC125" i="128"/>
  <c r="BB125" i="128"/>
  <c r="AZ125" i="128"/>
  <c r="AY125" i="128"/>
  <c r="AX125" i="128"/>
  <c r="AW125" i="128"/>
  <c r="AV125" i="128"/>
  <c r="AU125" i="128"/>
  <c r="AT125" i="128"/>
  <c r="AS125" i="128"/>
  <c r="AR125" i="128"/>
  <c r="AQ125" i="128"/>
  <c r="AP125" i="128"/>
  <c r="AO125" i="128"/>
  <c r="AN125" i="128"/>
  <c r="AM125" i="128"/>
  <c r="AL125" i="128"/>
  <c r="AK125" i="128"/>
  <c r="AJ125" i="128"/>
  <c r="AI125" i="128"/>
  <c r="AH125" i="128"/>
  <c r="AF125" i="128"/>
  <c r="AD125" i="128"/>
  <c r="AC125" i="128"/>
  <c r="AB125" i="128"/>
  <c r="AA125" i="128"/>
  <c r="Z125" i="128"/>
  <c r="Y125" i="128"/>
  <c r="X125" i="128"/>
  <c r="W125" i="128"/>
  <c r="V125" i="128"/>
  <c r="U125" i="128"/>
  <c r="T125" i="128"/>
  <c r="S125" i="128"/>
  <c r="M124" i="128"/>
  <c r="M125" i="128" s="1"/>
  <c r="CT123" i="128"/>
  <c r="CS123" i="128"/>
  <c r="CR123" i="128"/>
  <c r="CQ123" i="128"/>
  <c r="CP123" i="128"/>
  <c r="CO123" i="128"/>
  <c r="CN123" i="128"/>
  <c r="CM123" i="128"/>
  <c r="CL123" i="128"/>
  <c r="CK123" i="128"/>
  <c r="CJ123" i="128"/>
  <c r="CI123" i="128"/>
  <c r="CH123" i="128"/>
  <c r="CG123" i="128"/>
  <c r="CF123" i="128"/>
  <c r="CE123" i="128"/>
  <c r="CD123" i="128"/>
  <c r="CC123" i="128"/>
  <c r="CB123" i="128"/>
  <c r="CA123" i="128"/>
  <c r="BZ123" i="128"/>
  <c r="BY123" i="128"/>
  <c r="BX123" i="128"/>
  <c r="BW123" i="128"/>
  <c r="BV123" i="128"/>
  <c r="BU123" i="128"/>
  <c r="BT123" i="128"/>
  <c r="BS123" i="128"/>
  <c r="BR123" i="128"/>
  <c r="BQ123" i="128"/>
  <c r="BP123" i="128"/>
  <c r="BO123" i="128"/>
  <c r="BN123" i="128"/>
  <c r="BM123" i="128"/>
  <c r="BL123" i="128"/>
  <c r="BK123" i="128"/>
  <c r="BJ123" i="128"/>
  <c r="BI123" i="128"/>
  <c r="BH123" i="128"/>
  <c r="BG123" i="128"/>
  <c r="BF123" i="128"/>
  <c r="BE123" i="128"/>
  <c r="BD123" i="128"/>
  <c r="BC123" i="128"/>
  <c r="AZ123" i="128"/>
  <c r="AY123" i="128"/>
  <c r="AX123" i="128"/>
  <c r="AW123" i="128"/>
  <c r="AV123" i="128"/>
  <c r="AU123" i="128"/>
  <c r="AT123" i="128"/>
  <c r="AS123" i="128"/>
  <c r="AR123" i="128"/>
  <c r="AQ123" i="128"/>
  <c r="AP123" i="128"/>
  <c r="AO123" i="128"/>
  <c r="AN123" i="128"/>
  <c r="AM123" i="128"/>
  <c r="AL123" i="128"/>
  <c r="AK123" i="128"/>
  <c r="AJ123" i="128"/>
  <c r="AI123" i="128"/>
  <c r="AH123" i="128"/>
  <c r="AF123" i="128"/>
  <c r="AD123" i="128"/>
  <c r="AC123" i="128"/>
  <c r="AB123" i="128"/>
  <c r="AA123" i="128"/>
  <c r="Z123" i="128"/>
  <c r="Y123" i="128"/>
  <c r="X123" i="128"/>
  <c r="W123" i="128"/>
  <c r="V123" i="128"/>
  <c r="U123" i="128"/>
  <c r="T123" i="128"/>
  <c r="S123" i="128"/>
  <c r="M122" i="128"/>
  <c r="P122" i="128" s="1"/>
  <c r="P123" i="128" s="1"/>
  <c r="CT121" i="128"/>
  <c r="CS121" i="128"/>
  <c r="CR121" i="128"/>
  <c r="CQ121" i="128"/>
  <c r="CP121" i="128"/>
  <c r="CO121" i="128"/>
  <c r="CN121" i="128"/>
  <c r="CM121" i="128"/>
  <c r="CL121" i="128"/>
  <c r="CK121" i="128"/>
  <c r="CJ121" i="128"/>
  <c r="CI121" i="128"/>
  <c r="CH121" i="128"/>
  <c r="CG121" i="128"/>
  <c r="CF121" i="128"/>
  <c r="CE121" i="128"/>
  <c r="CD121" i="128"/>
  <c r="CC121" i="128"/>
  <c r="CB121" i="128"/>
  <c r="CA121" i="128"/>
  <c r="BZ121" i="128"/>
  <c r="BY121" i="128"/>
  <c r="BX121" i="128"/>
  <c r="BW121" i="128"/>
  <c r="BV121" i="128"/>
  <c r="BU121" i="128"/>
  <c r="BT121" i="128"/>
  <c r="BS121" i="128"/>
  <c r="BR121" i="128"/>
  <c r="BQ121" i="128"/>
  <c r="BP121" i="128"/>
  <c r="BO121" i="128"/>
  <c r="BN121" i="128"/>
  <c r="BM121" i="128"/>
  <c r="BL121" i="128"/>
  <c r="BK121" i="128"/>
  <c r="BJ121" i="128"/>
  <c r="BI121" i="128"/>
  <c r="BH121" i="128"/>
  <c r="BG121" i="128"/>
  <c r="BF121" i="128"/>
  <c r="BE121" i="128"/>
  <c r="BD121" i="128"/>
  <c r="BC121" i="128"/>
  <c r="AZ121" i="128"/>
  <c r="AY121" i="128"/>
  <c r="AX121" i="128"/>
  <c r="AW121" i="128"/>
  <c r="AV121" i="128"/>
  <c r="AU121" i="128"/>
  <c r="AT121" i="128"/>
  <c r="AS121" i="128"/>
  <c r="AR121" i="128"/>
  <c r="AQ121" i="128"/>
  <c r="AP121" i="128"/>
  <c r="AO121" i="128"/>
  <c r="AN121" i="128"/>
  <c r="AM121" i="128"/>
  <c r="AL121" i="128"/>
  <c r="AK121" i="128"/>
  <c r="AJ121" i="128"/>
  <c r="AI121" i="128"/>
  <c r="AH121" i="128"/>
  <c r="AF121" i="128"/>
  <c r="AD121" i="128"/>
  <c r="AC121" i="128"/>
  <c r="AB121" i="128"/>
  <c r="AA121" i="128"/>
  <c r="Z121" i="128"/>
  <c r="Y121" i="128"/>
  <c r="X121" i="128"/>
  <c r="W121" i="128"/>
  <c r="V121" i="128"/>
  <c r="U121" i="128"/>
  <c r="T121" i="128"/>
  <c r="S121" i="128"/>
  <c r="M120" i="128"/>
  <c r="M121" i="128" s="1"/>
  <c r="CT119" i="128"/>
  <c r="CS119" i="128"/>
  <c r="CR119" i="128"/>
  <c r="CQ119" i="128"/>
  <c r="CP119" i="128"/>
  <c r="CO119" i="128"/>
  <c r="CN119" i="128"/>
  <c r="CM119" i="128"/>
  <c r="CL119" i="128"/>
  <c r="CK119" i="128"/>
  <c r="CJ119" i="128"/>
  <c r="CI119" i="128"/>
  <c r="CH119" i="128"/>
  <c r="CG119" i="128"/>
  <c r="CF119" i="128"/>
  <c r="CE119" i="128"/>
  <c r="CD119" i="128"/>
  <c r="CC119" i="128"/>
  <c r="CB119" i="128"/>
  <c r="CA119" i="128"/>
  <c r="BZ119" i="128"/>
  <c r="BY119" i="128"/>
  <c r="BX119" i="128"/>
  <c r="BW119" i="128"/>
  <c r="BU119" i="128"/>
  <c r="BT119" i="128"/>
  <c r="BR119" i="128"/>
  <c r="BQ119" i="128"/>
  <c r="BP119" i="128"/>
  <c r="BO119" i="128"/>
  <c r="BN119" i="128"/>
  <c r="BM119" i="128"/>
  <c r="BL119" i="128"/>
  <c r="BK119" i="128"/>
  <c r="BJ119" i="128"/>
  <c r="BI119" i="128"/>
  <c r="BH119" i="128"/>
  <c r="BG119" i="128"/>
  <c r="BF119" i="128"/>
  <c r="BE119" i="128"/>
  <c r="BD119" i="128"/>
  <c r="BC119" i="128"/>
  <c r="BB119" i="128"/>
  <c r="AZ119" i="128"/>
  <c r="AY119" i="128"/>
  <c r="AX119" i="128"/>
  <c r="AW119" i="128"/>
  <c r="AV119" i="128"/>
  <c r="AU119" i="128"/>
  <c r="AT119" i="128"/>
  <c r="AS119" i="128"/>
  <c r="AR119" i="128"/>
  <c r="AQ119" i="128"/>
  <c r="AP119" i="128"/>
  <c r="AO119" i="128"/>
  <c r="AN119" i="128"/>
  <c r="AM119" i="128"/>
  <c r="AL119" i="128"/>
  <c r="AK119" i="128"/>
  <c r="AJ119" i="128"/>
  <c r="AI119" i="128"/>
  <c r="AH119" i="128"/>
  <c r="AF119" i="128"/>
  <c r="AD119" i="128"/>
  <c r="AC119" i="128"/>
  <c r="AB119" i="128"/>
  <c r="AA119" i="128"/>
  <c r="Z119" i="128"/>
  <c r="Y119" i="128"/>
  <c r="X119" i="128"/>
  <c r="W119" i="128"/>
  <c r="V119" i="128"/>
  <c r="U119" i="128"/>
  <c r="T119" i="128"/>
  <c r="S119" i="128"/>
  <c r="Q119" i="128"/>
  <c r="P119" i="128"/>
  <c r="M118" i="128"/>
  <c r="BV118" i="128" s="1"/>
  <c r="M117" i="128"/>
  <c r="BS117" i="128" s="1"/>
  <c r="CU117" i="128" s="1"/>
  <c r="CV117" i="128" s="1"/>
  <c r="M116" i="128"/>
  <c r="BS116" i="128" s="1"/>
  <c r="CU116" i="128" s="1"/>
  <c r="CV116" i="128" s="1"/>
  <c r="M115" i="128"/>
  <c r="BS115" i="128" s="1"/>
  <c r="CU115" i="128" s="1"/>
  <c r="CV115" i="128" s="1"/>
  <c r="M114" i="128"/>
  <c r="BS114" i="128" s="1"/>
  <c r="CT113" i="128"/>
  <c r="CS113" i="128"/>
  <c r="CR113" i="128"/>
  <c r="CQ113" i="128"/>
  <c r="CP113" i="128"/>
  <c r="CO113" i="128"/>
  <c r="CN113" i="128"/>
  <c r="CM113" i="128"/>
  <c r="CL113" i="128"/>
  <c r="CK113" i="128"/>
  <c r="CJ113" i="128"/>
  <c r="CI113" i="128"/>
  <c r="CH113" i="128"/>
  <c r="CG113" i="128"/>
  <c r="CF113" i="128"/>
  <c r="CE113" i="128"/>
  <c r="CD113" i="128"/>
  <c r="CC113" i="128"/>
  <c r="CB113" i="128"/>
  <c r="CA113" i="128"/>
  <c r="BZ113" i="128"/>
  <c r="BY113" i="128"/>
  <c r="BX113" i="128"/>
  <c r="BW113" i="128"/>
  <c r="BV113" i="128"/>
  <c r="BU113" i="128"/>
  <c r="BT113" i="128"/>
  <c r="BS113" i="128"/>
  <c r="BR113" i="128"/>
  <c r="BQ113" i="128"/>
  <c r="BP113" i="128"/>
  <c r="BN113" i="128"/>
  <c r="BM113" i="128"/>
  <c r="BL113" i="128"/>
  <c r="BK113" i="128"/>
  <c r="BJ113" i="128"/>
  <c r="BI113" i="128"/>
  <c r="BH113" i="128"/>
  <c r="BG113" i="128"/>
  <c r="BF113" i="128"/>
  <c r="BE113" i="128"/>
  <c r="BD113" i="128"/>
  <c r="BC113" i="128"/>
  <c r="BB113" i="128"/>
  <c r="AZ113" i="128"/>
  <c r="AY113" i="128"/>
  <c r="AX113" i="128"/>
  <c r="AW113" i="128"/>
  <c r="AV113" i="128"/>
  <c r="AU113" i="128"/>
  <c r="AT113" i="128"/>
  <c r="AS113" i="128"/>
  <c r="AR113" i="128"/>
  <c r="AQ113" i="128"/>
  <c r="AP113" i="128"/>
  <c r="AO113" i="128"/>
  <c r="AN113" i="128"/>
  <c r="AM113" i="128"/>
  <c r="AL113" i="128"/>
  <c r="AK113" i="128"/>
  <c r="AJ113" i="128"/>
  <c r="AI113" i="128"/>
  <c r="AH113" i="128"/>
  <c r="AF113" i="128"/>
  <c r="AD113" i="128"/>
  <c r="AC113" i="128"/>
  <c r="AB113" i="128"/>
  <c r="AA113" i="128"/>
  <c r="Z113" i="128"/>
  <c r="Y113" i="128"/>
  <c r="X113" i="128"/>
  <c r="W113" i="128"/>
  <c r="V113" i="128"/>
  <c r="U113" i="128"/>
  <c r="T113" i="128"/>
  <c r="S113" i="128"/>
  <c r="M112" i="128"/>
  <c r="Q112" i="128" s="1"/>
  <c r="Q113" i="128" s="1"/>
  <c r="CT111" i="128"/>
  <c r="CS111" i="128"/>
  <c r="CR111" i="128"/>
  <c r="CQ111" i="128"/>
  <c r="CP111" i="128"/>
  <c r="CO111" i="128"/>
  <c r="CN111" i="128"/>
  <c r="CM111" i="128"/>
  <c r="CL111" i="128"/>
  <c r="CK111" i="128"/>
  <c r="CJ111" i="128"/>
  <c r="CI111" i="128"/>
  <c r="CH111" i="128"/>
  <c r="CG111" i="128"/>
  <c r="CF111" i="128"/>
  <c r="CE111" i="128"/>
  <c r="CD111" i="128"/>
  <c r="CC111" i="128"/>
  <c r="CB111" i="128"/>
  <c r="CA111" i="128"/>
  <c r="BZ111" i="128"/>
  <c r="BY111" i="128"/>
  <c r="BX111" i="128"/>
  <c r="BW111" i="128"/>
  <c r="BV111" i="128"/>
  <c r="BU111" i="128"/>
  <c r="BT111" i="128"/>
  <c r="BS111" i="128"/>
  <c r="BR111" i="128"/>
  <c r="BQ111" i="128"/>
  <c r="BP111" i="128"/>
  <c r="BN111" i="128"/>
  <c r="BM111" i="128"/>
  <c r="BL111" i="128"/>
  <c r="BK111" i="128"/>
  <c r="BJ111" i="128"/>
  <c r="BI111" i="128"/>
  <c r="BH111" i="128"/>
  <c r="BG111" i="128"/>
  <c r="BF111" i="128"/>
  <c r="BE111" i="128"/>
  <c r="BD111" i="128"/>
  <c r="BC111" i="128"/>
  <c r="BB111" i="128"/>
  <c r="AZ111" i="128"/>
  <c r="AY111" i="128"/>
  <c r="AX111" i="128"/>
  <c r="AW111" i="128"/>
  <c r="AV111" i="128"/>
  <c r="AU111" i="128"/>
  <c r="AT111" i="128"/>
  <c r="AS111" i="128"/>
  <c r="AR111" i="128"/>
  <c r="AQ111" i="128"/>
  <c r="AP111" i="128"/>
  <c r="AO111" i="128"/>
  <c r="AN111" i="128"/>
  <c r="AM111" i="128"/>
  <c r="AL111" i="128"/>
  <c r="AK111" i="128"/>
  <c r="AJ111" i="128"/>
  <c r="AI111" i="128"/>
  <c r="AH111" i="128"/>
  <c r="AF111" i="128"/>
  <c r="AD111" i="128"/>
  <c r="AC111" i="128"/>
  <c r="AB111" i="128"/>
  <c r="AA111" i="128"/>
  <c r="Z111" i="128"/>
  <c r="Y111" i="128"/>
  <c r="X111" i="128"/>
  <c r="W111" i="128"/>
  <c r="V111" i="128"/>
  <c r="U111" i="128"/>
  <c r="T111" i="128"/>
  <c r="S111" i="128"/>
  <c r="M110" i="128"/>
  <c r="M111" i="128" s="1"/>
  <c r="F10" i="362"/>
  <c r="B15" i="362"/>
  <c r="F13" i="362"/>
  <c r="F12" i="362"/>
  <c r="F11" i="362"/>
  <c r="A8" i="362"/>
  <c r="CV6" i="362"/>
  <c r="CU6" i="362"/>
  <c r="CT6" i="362"/>
  <c r="CS6" i="362"/>
  <c r="CR6" i="362"/>
  <c r="CQ6" i="362"/>
  <c r="CP6" i="362"/>
  <c r="CO6" i="362"/>
  <c r="CN6" i="362"/>
  <c r="CM6" i="362"/>
  <c r="CL6" i="362"/>
  <c r="CK6" i="362"/>
  <c r="CJ6" i="362"/>
  <c r="CI6" i="362"/>
  <c r="CH6" i="362"/>
  <c r="CG6" i="362"/>
  <c r="CF6" i="362"/>
  <c r="CE6" i="362"/>
  <c r="CD6" i="362"/>
  <c r="CC6" i="362"/>
  <c r="CB6" i="362"/>
  <c r="CA6" i="362"/>
  <c r="BZ6" i="362"/>
  <c r="BY6" i="362"/>
  <c r="BX6" i="362"/>
  <c r="BW6" i="362"/>
  <c r="BV6" i="362"/>
  <c r="BU6" i="362"/>
  <c r="BT6" i="362"/>
  <c r="BR6" i="362"/>
  <c r="BQ6" i="362"/>
  <c r="BP6" i="362"/>
  <c r="BO6" i="362"/>
  <c r="BN6" i="362"/>
  <c r="BM6" i="362"/>
  <c r="BL6" i="362"/>
  <c r="BK6" i="362"/>
  <c r="BJ6" i="362"/>
  <c r="BI6" i="362"/>
  <c r="BH6" i="362"/>
  <c r="BG6" i="362"/>
  <c r="BF6" i="362"/>
  <c r="BE6" i="362"/>
  <c r="BD6" i="362"/>
  <c r="BC6" i="362"/>
  <c r="BB6" i="362"/>
  <c r="AZ6" i="362"/>
  <c r="AY6" i="362"/>
  <c r="AX6" i="362"/>
  <c r="AW6" i="362"/>
  <c r="AV6" i="362"/>
  <c r="AU6" i="362"/>
  <c r="AT6" i="362"/>
  <c r="AS6" i="362"/>
  <c r="AR6" i="362"/>
  <c r="AQ6" i="362"/>
  <c r="AP6" i="362"/>
  <c r="AO6" i="362"/>
  <c r="AN6" i="362"/>
  <c r="AM6" i="362"/>
  <c r="AL6" i="362"/>
  <c r="AK6" i="362"/>
  <c r="AJ6" i="362"/>
  <c r="AI6" i="362"/>
  <c r="AH6" i="362"/>
  <c r="AF6" i="362"/>
  <c r="AD6" i="362"/>
  <c r="AC6" i="362"/>
  <c r="AB6" i="362"/>
  <c r="AA6" i="362"/>
  <c r="Z6" i="362"/>
  <c r="Y6" i="362"/>
  <c r="X6" i="362"/>
  <c r="W6" i="362"/>
  <c r="U6" i="362"/>
  <c r="T6" i="362"/>
  <c r="S6" i="362"/>
  <c r="M5" i="362"/>
  <c r="P5" i="362" s="1"/>
  <c r="P6" i="362" s="1"/>
  <c r="E12" i="362" s="1"/>
  <c r="F10" i="361"/>
  <c r="B15" i="361"/>
  <c r="F13" i="361"/>
  <c r="F12" i="361"/>
  <c r="F11" i="361"/>
  <c r="A8" i="361"/>
  <c r="CV6" i="361"/>
  <c r="CU6" i="361"/>
  <c r="CT6" i="361"/>
  <c r="CS6" i="361"/>
  <c r="CR6" i="361"/>
  <c r="CQ6" i="361"/>
  <c r="CP6" i="361"/>
  <c r="CO6" i="361"/>
  <c r="CN6" i="361"/>
  <c r="CM6" i="361"/>
  <c r="CL6" i="361"/>
  <c r="CK6" i="361"/>
  <c r="CJ6" i="361"/>
  <c r="CI6" i="361"/>
  <c r="CH6" i="361"/>
  <c r="CG6" i="361"/>
  <c r="CF6" i="361"/>
  <c r="CE6" i="361"/>
  <c r="CD6" i="361"/>
  <c r="CC6" i="361"/>
  <c r="CB6" i="361"/>
  <c r="CA6" i="361"/>
  <c r="BZ6" i="361"/>
  <c r="BY6" i="361"/>
  <c r="BX6" i="361"/>
  <c r="BW6" i="361"/>
  <c r="BV6" i="361"/>
  <c r="BU6" i="361"/>
  <c r="BT6" i="361"/>
  <c r="BS6" i="361"/>
  <c r="BR6" i="361"/>
  <c r="BQ6" i="361"/>
  <c r="BP6" i="361"/>
  <c r="BN6" i="361"/>
  <c r="BM6" i="361"/>
  <c r="BL6" i="361"/>
  <c r="BK6" i="361"/>
  <c r="BJ6" i="361"/>
  <c r="BI6" i="361"/>
  <c r="BH6" i="361"/>
  <c r="BG6" i="361"/>
  <c r="BF6" i="361"/>
  <c r="BE6" i="361"/>
  <c r="BD6" i="361"/>
  <c r="BC6" i="361"/>
  <c r="BB6" i="361"/>
  <c r="AZ6" i="361"/>
  <c r="AY6" i="361"/>
  <c r="AX6" i="361"/>
  <c r="AW6" i="361"/>
  <c r="AV6" i="361"/>
  <c r="AU6" i="361"/>
  <c r="AT6" i="361"/>
  <c r="AS6" i="361"/>
  <c r="AR6" i="361"/>
  <c r="AQ6" i="361"/>
  <c r="AP6" i="361"/>
  <c r="AO6" i="361"/>
  <c r="AN6" i="361"/>
  <c r="AM6" i="361"/>
  <c r="AL6" i="361"/>
  <c r="AK6" i="361"/>
  <c r="AJ6" i="361"/>
  <c r="AI6" i="361"/>
  <c r="AH6" i="361"/>
  <c r="AF6" i="361"/>
  <c r="AD6" i="361"/>
  <c r="AC6" i="361"/>
  <c r="AB6" i="361"/>
  <c r="AA6" i="361"/>
  <c r="Z6" i="361"/>
  <c r="Y6" i="361"/>
  <c r="X6" i="361"/>
  <c r="W6" i="361"/>
  <c r="V6" i="361"/>
  <c r="U6" i="361"/>
  <c r="T6" i="361"/>
  <c r="S6" i="361"/>
  <c r="M5" i="361"/>
  <c r="P5" i="361" s="1"/>
  <c r="Q5" i="361" l="1"/>
  <c r="Q6" i="361" s="1"/>
  <c r="D11" i="361" s="1"/>
  <c r="M6" i="361"/>
  <c r="N6" i="361" s="1"/>
  <c r="M210" i="128"/>
  <c r="N233" i="128"/>
  <c r="M199" i="128"/>
  <c r="AC234" i="128"/>
  <c r="P230" i="128"/>
  <c r="P231" i="128" s="1"/>
  <c r="P183" i="128"/>
  <c r="R182" i="128"/>
  <c r="M196" i="128"/>
  <c r="AD234" i="128"/>
  <c r="AR234" i="128"/>
  <c r="BF234" i="128"/>
  <c r="BR234" i="128"/>
  <c r="CD234" i="128"/>
  <c r="CP234" i="128"/>
  <c r="M127" i="128"/>
  <c r="R197" i="128"/>
  <c r="CU197" i="128" s="1"/>
  <c r="CV197" i="128" s="1"/>
  <c r="AF234" i="128"/>
  <c r="AS234" i="128"/>
  <c r="CU182" i="128"/>
  <c r="CV182" i="128" s="1"/>
  <c r="BN234" i="128"/>
  <c r="BZ234" i="128"/>
  <c r="CL234" i="128"/>
  <c r="T234" i="128"/>
  <c r="AT234" i="128"/>
  <c r="BH234" i="128"/>
  <c r="BT234" i="128"/>
  <c r="CF234" i="128"/>
  <c r="CR234" i="128"/>
  <c r="P142" i="128"/>
  <c r="AI234" i="128"/>
  <c r="AU234" i="128"/>
  <c r="BI234" i="128"/>
  <c r="BU234" i="128"/>
  <c r="CG234" i="128"/>
  <c r="CS234" i="128"/>
  <c r="BY234" i="128"/>
  <c r="CK234" i="128"/>
  <c r="AJ234" i="128"/>
  <c r="AV234" i="128"/>
  <c r="BJ234" i="128"/>
  <c r="CH234" i="128"/>
  <c r="CT234" i="128"/>
  <c r="P174" i="128"/>
  <c r="P175" i="128" s="1"/>
  <c r="P187" i="128"/>
  <c r="AW234" i="128"/>
  <c r="BK234" i="128"/>
  <c r="BW234" i="128"/>
  <c r="CI234" i="128"/>
  <c r="M207" i="128"/>
  <c r="M223" i="128"/>
  <c r="N223" i="128" s="1"/>
  <c r="X234" i="128"/>
  <c r="AX234" i="128"/>
  <c r="BL234" i="128"/>
  <c r="BX234" i="128"/>
  <c r="CJ234" i="128"/>
  <c r="BO124" i="128"/>
  <c r="BO125" i="128" s="1"/>
  <c r="CU125" i="128" s="1"/>
  <c r="CV125" i="128" s="1"/>
  <c r="R205" i="128"/>
  <c r="CU205" i="128" s="1"/>
  <c r="CV205" i="128" s="1"/>
  <c r="Q217" i="128"/>
  <c r="Q218" i="128" s="1"/>
  <c r="P221" i="128"/>
  <c r="R221" i="128" s="1"/>
  <c r="S234" i="128"/>
  <c r="Y234" i="128"/>
  <c r="AM234" i="128"/>
  <c r="AY234" i="128"/>
  <c r="BM234" i="128"/>
  <c r="Z234" i="128"/>
  <c r="AN234" i="128"/>
  <c r="AZ158" i="128"/>
  <c r="AZ159" i="128" s="1"/>
  <c r="AO234" i="128"/>
  <c r="U234" i="128"/>
  <c r="AA234" i="128"/>
  <c r="CA234" i="128"/>
  <c r="CM234" i="128"/>
  <c r="CU158" i="128"/>
  <c r="CV158" i="128" s="1"/>
  <c r="BG234" i="128"/>
  <c r="CE234" i="128"/>
  <c r="CQ234" i="128"/>
  <c r="AB234" i="128"/>
  <c r="AP234" i="128"/>
  <c r="BD234" i="128"/>
  <c r="BP234" i="128"/>
  <c r="CB234" i="128"/>
  <c r="CN234" i="128"/>
  <c r="R181" i="128"/>
  <c r="CU181" i="128" s="1"/>
  <c r="CV181" i="128" s="1"/>
  <c r="AQ234" i="128"/>
  <c r="BE234" i="128"/>
  <c r="BQ234" i="128"/>
  <c r="CC234" i="128"/>
  <c r="CO234" i="128"/>
  <c r="BO127" i="128"/>
  <c r="CU127" i="128" s="1"/>
  <c r="CV127" i="128" s="1"/>
  <c r="CU126" i="128"/>
  <c r="CV126" i="128" s="1"/>
  <c r="CU118" i="128"/>
  <c r="CV118" i="128" s="1"/>
  <c r="BV119" i="128"/>
  <c r="BV234" i="128" s="1"/>
  <c r="P169" i="128"/>
  <c r="AZ168" i="128"/>
  <c r="AZ169" i="128" s="1"/>
  <c r="Q143" i="128"/>
  <c r="V142" i="128"/>
  <c r="V143" i="128" s="1"/>
  <c r="R208" i="128"/>
  <c r="CU208" i="128" s="1"/>
  <c r="CV208" i="128" s="1"/>
  <c r="P161" i="128"/>
  <c r="CU221" i="128"/>
  <c r="CV221" i="128" s="1"/>
  <c r="Q136" i="128"/>
  <c r="Q137" i="128" s="1"/>
  <c r="P136" i="128"/>
  <c r="M137" i="128"/>
  <c r="N137" i="128" s="1"/>
  <c r="P145" i="128"/>
  <c r="BS119" i="128"/>
  <c r="CU119" i="128" s="1"/>
  <c r="CU114" i="128"/>
  <c r="CV114" i="128" s="1"/>
  <c r="M113" i="128"/>
  <c r="M143" i="128"/>
  <c r="Q144" i="128"/>
  <c r="Q145" i="128" s="1"/>
  <c r="P152" i="128"/>
  <c r="AZ160" i="128"/>
  <c r="AZ161" i="128" s="1"/>
  <c r="M169" i="128"/>
  <c r="P172" i="128"/>
  <c r="AZ172" i="128" s="1"/>
  <c r="AZ173" i="128" s="1"/>
  <c r="M183" i="128"/>
  <c r="N199" i="128" s="1"/>
  <c r="P184" i="128"/>
  <c r="Q187" i="128"/>
  <c r="R187" i="128" s="1"/>
  <c r="Q189" i="128"/>
  <c r="R189" i="128" s="1"/>
  <c r="Q191" i="128"/>
  <c r="R191" i="128" s="1"/>
  <c r="CU191" i="128" s="1"/>
  <c r="CV191" i="128" s="1"/>
  <c r="Q193" i="128"/>
  <c r="R193" i="128" s="1"/>
  <c r="R195" i="128"/>
  <c r="CU195" i="128" s="1"/>
  <c r="CV195" i="128" s="1"/>
  <c r="Q200" i="128"/>
  <c r="W200" i="128" s="1"/>
  <c r="Q202" i="128"/>
  <c r="P211" i="128"/>
  <c r="P214" i="128"/>
  <c r="M220" i="128"/>
  <c r="N220" i="128" s="1"/>
  <c r="P134" i="128"/>
  <c r="BO138" i="128"/>
  <c r="P143" i="128"/>
  <c r="M151" i="128"/>
  <c r="N153" i="128" s="1"/>
  <c r="Q152" i="128"/>
  <c r="Q153" i="128" s="1"/>
  <c r="M159" i="128"/>
  <c r="P162" i="128"/>
  <c r="Q184" i="128"/>
  <c r="Q185" i="128" s="1"/>
  <c r="Q211" i="128"/>
  <c r="Q212" i="128" s="1"/>
  <c r="M123" i="128"/>
  <c r="M133" i="128"/>
  <c r="N135" i="128" s="1"/>
  <c r="Q134" i="128"/>
  <c r="Q135" i="128" s="1"/>
  <c r="P159" i="128"/>
  <c r="CU159" i="128" s="1"/>
  <c r="M171" i="128"/>
  <c r="R199" i="128"/>
  <c r="CU199" i="128" s="1"/>
  <c r="CV199" i="128" s="1"/>
  <c r="M216" i="128"/>
  <c r="N216" i="128" s="1"/>
  <c r="P217" i="128"/>
  <c r="BB226" i="128"/>
  <c r="BO228" i="128"/>
  <c r="P110" i="128"/>
  <c r="BS128" i="128"/>
  <c r="P140" i="128"/>
  <c r="BB146" i="128"/>
  <c r="M161" i="128"/>
  <c r="P164" i="128"/>
  <c r="R164" i="128" s="1"/>
  <c r="R165" i="128" s="1"/>
  <c r="AZ174" i="128"/>
  <c r="AZ175" i="128" s="1"/>
  <c r="CU175" i="128" s="1"/>
  <c r="CV175" i="128" s="1"/>
  <c r="M225" i="128"/>
  <c r="N229" i="128" s="1"/>
  <c r="Q110" i="128"/>
  <c r="Q111" i="128" s="1"/>
  <c r="Q140" i="128"/>
  <c r="Q141" i="128" s="1"/>
  <c r="M145" i="128"/>
  <c r="P148" i="128"/>
  <c r="P176" i="128"/>
  <c r="AZ176" i="128" s="1"/>
  <c r="AZ177" i="128" s="1"/>
  <c r="P120" i="128"/>
  <c r="Q148" i="128"/>
  <c r="Q149" i="128" s="1"/>
  <c r="P154" i="128"/>
  <c r="P186" i="128"/>
  <c r="P188" i="128"/>
  <c r="P190" i="128"/>
  <c r="P192" i="128"/>
  <c r="P194" i="128"/>
  <c r="P201" i="128"/>
  <c r="P203" i="128"/>
  <c r="R207" i="128"/>
  <c r="CU207" i="128" s="1"/>
  <c r="CV207" i="128" s="1"/>
  <c r="P232" i="128"/>
  <c r="AZ232" i="128" s="1"/>
  <c r="AZ233" i="128" s="1"/>
  <c r="M119" i="128"/>
  <c r="Q120" i="128"/>
  <c r="Q121" i="128" s="1"/>
  <c r="P130" i="128"/>
  <c r="BC130" i="128" s="1"/>
  <c r="BC131" i="128" s="1"/>
  <c r="BC234" i="128" s="1"/>
  <c r="P166" i="128"/>
  <c r="P178" i="128"/>
  <c r="AZ178" i="128" s="1"/>
  <c r="AZ179" i="128" s="1"/>
  <c r="Q186" i="128"/>
  <c r="Q188" i="128"/>
  <c r="Q190" i="128"/>
  <c r="Q192" i="128"/>
  <c r="Q194" i="128"/>
  <c r="Q201" i="128"/>
  <c r="Q203" i="128"/>
  <c r="P222" i="128"/>
  <c r="R222" i="128" s="1"/>
  <c r="R223" i="128" s="1"/>
  <c r="P112" i="128"/>
  <c r="P156" i="128"/>
  <c r="AZ156" i="128" s="1"/>
  <c r="AZ157" i="128" s="1"/>
  <c r="P209" i="128"/>
  <c r="R209" i="128" s="1"/>
  <c r="R213" i="128"/>
  <c r="R214" i="128" s="1"/>
  <c r="P219" i="128"/>
  <c r="P150" i="128"/>
  <c r="Q122" i="128"/>
  <c r="Q123" i="128" s="1"/>
  <c r="Q132" i="128"/>
  <c r="Q133" i="128" s="1"/>
  <c r="P170" i="128"/>
  <c r="Q180" i="128"/>
  <c r="Q183" i="128" s="1"/>
  <c r="M204" i="128"/>
  <c r="N210" i="128" s="1"/>
  <c r="P215" i="128"/>
  <c r="P224" i="128"/>
  <c r="BB224" i="128" s="1"/>
  <c r="BB225" i="128" s="1"/>
  <c r="Q5" i="362"/>
  <c r="M6" i="362"/>
  <c r="P6" i="361"/>
  <c r="E12" i="361" s="1"/>
  <c r="E14" i="361" s="1"/>
  <c r="BO5" i="361"/>
  <c r="BO6" i="361" s="1"/>
  <c r="D10" i="361" s="1"/>
  <c r="D14" i="361" s="1"/>
  <c r="E13" i="361"/>
  <c r="BB120" i="128" l="1"/>
  <c r="BB121" i="128" s="1"/>
  <c r="BS152" i="128"/>
  <c r="BS153" i="128" s="1"/>
  <c r="Q6" i="362"/>
  <c r="D11" i="362" s="1"/>
  <c r="V5" i="362"/>
  <c r="V6" i="362" s="1"/>
  <c r="CU142" i="128"/>
  <c r="CV142" i="128" s="1"/>
  <c r="CU124" i="128"/>
  <c r="CV124" i="128" s="1"/>
  <c r="CU143" i="128"/>
  <c r="N179" i="128"/>
  <c r="N129" i="128"/>
  <c r="AZ230" i="128"/>
  <c r="AZ231" i="128" s="1"/>
  <c r="CU231" i="128" s="1"/>
  <c r="CV231" i="128" s="1"/>
  <c r="BO110" i="128"/>
  <c r="BO111" i="128" s="1"/>
  <c r="V144" i="128"/>
  <c r="V145" i="128" s="1"/>
  <c r="V234" i="128" s="1"/>
  <c r="W140" i="128"/>
  <c r="W141" i="128" s="1"/>
  <c r="W201" i="128"/>
  <c r="CV159" i="128"/>
  <c r="R186" i="128"/>
  <c r="CU186" i="128" s="1"/>
  <c r="CV186" i="128" s="1"/>
  <c r="P216" i="128"/>
  <c r="P167" i="128"/>
  <c r="BS129" i="128"/>
  <c r="CU129" i="128" s="1"/>
  <c r="CV129" i="128" s="1"/>
  <c r="CU128" i="128"/>
  <c r="CV128" i="128" s="1"/>
  <c r="P204" i="128"/>
  <c r="CU187" i="128"/>
  <c r="CV187" i="128" s="1"/>
  <c r="P149" i="128"/>
  <c r="BO112" i="128"/>
  <c r="BO113" i="128" s="1"/>
  <c r="P113" i="128"/>
  <c r="N145" i="128"/>
  <c r="BO229" i="128"/>
  <c r="CU228" i="128"/>
  <c r="CV228" i="128" s="1"/>
  <c r="CV143" i="128"/>
  <c r="CU189" i="128"/>
  <c r="CV189" i="128" s="1"/>
  <c r="CU160" i="128"/>
  <c r="CV160" i="128" s="1"/>
  <c r="CU193" i="128"/>
  <c r="CV193" i="128" s="1"/>
  <c r="P171" i="128"/>
  <c r="CU222" i="128"/>
  <c r="CV222" i="128" s="1"/>
  <c r="P155" i="128"/>
  <c r="CU226" i="128"/>
  <c r="CV226" i="128" s="1"/>
  <c r="BB227" i="128"/>
  <c r="BO139" i="128"/>
  <c r="CU139" i="128" s="1"/>
  <c r="CV139" i="128" s="1"/>
  <c r="CU138" i="128"/>
  <c r="CV138" i="128" s="1"/>
  <c r="AZ154" i="128"/>
  <c r="AZ155" i="128" s="1"/>
  <c r="AZ166" i="128"/>
  <c r="AZ167" i="128" s="1"/>
  <c r="BS148" i="128"/>
  <c r="BS149" i="128" s="1"/>
  <c r="CU161" i="128"/>
  <c r="CV161" i="128" s="1"/>
  <c r="P218" i="128"/>
  <c r="P135" i="128"/>
  <c r="W202" i="128"/>
  <c r="W204" i="128" s="1"/>
  <c r="W234" i="128" s="1"/>
  <c r="P185" i="128"/>
  <c r="CV119" i="128"/>
  <c r="R215" i="128"/>
  <c r="R216" i="128" s="1"/>
  <c r="P196" i="128"/>
  <c r="P121" i="128"/>
  <c r="CU121" i="128" s="1"/>
  <c r="CV121" i="128" s="1"/>
  <c r="CU120" i="128"/>
  <c r="CV120" i="128" s="1"/>
  <c r="R211" i="128"/>
  <c r="R212" i="128" s="1"/>
  <c r="P223" i="128"/>
  <c r="CU223" i="128" s="1"/>
  <c r="CV223" i="128" s="1"/>
  <c r="P137" i="128"/>
  <c r="CU213" i="128"/>
  <c r="CV213" i="128" s="1"/>
  <c r="P233" i="128"/>
  <c r="CU232" i="128"/>
  <c r="CV232" i="128" s="1"/>
  <c r="P151" i="128"/>
  <c r="P165" i="128"/>
  <c r="CU165" i="128" s="1"/>
  <c r="CV165" i="128" s="1"/>
  <c r="CU164" i="128"/>
  <c r="CV164" i="128" s="1"/>
  <c r="R190" i="128"/>
  <c r="CU190" i="128" s="1"/>
  <c r="CV190" i="128" s="1"/>
  <c r="R188" i="128"/>
  <c r="CU188" i="128" s="1"/>
  <c r="CV188" i="128" s="1"/>
  <c r="W203" i="128"/>
  <c r="CU203" i="128" s="1"/>
  <c r="CV203" i="128" s="1"/>
  <c r="R219" i="128"/>
  <c r="R220" i="128" s="1"/>
  <c r="P220" i="128"/>
  <c r="CU201" i="128"/>
  <c r="CV201" i="128" s="1"/>
  <c r="R184" i="128"/>
  <c r="R185" i="128" s="1"/>
  <c r="CU214" i="128"/>
  <c r="CV214" i="128" s="1"/>
  <c r="P173" i="128"/>
  <c r="CU173" i="128" s="1"/>
  <c r="CV173" i="128" s="1"/>
  <c r="CU172" i="128"/>
  <c r="CV172" i="128" s="1"/>
  <c r="R180" i="128"/>
  <c r="R183" i="128" s="1"/>
  <c r="CU183" i="128" s="1"/>
  <c r="CV183" i="128" s="1"/>
  <c r="R136" i="128"/>
  <c r="R137" i="128" s="1"/>
  <c r="AZ170" i="128"/>
  <c r="AZ171" i="128" s="1"/>
  <c r="R192" i="128"/>
  <c r="CU192" i="128" s="1"/>
  <c r="CV192" i="128" s="1"/>
  <c r="AK217" i="128"/>
  <c r="AK218" i="128" s="1"/>
  <c r="AK234" i="128" s="1"/>
  <c r="BB147" i="128"/>
  <c r="CU147" i="128" s="1"/>
  <c r="CV147" i="128" s="1"/>
  <c r="CU146" i="128"/>
  <c r="CV146" i="128" s="1"/>
  <c r="P163" i="128"/>
  <c r="AZ162" i="128"/>
  <c r="AZ163" i="128" s="1"/>
  <c r="P212" i="128"/>
  <c r="CU212" i="128" s="1"/>
  <c r="CV212" i="128" s="1"/>
  <c r="BS150" i="128"/>
  <c r="BS151" i="128" s="1"/>
  <c r="BS234" i="128" s="1"/>
  <c r="AL132" i="128"/>
  <c r="AL133" i="128" s="1"/>
  <c r="AL234" i="128" s="1"/>
  <c r="CU110" i="128"/>
  <c r="CV110" i="128" s="1"/>
  <c r="P111" i="128"/>
  <c r="CU209" i="128"/>
  <c r="CV209" i="128" s="1"/>
  <c r="Q196" i="128"/>
  <c r="CU176" i="128"/>
  <c r="CV176" i="128" s="1"/>
  <c r="P177" i="128"/>
  <c r="CU177" i="128" s="1"/>
  <c r="CV177" i="128" s="1"/>
  <c r="P141" i="128"/>
  <c r="CU141" i="128" s="1"/>
  <c r="CV141" i="128" s="1"/>
  <c r="CU140" i="128"/>
  <c r="CV140" i="128" s="1"/>
  <c r="P210" i="128"/>
  <c r="CU169" i="128"/>
  <c r="CV169" i="128" s="1"/>
  <c r="P131" i="128"/>
  <c r="CU131" i="128" s="1"/>
  <c r="CV131" i="128" s="1"/>
  <c r="CU130" i="128"/>
  <c r="CV130" i="128" s="1"/>
  <c r="P225" i="128"/>
  <c r="CU225" i="128" s="1"/>
  <c r="CV225" i="128" s="1"/>
  <c r="CU224" i="128"/>
  <c r="CV224" i="128" s="1"/>
  <c r="CU156" i="128"/>
  <c r="CV156" i="128" s="1"/>
  <c r="P157" i="128"/>
  <c r="CU157" i="128" s="1"/>
  <c r="CV157" i="128" s="1"/>
  <c r="CU178" i="128"/>
  <c r="CV178" i="128" s="1"/>
  <c r="P179" i="128"/>
  <c r="CU179" i="128" s="1"/>
  <c r="CV179" i="128" s="1"/>
  <c r="CU174" i="128"/>
  <c r="CV174" i="128" s="1"/>
  <c r="AH134" i="128"/>
  <c r="AH135" i="128" s="1"/>
  <c r="AH234" i="128" s="1"/>
  <c r="Q204" i="128"/>
  <c r="P153" i="128"/>
  <c r="CU153" i="128" s="1"/>
  <c r="CV153" i="128" s="1"/>
  <c r="CU152" i="128"/>
  <c r="CV152" i="128" s="1"/>
  <c r="CU200" i="128"/>
  <c r="CV200" i="128" s="1"/>
  <c r="R194" i="128"/>
  <c r="CU194" i="128" s="1"/>
  <c r="CV194" i="128" s="1"/>
  <c r="R210" i="128"/>
  <c r="CU168" i="128"/>
  <c r="CV168" i="128" s="1"/>
  <c r="BB122" i="128"/>
  <c r="BB123" i="128" s="1"/>
  <c r="CU123" i="128" s="1"/>
  <c r="CV123" i="128" s="1"/>
  <c r="E13" i="362"/>
  <c r="E14" i="362" s="1"/>
  <c r="N6" i="362"/>
  <c r="D10" i="362"/>
  <c r="D14" i="362" s="1"/>
  <c r="F10" i="275"/>
  <c r="CY105" i="128"/>
  <c r="CX105" i="128"/>
  <c r="CW105" i="128"/>
  <c r="BA105" i="128"/>
  <c r="AG105" i="128"/>
  <c r="AE105" i="128"/>
  <c r="CT104" i="128"/>
  <c r="CS104" i="128"/>
  <c r="CR104" i="128"/>
  <c r="CQ104" i="128"/>
  <c r="CP104" i="128"/>
  <c r="CO104" i="128"/>
  <c r="CN104" i="128"/>
  <c r="CM104" i="128"/>
  <c r="CL104" i="128"/>
  <c r="CK104" i="128"/>
  <c r="CJ104" i="128"/>
  <c r="CI104" i="128"/>
  <c r="CH104" i="128"/>
  <c r="CG104" i="128"/>
  <c r="CF104" i="128"/>
  <c r="CE104" i="128"/>
  <c r="CD104" i="128"/>
  <c r="CC104" i="128"/>
  <c r="CB104" i="128"/>
  <c r="CA104" i="128"/>
  <c r="BZ104" i="128"/>
  <c r="BY104" i="128"/>
  <c r="BX104" i="128"/>
  <c r="BW104" i="128"/>
  <c r="BV104" i="128"/>
  <c r="BU104" i="128"/>
  <c r="BT104" i="128"/>
  <c r="BS104" i="128"/>
  <c r="BR104" i="128"/>
  <c r="BQ104" i="128"/>
  <c r="BP104" i="128"/>
  <c r="BO104" i="128"/>
  <c r="BN104" i="128"/>
  <c r="BM104" i="128"/>
  <c r="BL104" i="128"/>
  <c r="BK104" i="128"/>
  <c r="BJ104" i="128"/>
  <c r="BI104" i="128"/>
  <c r="BH104" i="128"/>
  <c r="BG104" i="128"/>
  <c r="BF104" i="128"/>
  <c r="BE104" i="128"/>
  <c r="BD104" i="128"/>
  <c r="BC104" i="128"/>
  <c r="BB104" i="128"/>
  <c r="AZ104" i="128"/>
  <c r="AY104" i="128"/>
  <c r="AX104" i="128"/>
  <c r="AW104" i="128"/>
  <c r="AV104" i="128"/>
  <c r="AU104" i="128"/>
  <c r="AT104" i="128"/>
  <c r="AS104" i="128"/>
  <c r="AR104" i="128"/>
  <c r="AQ104" i="128"/>
  <c r="AP104" i="128"/>
  <c r="AO104" i="128"/>
  <c r="AN104" i="128"/>
  <c r="AM104" i="128"/>
  <c r="AL104" i="128"/>
  <c r="AK104" i="128"/>
  <c r="AJ104" i="128"/>
  <c r="AI104" i="128"/>
  <c r="AH104" i="128"/>
  <c r="AF104" i="128"/>
  <c r="AD104" i="128"/>
  <c r="AC104" i="128"/>
  <c r="AB104" i="128"/>
  <c r="AA104" i="128"/>
  <c r="Z104" i="128"/>
  <c r="Y104" i="128"/>
  <c r="X104" i="128"/>
  <c r="W104" i="128"/>
  <c r="V104" i="128"/>
  <c r="U104" i="128"/>
  <c r="T104" i="128"/>
  <c r="S104" i="128"/>
  <c r="M103" i="128"/>
  <c r="M102" i="128"/>
  <c r="P102" i="128" s="1"/>
  <c r="CT101" i="128"/>
  <c r="CS101" i="128"/>
  <c r="CR101" i="128"/>
  <c r="CQ101" i="128"/>
  <c r="CP101" i="128"/>
  <c r="CO101" i="128"/>
  <c r="CN101" i="128"/>
  <c r="CM101" i="128"/>
  <c r="CL101" i="128"/>
  <c r="CK101" i="128"/>
  <c r="CJ101" i="128"/>
  <c r="CI101" i="128"/>
  <c r="CH101" i="128"/>
  <c r="CG101" i="128"/>
  <c r="CF101" i="128"/>
  <c r="CE101" i="128"/>
  <c r="CD101" i="128"/>
  <c r="CC101" i="128"/>
  <c r="CB101" i="128"/>
  <c r="CA101" i="128"/>
  <c r="BZ101" i="128"/>
  <c r="BY101" i="128"/>
  <c r="BX101" i="128"/>
  <c r="BW101" i="128"/>
  <c r="BV101" i="128"/>
  <c r="BU101" i="128"/>
  <c r="BT101" i="128"/>
  <c r="BS101" i="128"/>
  <c r="BR101" i="128"/>
  <c r="BQ101" i="128"/>
  <c r="BP101" i="128"/>
  <c r="BO101" i="128"/>
  <c r="BN101" i="128"/>
  <c r="BM101" i="128"/>
  <c r="BL101" i="128"/>
  <c r="BK101" i="128"/>
  <c r="BJ101" i="128"/>
  <c r="BI101" i="128"/>
  <c r="BH101" i="128"/>
  <c r="BG101" i="128"/>
  <c r="BF101" i="128"/>
  <c r="BE101" i="128"/>
  <c r="BD101" i="128"/>
  <c r="BB101" i="128"/>
  <c r="AZ101" i="128"/>
  <c r="AY101" i="128"/>
  <c r="AX101" i="128"/>
  <c r="AW101" i="128"/>
  <c r="AV101" i="128"/>
  <c r="AU101" i="128"/>
  <c r="AT101" i="128"/>
  <c r="AS101" i="128"/>
  <c r="AR101" i="128"/>
  <c r="AQ101" i="128"/>
  <c r="AP101" i="128"/>
  <c r="AO101" i="128"/>
  <c r="AN101" i="128"/>
  <c r="AM101" i="128"/>
  <c r="AL101" i="128"/>
  <c r="AK101" i="128"/>
  <c r="AJ101" i="128"/>
  <c r="AI101" i="128"/>
  <c r="AH101" i="128"/>
  <c r="AF101" i="128"/>
  <c r="AD101" i="128"/>
  <c r="AC101" i="128"/>
  <c r="AB101" i="128"/>
  <c r="AA101" i="128"/>
  <c r="Z101" i="128"/>
  <c r="Y101" i="128"/>
  <c r="X101" i="128"/>
  <c r="W101" i="128"/>
  <c r="V101" i="128"/>
  <c r="U101" i="128"/>
  <c r="T101" i="128"/>
  <c r="S101" i="128"/>
  <c r="Q101" i="128"/>
  <c r="P101" i="128"/>
  <c r="L101" i="128"/>
  <c r="M100" i="128"/>
  <c r="M101" i="128" s="1"/>
  <c r="CT99" i="128"/>
  <c r="CS99" i="128"/>
  <c r="CR99" i="128"/>
  <c r="CQ99" i="128"/>
  <c r="CP99" i="128"/>
  <c r="CO99" i="128"/>
  <c r="CN99" i="128"/>
  <c r="CM99" i="128"/>
  <c r="CL99" i="128"/>
  <c r="CK99" i="128"/>
  <c r="CJ99" i="128"/>
  <c r="CI99" i="128"/>
  <c r="CH99" i="128"/>
  <c r="CG99" i="128"/>
  <c r="CF99" i="128"/>
  <c r="CE99" i="128"/>
  <c r="CD99" i="128"/>
  <c r="CC99" i="128"/>
  <c r="CB99" i="128"/>
  <c r="CA99" i="128"/>
  <c r="BZ99" i="128"/>
  <c r="BY99" i="128"/>
  <c r="BX99" i="128"/>
  <c r="BW99" i="128"/>
  <c r="BV99" i="128"/>
  <c r="BU99" i="128"/>
  <c r="BT99" i="128"/>
  <c r="BS99" i="128"/>
  <c r="BR99" i="128"/>
  <c r="BQ99" i="128"/>
  <c r="BP99" i="128"/>
  <c r="BO99" i="128"/>
  <c r="BN99" i="128"/>
  <c r="BM99" i="128"/>
  <c r="BL99" i="128"/>
  <c r="BK99" i="128"/>
  <c r="BJ99" i="128"/>
  <c r="BI99" i="128"/>
  <c r="BH99" i="128"/>
  <c r="BG99" i="128"/>
  <c r="BF99" i="128"/>
  <c r="BE99" i="128"/>
  <c r="BD99" i="128"/>
  <c r="BC99" i="128"/>
  <c r="BB99" i="128"/>
  <c r="AZ99" i="128"/>
  <c r="AY99" i="128"/>
  <c r="AX99" i="128"/>
  <c r="AW99" i="128"/>
  <c r="AV99" i="128"/>
  <c r="AU99" i="128"/>
  <c r="AT99" i="128"/>
  <c r="AS99" i="128"/>
  <c r="AR99" i="128"/>
  <c r="AQ99" i="128"/>
  <c r="AP99" i="128"/>
  <c r="AO99" i="128"/>
  <c r="AN99" i="128"/>
  <c r="AM99" i="128"/>
  <c r="AL99" i="128"/>
  <c r="AK99" i="128"/>
  <c r="AJ99" i="128"/>
  <c r="AI99" i="128"/>
  <c r="AF99" i="128"/>
  <c r="AD99" i="128"/>
  <c r="AC99" i="128"/>
  <c r="AB99" i="128"/>
  <c r="AA99" i="128"/>
  <c r="Z99" i="128"/>
  <c r="Y99" i="128"/>
  <c r="X99" i="128"/>
  <c r="W99" i="128"/>
  <c r="V99" i="128"/>
  <c r="U99" i="128"/>
  <c r="T99" i="128"/>
  <c r="S99" i="128"/>
  <c r="L99" i="128"/>
  <c r="M98" i="128"/>
  <c r="Q98" i="128" s="1"/>
  <c r="P97" i="128"/>
  <c r="M97" i="128"/>
  <c r="Q97" i="128" s="1"/>
  <c r="M96" i="128"/>
  <c r="Q96" i="128" s="1"/>
  <c r="CT95" i="128"/>
  <c r="CS95" i="128"/>
  <c r="CR95" i="128"/>
  <c r="CQ95" i="128"/>
  <c r="CP95" i="128"/>
  <c r="CO95" i="128"/>
  <c r="CN95" i="128"/>
  <c r="CM95" i="128"/>
  <c r="CL95" i="128"/>
  <c r="CK95" i="128"/>
  <c r="CJ95" i="128"/>
  <c r="CI95" i="128"/>
  <c r="CH95" i="128"/>
  <c r="CG95" i="128"/>
  <c r="CF95" i="128"/>
  <c r="CE95" i="128"/>
  <c r="CD95" i="128"/>
  <c r="CC95" i="128"/>
  <c r="CB95" i="128"/>
  <c r="CA95" i="128"/>
  <c r="BZ95" i="128"/>
  <c r="BY95" i="128"/>
  <c r="BX95" i="128"/>
  <c r="BW95" i="128"/>
  <c r="BV95" i="128"/>
  <c r="BU95" i="128"/>
  <c r="BT95" i="128"/>
  <c r="BS95" i="128"/>
  <c r="BR95" i="128"/>
  <c r="BQ95" i="128"/>
  <c r="BP95" i="128"/>
  <c r="BO95" i="128"/>
  <c r="BN95" i="128"/>
  <c r="BM95" i="128"/>
  <c r="BL95" i="128"/>
  <c r="BK95" i="128"/>
  <c r="BJ95" i="128"/>
  <c r="BI95" i="128"/>
  <c r="BH95" i="128"/>
  <c r="BG95" i="128"/>
  <c r="BF95" i="128"/>
  <c r="BE95" i="128"/>
  <c r="BD95" i="128"/>
  <c r="BC95" i="128"/>
  <c r="BB95" i="128"/>
  <c r="AZ95" i="128"/>
  <c r="AY95" i="128"/>
  <c r="AX95" i="128"/>
  <c r="AW95" i="128"/>
  <c r="AV95" i="128"/>
  <c r="AU95" i="128"/>
  <c r="AT95" i="128"/>
  <c r="AS95" i="128"/>
  <c r="AR95" i="128"/>
  <c r="AQ95" i="128"/>
  <c r="AP95" i="128"/>
  <c r="AO95" i="128"/>
  <c r="AN95" i="128"/>
  <c r="AM95" i="128"/>
  <c r="AL95" i="128"/>
  <c r="AK95" i="128"/>
  <c r="AJ95" i="128"/>
  <c r="AI95" i="128"/>
  <c r="AF95" i="128"/>
  <c r="AD95" i="128"/>
  <c r="AC95" i="128"/>
  <c r="AB95" i="128"/>
  <c r="AA95" i="128"/>
  <c r="Z95" i="128"/>
  <c r="Y95" i="128"/>
  <c r="X95" i="128"/>
  <c r="W95" i="128"/>
  <c r="V95" i="128"/>
  <c r="U95" i="128"/>
  <c r="T95" i="128"/>
  <c r="S95" i="128"/>
  <c r="M94" i="128"/>
  <c r="CT93" i="128"/>
  <c r="CS93" i="128"/>
  <c r="CR93" i="128"/>
  <c r="CQ93" i="128"/>
  <c r="CP93" i="128"/>
  <c r="CO93" i="128"/>
  <c r="CN93" i="128"/>
  <c r="CM93" i="128"/>
  <c r="CL93" i="128"/>
  <c r="CK93" i="128"/>
  <c r="CJ93" i="128"/>
  <c r="CI93" i="128"/>
  <c r="CH93" i="128"/>
  <c r="CG93" i="128"/>
  <c r="CF93" i="128"/>
  <c r="CE93" i="128"/>
  <c r="CD93" i="128"/>
  <c r="CC93" i="128"/>
  <c r="CB93" i="128"/>
  <c r="CA93" i="128"/>
  <c r="BZ93" i="128"/>
  <c r="BY93" i="128"/>
  <c r="BX93" i="128"/>
  <c r="BW93" i="128"/>
  <c r="BV93" i="128"/>
  <c r="BU93" i="128"/>
  <c r="BT93" i="128"/>
  <c r="BS93" i="128"/>
  <c r="BR93" i="128"/>
  <c r="BQ93" i="128"/>
  <c r="BP93" i="128"/>
  <c r="BO93" i="128"/>
  <c r="BN93" i="128"/>
  <c r="BM93" i="128"/>
  <c r="BL93" i="128"/>
  <c r="BK93" i="128"/>
  <c r="BJ93" i="128"/>
  <c r="BI93" i="128"/>
  <c r="BH93" i="128"/>
  <c r="BG93" i="128"/>
  <c r="BF93" i="128"/>
  <c r="BE93" i="128"/>
  <c r="BD93" i="128"/>
  <c r="BC93" i="128"/>
  <c r="BB93" i="128"/>
  <c r="AZ93" i="128"/>
  <c r="AY93" i="128"/>
  <c r="AX93" i="128"/>
  <c r="AW93" i="128"/>
  <c r="AV93" i="128"/>
  <c r="AU93" i="128"/>
  <c r="AT93" i="128"/>
  <c r="AS93" i="128"/>
  <c r="AR93" i="128"/>
  <c r="AQ93" i="128"/>
  <c r="AP93" i="128"/>
  <c r="AO93" i="128"/>
  <c r="AN93" i="128"/>
  <c r="AM93" i="128"/>
  <c r="AL93" i="128"/>
  <c r="AK93" i="128"/>
  <c r="AJ93" i="128"/>
  <c r="AI93" i="128"/>
  <c r="AH93" i="128"/>
  <c r="AF93" i="128"/>
  <c r="AD93" i="128"/>
  <c r="AC93" i="128"/>
  <c r="AB93" i="128"/>
  <c r="AA93" i="128"/>
  <c r="Z93" i="128"/>
  <c r="Y93" i="128"/>
  <c r="X93" i="128"/>
  <c r="W93" i="128"/>
  <c r="V93" i="128"/>
  <c r="U93" i="128"/>
  <c r="T93" i="128"/>
  <c r="S93" i="128"/>
  <c r="M92" i="128"/>
  <c r="P92" i="128" s="1"/>
  <c r="P93" i="128" s="1"/>
  <c r="CT91" i="128"/>
  <c r="CS91" i="128"/>
  <c r="CR91" i="128"/>
  <c r="CQ91" i="128"/>
  <c r="CP91" i="128"/>
  <c r="CO91" i="128"/>
  <c r="CN91" i="128"/>
  <c r="CM91" i="128"/>
  <c r="CL91" i="128"/>
  <c r="CK91" i="128"/>
  <c r="CJ91" i="128"/>
  <c r="CI91" i="128"/>
  <c r="CH91" i="128"/>
  <c r="CG91" i="128"/>
  <c r="CF91" i="128"/>
  <c r="CE91" i="128"/>
  <c r="CD91" i="128"/>
  <c r="CC91" i="128"/>
  <c r="CB91" i="128"/>
  <c r="CA91" i="128"/>
  <c r="BZ91" i="128"/>
  <c r="BY91" i="128"/>
  <c r="BX91" i="128"/>
  <c r="BW91" i="128"/>
  <c r="BV91" i="128"/>
  <c r="BU91" i="128"/>
  <c r="BT91" i="128"/>
  <c r="BS91" i="128"/>
  <c r="BR91" i="128"/>
  <c r="BQ91" i="128"/>
  <c r="BP91" i="128"/>
  <c r="BO91" i="128"/>
  <c r="BN91" i="128"/>
  <c r="BM91" i="128"/>
  <c r="BL91" i="128"/>
  <c r="BK91" i="128"/>
  <c r="BJ91" i="128"/>
  <c r="BI91" i="128"/>
  <c r="BH91" i="128"/>
  <c r="BG91" i="128"/>
  <c r="BF91" i="128"/>
  <c r="BE91" i="128"/>
  <c r="BD91" i="128"/>
  <c r="BC91" i="128"/>
  <c r="BB91" i="128"/>
  <c r="AZ91" i="128"/>
  <c r="AY91" i="128"/>
  <c r="AX91" i="128"/>
  <c r="AW91" i="128"/>
  <c r="AV91" i="128"/>
  <c r="AU91" i="128"/>
  <c r="AT91" i="128"/>
  <c r="AS91" i="128"/>
  <c r="AR91" i="128"/>
  <c r="AQ91" i="128"/>
  <c r="AP91" i="128"/>
  <c r="AO91" i="128"/>
  <c r="AN91" i="128"/>
  <c r="AM91" i="128"/>
  <c r="AL91" i="128"/>
  <c r="AK91" i="128"/>
  <c r="AJ91" i="128"/>
  <c r="AI91" i="128"/>
  <c r="AH91" i="128"/>
  <c r="AF91" i="128"/>
  <c r="AD91" i="128"/>
  <c r="AC91" i="128"/>
  <c r="AB91" i="128"/>
  <c r="AA91" i="128"/>
  <c r="Z91" i="128"/>
  <c r="Y91" i="128"/>
  <c r="X91" i="128"/>
  <c r="W91" i="128"/>
  <c r="V91" i="128"/>
  <c r="U91" i="128"/>
  <c r="T91" i="128"/>
  <c r="S91" i="128"/>
  <c r="Q91" i="128"/>
  <c r="M90" i="128"/>
  <c r="M89" i="128"/>
  <c r="M88" i="128"/>
  <c r="CT87" i="128"/>
  <c r="CS87" i="128"/>
  <c r="CR87" i="128"/>
  <c r="CQ87" i="128"/>
  <c r="CP87" i="128"/>
  <c r="CO87" i="128"/>
  <c r="CN87" i="128"/>
  <c r="CM87" i="128"/>
  <c r="CL87" i="128"/>
  <c r="CK87" i="128"/>
  <c r="CJ87" i="128"/>
  <c r="CI87" i="128"/>
  <c r="CH87" i="128"/>
  <c r="CG87" i="128"/>
  <c r="CF87" i="128"/>
  <c r="CE87" i="128"/>
  <c r="CD87" i="128"/>
  <c r="CC87" i="128"/>
  <c r="CB87" i="128"/>
  <c r="CA87" i="128"/>
  <c r="BZ87" i="128"/>
  <c r="BY87" i="128"/>
  <c r="BX87" i="128"/>
  <c r="BW87" i="128"/>
  <c r="BV87" i="128"/>
  <c r="BU87" i="128"/>
  <c r="BT87" i="128"/>
  <c r="BS87" i="128"/>
  <c r="BR87" i="128"/>
  <c r="BQ87" i="128"/>
  <c r="BP87" i="128"/>
  <c r="BO87" i="128"/>
  <c r="BN87" i="128"/>
  <c r="BM87" i="128"/>
  <c r="BL87" i="128"/>
  <c r="BK87" i="128"/>
  <c r="BJ87" i="128"/>
  <c r="BI87" i="128"/>
  <c r="BH87" i="128"/>
  <c r="BG87" i="128"/>
  <c r="BF87" i="128"/>
  <c r="BE87" i="128"/>
  <c r="BD87" i="128"/>
  <c r="BC87" i="128"/>
  <c r="BB87" i="128"/>
  <c r="AZ87" i="128"/>
  <c r="AY87" i="128"/>
  <c r="AX87" i="128"/>
  <c r="AW87" i="128"/>
  <c r="AV87" i="128"/>
  <c r="AU87" i="128"/>
  <c r="AT87" i="128"/>
  <c r="AS87" i="128"/>
  <c r="AR87" i="128"/>
  <c r="AQ87" i="128"/>
  <c r="AP87" i="128"/>
  <c r="AO87" i="128"/>
  <c r="AN87" i="128"/>
  <c r="AM87" i="128"/>
  <c r="AL87" i="128"/>
  <c r="AK87" i="128"/>
  <c r="AJ87" i="128"/>
  <c r="AI87" i="128"/>
  <c r="AH87" i="128"/>
  <c r="AF87" i="128"/>
  <c r="AD87" i="128"/>
  <c r="AC87" i="128"/>
  <c r="AB87" i="128"/>
  <c r="AA87" i="128"/>
  <c r="Z87" i="128"/>
  <c r="Y87" i="128"/>
  <c r="X87" i="128"/>
  <c r="W87" i="128"/>
  <c r="V87" i="128"/>
  <c r="U87" i="128"/>
  <c r="T87" i="128"/>
  <c r="S87" i="128"/>
  <c r="M86" i="128"/>
  <c r="M87" i="128" s="1"/>
  <c r="N87" i="128" s="1"/>
  <c r="CT85" i="128"/>
  <c r="CS85" i="128"/>
  <c r="CR85" i="128"/>
  <c r="CQ85" i="128"/>
  <c r="CP85" i="128"/>
  <c r="CO85" i="128"/>
  <c r="CN85" i="128"/>
  <c r="CM85" i="128"/>
  <c r="CL85" i="128"/>
  <c r="CK85" i="128"/>
  <c r="CJ85" i="128"/>
  <c r="CI85" i="128"/>
  <c r="CH85" i="128"/>
  <c r="CG85" i="128"/>
  <c r="CF85" i="128"/>
  <c r="CE85" i="128"/>
  <c r="CD85" i="128"/>
  <c r="CC85" i="128"/>
  <c r="CB85" i="128"/>
  <c r="CA85" i="128"/>
  <c r="BZ85" i="128"/>
  <c r="BY85" i="128"/>
  <c r="BX85" i="128"/>
  <c r="BW85" i="128"/>
  <c r="BV85" i="128"/>
  <c r="BU85" i="128"/>
  <c r="BT85" i="128"/>
  <c r="BS85" i="128"/>
  <c r="BR85" i="128"/>
  <c r="BQ85" i="128"/>
  <c r="BP85" i="128"/>
  <c r="BO85" i="128"/>
  <c r="BN85" i="128"/>
  <c r="BM85" i="128"/>
  <c r="BL85" i="128"/>
  <c r="BK85" i="128"/>
  <c r="BJ85" i="128"/>
  <c r="BI85" i="128"/>
  <c r="BH85" i="128"/>
  <c r="BG85" i="128"/>
  <c r="BF85" i="128"/>
  <c r="BE85" i="128"/>
  <c r="BD85" i="128"/>
  <c r="BB85" i="128"/>
  <c r="AZ85" i="128"/>
  <c r="AY85" i="128"/>
  <c r="AX85" i="128"/>
  <c r="AW85" i="128"/>
  <c r="AV85" i="128"/>
  <c r="AU85" i="128"/>
  <c r="AT85" i="128"/>
  <c r="AS85" i="128"/>
  <c r="AR85" i="128"/>
  <c r="AQ85" i="128"/>
  <c r="AP85" i="128"/>
  <c r="AO85" i="128"/>
  <c r="AN85" i="128"/>
  <c r="AM85" i="128"/>
  <c r="AL85" i="128"/>
  <c r="AK85" i="128"/>
  <c r="AJ85" i="128"/>
  <c r="AI85" i="128"/>
  <c r="AH85" i="128"/>
  <c r="AF85" i="128"/>
  <c r="AD85" i="128"/>
  <c r="AC85" i="128"/>
  <c r="AB85" i="128"/>
  <c r="AA85" i="128"/>
  <c r="Z85" i="128"/>
  <c r="Y85" i="128"/>
  <c r="X85" i="128"/>
  <c r="W85" i="128"/>
  <c r="V85" i="128"/>
  <c r="U85" i="128"/>
  <c r="T85" i="128"/>
  <c r="S85" i="128"/>
  <c r="Q85" i="128"/>
  <c r="P85" i="128"/>
  <c r="M84" i="128"/>
  <c r="M85" i="128" s="1"/>
  <c r="CT83" i="128"/>
  <c r="CS83" i="128"/>
  <c r="CR83" i="128"/>
  <c r="CQ83" i="128"/>
  <c r="CP83" i="128"/>
  <c r="CO83" i="128"/>
  <c r="CN83" i="128"/>
  <c r="CM83" i="128"/>
  <c r="CL83" i="128"/>
  <c r="CK83" i="128"/>
  <c r="CJ83" i="128"/>
  <c r="CI83" i="128"/>
  <c r="CH83" i="128"/>
  <c r="CG83" i="128"/>
  <c r="CF83" i="128"/>
  <c r="CE83" i="128"/>
  <c r="CD83" i="128"/>
  <c r="CC83" i="128"/>
  <c r="CB83" i="128"/>
  <c r="CA83" i="128"/>
  <c r="BZ83" i="128"/>
  <c r="BY83" i="128"/>
  <c r="BX83" i="128"/>
  <c r="BW83" i="128"/>
  <c r="BV83" i="128"/>
  <c r="BU83" i="128"/>
  <c r="BT83" i="128"/>
  <c r="BS83" i="128"/>
  <c r="BR83" i="128"/>
  <c r="BQ83" i="128"/>
  <c r="BP83" i="128"/>
  <c r="BO83" i="128"/>
  <c r="BN83" i="128"/>
  <c r="BM83" i="128"/>
  <c r="BL83" i="128"/>
  <c r="BK83" i="128"/>
  <c r="BJ83" i="128"/>
  <c r="BI83" i="128"/>
  <c r="BH83" i="128"/>
  <c r="BG83" i="128"/>
  <c r="BF83" i="128"/>
  <c r="BE83" i="128"/>
  <c r="BD83" i="128"/>
  <c r="BC83" i="128"/>
  <c r="BB83" i="128"/>
  <c r="AZ83" i="128"/>
  <c r="AY83" i="128"/>
  <c r="AX83" i="128"/>
  <c r="AW83" i="128"/>
  <c r="AV83" i="128"/>
  <c r="AU83" i="128"/>
  <c r="AT83" i="128"/>
  <c r="AS83" i="128"/>
  <c r="AR83" i="128"/>
  <c r="AQ83" i="128"/>
  <c r="AP83" i="128"/>
  <c r="AO83" i="128"/>
  <c r="AN83" i="128"/>
  <c r="AM83" i="128"/>
  <c r="AL83" i="128"/>
  <c r="AK83" i="128"/>
  <c r="AJ83" i="128"/>
  <c r="AI83" i="128"/>
  <c r="AH83" i="128"/>
  <c r="AF83" i="128"/>
  <c r="AD83" i="128"/>
  <c r="AC83" i="128"/>
  <c r="AB83" i="128"/>
  <c r="AA83" i="128"/>
  <c r="Z83" i="128"/>
  <c r="Y83" i="128"/>
  <c r="X83" i="128"/>
  <c r="W83" i="128"/>
  <c r="V83" i="128"/>
  <c r="U83" i="128"/>
  <c r="T83" i="128"/>
  <c r="S83" i="128"/>
  <c r="M82" i="128"/>
  <c r="P82" i="128" s="1"/>
  <c r="M81" i="128"/>
  <c r="CT80" i="128"/>
  <c r="CS80" i="128"/>
  <c r="CR80" i="128"/>
  <c r="CQ80" i="128"/>
  <c r="CP80" i="128"/>
  <c r="CO80" i="128"/>
  <c r="CN80" i="128"/>
  <c r="CM80" i="128"/>
  <c r="CL80" i="128"/>
  <c r="CK80" i="128"/>
  <c r="CJ80" i="128"/>
  <c r="CI80" i="128"/>
  <c r="CH80" i="128"/>
  <c r="CG80" i="128"/>
  <c r="CF80" i="128"/>
  <c r="CE80" i="128"/>
  <c r="CD80" i="128"/>
  <c r="CC80" i="128"/>
  <c r="CB80" i="128"/>
  <c r="CA80" i="128"/>
  <c r="BZ80" i="128"/>
  <c r="BY80" i="128"/>
  <c r="BX80" i="128"/>
  <c r="BW80" i="128"/>
  <c r="BV80" i="128"/>
  <c r="BU80" i="128"/>
  <c r="BT80" i="128"/>
  <c r="BS80" i="128"/>
  <c r="BR80" i="128"/>
  <c r="BQ80" i="128"/>
  <c r="BP80" i="128"/>
  <c r="BO80" i="128"/>
  <c r="BN80" i="128"/>
  <c r="BM80" i="128"/>
  <c r="BL80" i="128"/>
  <c r="BK80" i="128"/>
  <c r="BJ80" i="128"/>
  <c r="BI80" i="128"/>
  <c r="BH80" i="128"/>
  <c r="BG80" i="128"/>
  <c r="BF80" i="128"/>
  <c r="BE80" i="128"/>
  <c r="BD80" i="128"/>
  <c r="BC80" i="128"/>
  <c r="BB80" i="128"/>
  <c r="AZ80" i="128"/>
  <c r="AY80" i="128"/>
  <c r="AX80" i="128"/>
  <c r="AW80" i="128"/>
  <c r="AV80" i="128"/>
  <c r="AU80" i="128"/>
  <c r="AT80" i="128"/>
  <c r="AS80" i="128"/>
  <c r="AR80" i="128"/>
  <c r="AQ80" i="128"/>
  <c r="AP80" i="128"/>
  <c r="AO80" i="128"/>
  <c r="AN80" i="128"/>
  <c r="AM80" i="128"/>
  <c r="AL80" i="128"/>
  <c r="AK80" i="128"/>
  <c r="AJ80" i="128"/>
  <c r="AI80" i="128"/>
  <c r="AH80" i="128"/>
  <c r="AF80" i="128"/>
  <c r="AD80" i="128"/>
  <c r="AC80" i="128"/>
  <c r="AB80" i="128"/>
  <c r="AA80" i="128"/>
  <c r="Z80" i="128"/>
  <c r="Y80" i="128"/>
  <c r="X80" i="128"/>
  <c r="W80" i="128"/>
  <c r="V80" i="128"/>
  <c r="U80" i="128"/>
  <c r="T80" i="128"/>
  <c r="S80" i="128"/>
  <c r="M79" i="128"/>
  <c r="M78" i="128"/>
  <c r="M77" i="128"/>
  <c r="M76" i="128"/>
  <c r="P76" i="128" s="1"/>
  <c r="M75" i="128"/>
  <c r="M74" i="128"/>
  <c r="M73" i="128"/>
  <c r="M72" i="128"/>
  <c r="P72" i="128" s="1"/>
  <c r="M71" i="128"/>
  <c r="M70" i="128"/>
  <c r="P70" i="128" s="1"/>
  <c r="CT69" i="128"/>
  <c r="CS69" i="128"/>
  <c r="CR69" i="128"/>
  <c r="CQ69" i="128"/>
  <c r="CP69" i="128"/>
  <c r="CO69" i="128"/>
  <c r="CN69" i="128"/>
  <c r="CM69" i="128"/>
  <c r="CL69" i="128"/>
  <c r="CK69" i="128"/>
  <c r="CJ69" i="128"/>
  <c r="CI69" i="128"/>
  <c r="CH69" i="128"/>
  <c r="CG69" i="128"/>
  <c r="CF69" i="128"/>
  <c r="CE69" i="128"/>
  <c r="CD69" i="128"/>
  <c r="CC69" i="128"/>
  <c r="CB69" i="128"/>
  <c r="CA69" i="128"/>
  <c r="BZ69" i="128"/>
  <c r="BY69" i="128"/>
  <c r="BX69" i="128"/>
  <c r="BW69" i="128"/>
  <c r="BV69" i="128"/>
  <c r="BU69" i="128"/>
  <c r="BT69" i="128"/>
  <c r="BS69" i="128"/>
  <c r="BR69" i="128"/>
  <c r="BQ69" i="128"/>
  <c r="BP69" i="128"/>
  <c r="BO69" i="128"/>
  <c r="BN69" i="128"/>
  <c r="BM69" i="128"/>
  <c r="BL69" i="128"/>
  <c r="BK69" i="128"/>
  <c r="BJ69" i="128"/>
  <c r="BI69" i="128"/>
  <c r="BH69" i="128"/>
  <c r="BG69" i="128"/>
  <c r="BF69" i="128"/>
  <c r="BE69" i="128"/>
  <c r="BD69" i="128"/>
  <c r="BC69" i="128"/>
  <c r="BB69" i="128"/>
  <c r="AZ69" i="128"/>
  <c r="AY69" i="128"/>
  <c r="AX69" i="128"/>
  <c r="AW69" i="128"/>
  <c r="AV69" i="128"/>
  <c r="AU69" i="128"/>
  <c r="AT69" i="128"/>
  <c r="AS69" i="128"/>
  <c r="AR69" i="128"/>
  <c r="AQ69" i="128"/>
  <c r="AP69" i="128"/>
  <c r="AO69" i="128"/>
  <c r="AN69" i="128"/>
  <c r="AM69" i="128"/>
  <c r="AL69" i="128"/>
  <c r="AK69" i="128"/>
  <c r="AJ69" i="128"/>
  <c r="AI69" i="128"/>
  <c r="AH69" i="128"/>
  <c r="AF69" i="128"/>
  <c r="AD69" i="128"/>
  <c r="AC69" i="128"/>
  <c r="AB69" i="128"/>
  <c r="AA69" i="128"/>
  <c r="Z69" i="128"/>
  <c r="Y69" i="128"/>
  <c r="X69" i="128"/>
  <c r="W69" i="128"/>
  <c r="V69" i="128"/>
  <c r="U69" i="128"/>
  <c r="T69" i="128"/>
  <c r="S69" i="128"/>
  <c r="M68" i="128"/>
  <c r="P68" i="128" s="1"/>
  <c r="CT67" i="128"/>
  <c r="CS67" i="128"/>
  <c r="CR67" i="128"/>
  <c r="CQ67" i="128"/>
  <c r="CP67" i="128"/>
  <c r="CO67" i="128"/>
  <c r="CN67" i="128"/>
  <c r="CM67" i="128"/>
  <c r="CL67" i="128"/>
  <c r="CK67" i="128"/>
  <c r="CJ67" i="128"/>
  <c r="CI67" i="128"/>
  <c r="CH67" i="128"/>
  <c r="CG67" i="128"/>
  <c r="CF67" i="128"/>
  <c r="CE67" i="128"/>
  <c r="CD67" i="128"/>
  <c r="CC67" i="128"/>
  <c r="CB67" i="128"/>
  <c r="CA67" i="128"/>
  <c r="BZ67" i="128"/>
  <c r="BY67" i="128"/>
  <c r="BX67" i="128"/>
  <c r="BW67" i="128"/>
  <c r="BV67" i="128"/>
  <c r="BU67" i="128"/>
  <c r="BT67" i="128"/>
  <c r="BS67" i="128"/>
  <c r="BR67" i="128"/>
  <c r="BQ67" i="128"/>
  <c r="BP67" i="128"/>
  <c r="BO67" i="128"/>
  <c r="BN67" i="128"/>
  <c r="BM67" i="128"/>
  <c r="BL67" i="128"/>
  <c r="BK67" i="128"/>
  <c r="BJ67" i="128"/>
  <c r="BI67" i="128"/>
  <c r="BH67" i="128"/>
  <c r="BG67" i="128"/>
  <c r="BF67" i="128"/>
  <c r="BE67" i="128"/>
  <c r="BD67" i="128"/>
  <c r="BC67" i="128"/>
  <c r="BB67" i="128"/>
  <c r="AZ67" i="128"/>
  <c r="AY67" i="128"/>
  <c r="AX67" i="128"/>
  <c r="AW67" i="128"/>
  <c r="AV67" i="128"/>
  <c r="AU67" i="128"/>
  <c r="AT67" i="128"/>
  <c r="AS67" i="128"/>
  <c r="AR67" i="128"/>
  <c r="AQ67" i="128"/>
  <c r="AP67" i="128"/>
  <c r="AO67" i="128"/>
  <c r="AN67" i="128"/>
  <c r="AM67" i="128"/>
  <c r="AL67" i="128"/>
  <c r="AK67" i="128"/>
  <c r="AJ67" i="128"/>
  <c r="AI67" i="128"/>
  <c r="AH67" i="128"/>
  <c r="AF67" i="128"/>
  <c r="AD67" i="128"/>
  <c r="AC67" i="128"/>
  <c r="AB67" i="128"/>
  <c r="AA67" i="128"/>
  <c r="Z67" i="128"/>
  <c r="Y67" i="128"/>
  <c r="X67" i="128"/>
  <c r="V67" i="128"/>
  <c r="U67" i="128"/>
  <c r="T67" i="128"/>
  <c r="S67" i="128"/>
  <c r="M66" i="128"/>
  <c r="Q66" i="128" s="1"/>
  <c r="M65" i="128"/>
  <c r="P65" i="128" s="1"/>
  <c r="M64" i="128"/>
  <c r="Q64" i="128" s="1"/>
  <c r="M63" i="128"/>
  <c r="P63" i="128" s="1"/>
  <c r="M62" i="128"/>
  <c r="CT61" i="128"/>
  <c r="CS61" i="128"/>
  <c r="CR61" i="128"/>
  <c r="CQ61" i="128"/>
  <c r="CP61" i="128"/>
  <c r="CO61" i="128"/>
  <c r="CN61" i="128"/>
  <c r="CM61" i="128"/>
  <c r="CL61" i="128"/>
  <c r="CK61" i="128"/>
  <c r="CJ61" i="128"/>
  <c r="CI61" i="128"/>
  <c r="CH61" i="128"/>
  <c r="CG61" i="128"/>
  <c r="CF61" i="128"/>
  <c r="CE61" i="128"/>
  <c r="CD61" i="128"/>
  <c r="CC61" i="128"/>
  <c r="CB61" i="128"/>
  <c r="CA61" i="128"/>
  <c r="BZ61" i="128"/>
  <c r="BY61" i="128"/>
  <c r="BX61" i="128"/>
  <c r="BW61" i="128"/>
  <c r="BV61" i="128"/>
  <c r="BU61" i="128"/>
  <c r="BT61" i="128"/>
  <c r="BS61" i="128"/>
  <c r="BR61" i="128"/>
  <c r="BQ61" i="128"/>
  <c r="BP61" i="128"/>
  <c r="BO61" i="128"/>
  <c r="BN61" i="128"/>
  <c r="BM61" i="128"/>
  <c r="BL61" i="128"/>
  <c r="BK61" i="128"/>
  <c r="BJ61" i="128"/>
  <c r="BI61" i="128"/>
  <c r="BH61" i="128"/>
  <c r="BG61" i="128"/>
  <c r="BF61" i="128"/>
  <c r="BE61" i="128"/>
  <c r="BD61" i="128"/>
  <c r="BC61" i="128"/>
  <c r="BB61" i="128"/>
  <c r="AZ61" i="128"/>
  <c r="AY61" i="128"/>
  <c r="AX61" i="128"/>
  <c r="AW61" i="128"/>
  <c r="AV61" i="128"/>
  <c r="AU61" i="128"/>
  <c r="AT61" i="128"/>
  <c r="AS61" i="128"/>
  <c r="AR61" i="128"/>
  <c r="AQ61" i="128"/>
  <c r="AP61" i="128"/>
  <c r="AO61" i="128"/>
  <c r="AN61" i="128"/>
  <c r="AM61" i="128"/>
  <c r="AL61" i="128"/>
  <c r="AK61" i="128"/>
  <c r="AJ61" i="128"/>
  <c r="AH61" i="128"/>
  <c r="AF61" i="128"/>
  <c r="AD61" i="128"/>
  <c r="AC61" i="128"/>
  <c r="AB61" i="128"/>
  <c r="AA61" i="128"/>
  <c r="Z61" i="128"/>
  <c r="Y61" i="128"/>
  <c r="X61" i="128"/>
  <c r="W61" i="128"/>
  <c r="V61" i="128"/>
  <c r="U61" i="128"/>
  <c r="T61" i="128"/>
  <c r="S61" i="128"/>
  <c r="M60" i="128"/>
  <c r="P60" i="128" s="1"/>
  <c r="CT59" i="128"/>
  <c r="CS59" i="128"/>
  <c r="CR59" i="128"/>
  <c r="CQ59" i="128"/>
  <c r="CP59" i="128"/>
  <c r="CO59" i="128"/>
  <c r="CN59" i="128"/>
  <c r="CM59" i="128"/>
  <c r="CL59" i="128"/>
  <c r="CK59" i="128"/>
  <c r="CJ59" i="128"/>
  <c r="CI59" i="128"/>
  <c r="CH59" i="128"/>
  <c r="CG59" i="128"/>
  <c r="CF59" i="128"/>
  <c r="CE59" i="128"/>
  <c r="CD59" i="128"/>
  <c r="CC59" i="128"/>
  <c r="CB59" i="128"/>
  <c r="CA59" i="128"/>
  <c r="BZ59" i="128"/>
  <c r="BY59" i="128"/>
  <c r="BX59" i="128"/>
  <c r="BW59" i="128"/>
  <c r="BV59" i="128"/>
  <c r="BU59" i="128"/>
  <c r="BT59" i="128"/>
  <c r="BS59" i="128"/>
  <c r="BR59" i="128"/>
  <c r="BQ59" i="128"/>
  <c r="BP59" i="128"/>
  <c r="BN59" i="128"/>
  <c r="BM59" i="128"/>
  <c r="BL59" i="128"/>
  <c r="BK59" i="128"/>
  <c r="BJ59" i="128"/>
  <c r="BI59" i="128"/>
  <c r="BH59" i="128"/>
  <c r="BG59" i="128"/>
  <c r="BF59" i="128"/>
  <c r="BE59" i="128"/>
  <c r="BD59" i="128"/>
  <c r="BC59" i="128"/>
  <c r="BB59" i="128"/>
  <c r="AZ59" i="128"/>
  <c r="AY59" i="128"/>
  <c r="AX59" i="128"/>
  <c r="AW59" i="128"/>
  <c r="AV59" i="128"/>
  <c r="AU59" i="128"/>
  <c r="AT59" i="128"/>
  <c r="AS59" i="128"/>
  <c r="AR59" i="128"/>
  <c r="AQ59" i="128"/>
  <c r="AP59" i="128"/>
  <c r="AO59" i="128"/>
  <c r="AN59" i="128"/>
  <c r="AM59" i="128"/>
  <c r="AL59" i="128"/>
  <c r="AK59" i="128"/>
  <c r="AJ59" i="128"/>
  <c r="AI59" i="128"/>
  <c r="AH59" i="128"/>
  <c r="AF59" i="128"/>
  <c r="AD59" i="128"/>
  <c r="AC59" i="128"/>
  <c r="AB59" i="128"/>
  <c r="AA59" i="128"/>
  <c r="Z59" i="128"/>
  <c r="Y59" i="128"/>
  <c r="X59" i="128"/>
  <c r="W59" i="128"/>
  <c r="V59" i="128"/>
  <c r="U59" i="128"/>
  <c r="T59" i="128"/>
  <c r="S59" i="128"/>
  <c r="Q59" i="128"/>
  <c r="P59" i="128"/>
  <c r="M58" i="128"/>
  <c r="BO58" i="128" s="1"/>
  <c r="CT57" i="128"/>
  <c r="CS57" i="128"/>
  <c r="CR57" i="128"/>
  <c r="CQ57" i="128"/>
  <c r="CP57" i="128"/>
  <c r="CO57" i="128"/>
  <c r="CN57" i="128"/>
  <c r="CM57" i="128"/>
  <c r="CL57" i="128"/>
  <c r="CK57" i="128"/>
  <c r="CJ57" i="128"/>
  <c r="CI57" i="128"/>
  <c r="CH57" i="128"/>
  <c r="CG57" i="128"/>
  <c r="CF57" i="128"/>
  <c r="CE57" i="128"/>
  <c r="CD57" i="128"/>
  <c r="CC57" i="128"/>
  <c r="CB57" i="128"/>
  <c r="CA57" i="128"/>
  <c r="BZ57" i="128"/>
  <c r="BY57" i="128"/>
  <c r="BX57" i="128"/>
  <c r="BW57" i="128"/>
  <c r="BV57" i="128"/>
  <c r="BU57" i="128"/>
  <c r="BT57" i="128"/>
  <c r="BR57" i="128"/>
  <c r="BQ57" i="128"/>
  <c r="BP57" i="128"/>
  <c r="BO57" i="128"/>
  <c r="BN57" i="128"/>
  <c r="BM57" i="128"/>
  <c r="BL57" i="128"/>
  <c r="BK57" i="128"/>
  <c r="BJ57" i="128"/>
  <c r="BI57" i="128"/>
  <c r="BH57" i="128"/>
  <c r="BG57" i="128"/>
  <c r="BF57" i="128"/>
  <c r="BE57" i="128"/>
  <c r="BD57" i="128"/>
  <c r="BC57" i="128"/>
  <c r="BB57" i="128"/>
  <c r="AZ57" i="128"/>
  <c r="AY57" i="128"/>
  <c r="AX57" i="128"/>
  <c r="AW57" i="128"/>
  <c r="AV57" i="128"/>
  <c r="AU57" i="128"/>
  <c r="AT57" i="128"/>
  <c r="AS57" i="128"/>
  <c r="AR57" i="128"/>
  <c r="AQ57" i="128"/>
  <c r="AP57" i="128"/>
  <c r="AO57" i="128"/>
  <c r="AN57" i="128"/>
  <c r="AM57" i="128"/>
  <c r="AL57" i="128"/>
  <c r="AK57" i="128"/>
  <c r="AJ57" i="128"/>
  <c r="AI57" i="128"/>
  <c r="AH57" i="128"/>
  <c r="AF57" i="128"/>
  <c r="AD57" i="128"/>
  <c r="AC57" i="128"/>
  <c r="AB57" i="128"/>
  <c r="AA57" i="128"/>
  <c r="Z57" i="128"/>
  <c r="Y57" i="128"/>
  <c r="X57" i="128"/>
  <c r="W57" i="128"/>
  <c r="V57" i="128"/>
  <c r="U57" i="128"/>
  <c r="T57" i="128"/>
  <c r="S57" i="128"/>
  <c r="R57" i="128"/>
  <c r="M56" i="128"/>
  <c r="M57" i="128" s="1"/>
  <c r="CT55" i="128"/>
  <c r="CS55" i="128"/>
  <c r="CR55" i="128"/>
  <c r="CQ55" i="128"/>
  <c r="CP55" i="128"/>
  <c r="CO55" i="128"/>
  <c r="CN55" i="128"/>
  <c r="CM55" i="128"/>
  <c r="CL55" i="128"/>
  <c r="CK55" i="128"/>
  <c r="CJ55" i="128"/>
  <c r="CI55" i="128"/>
  <c r="CH55" i="128"/>
  <c r="CG55" i="128"/>
  <c r="CF55" i="128"/>
  <c r="CE55" i="128"/>
  <c r="CD55" i="128"/>
  <c r="CC55" i="128"/>
  <c r="CB55" i="128"/>
  <c r="CA55" i="128"/>
  <c r="BZ55" i="128"/>
  <c r="BY55" i="128"/>
  <c r="BX55" i="128"/>
  <c r="BW55" i="128"/>
  <c r="BV55" i="128"/>
  <c r="BU55" i="128"/>
  <c r="BT55" i="128"/>
  <c r="BR55" i="128"/>
  <c r="BQ55" i="128"/>
  <c r="BP55" i="128"/>
  <c r="BO55" i="128"/>
  <c r="BN55" i="128"/>
  <c r="BM55" i="128"/>
  <c r="BL55" i="128"/>
  <c r="BK55" i="128"/>
  <c r="BJ55" i="128"/>
  <c r="BI55" i="128"/>
  <c r="BH55" i="128"/>
  <c r="BG55" i="128"/>
  <c r="BF55" i="128"/>
  <c r="BE55" i="128"/>
  <c r="BD55" i="128"/>
  <c r="BC55" i="128"/>
  <c r="BB55" i="128"/>
  <c r="AZ55" i="128"/>
  <c r="AY55" i="128"/>
  <c r="AX55" i="128"/>
  <c r="AW55" i="128"/>
  <c r="AV55" i="128"/>
  <c r="AU55" i="128"/>
  <c r="AT55" i="128"/>
  <c r="AS55" i="128"/>
  <c r="AR55" i="128"/>
  <c r="AQ55" i="128"/>
  <c r="AP55" i="128"/>
  <c r="AO55" i="128"/>
  <c r="AN55" i="128"/>
  <c r="AM55" i="128"/>
  <c r="AL55" i="128"/>
  <c r="AK55" i="128"/>
  <c r="AJ55" i="128"/>
  <c r="AI55" i="128"/>
  <c r="AH55" i="128"/>
  <c r="AF55" i="128"/>
  <c r="AD55" i="128"/>
  <c r="AC55" i="128"/>
  <c r="AB55" i="128"/>
  <c r="AA55" i="128"/>
  <c r="Z55" i="128"/>
  <c r="Y55" i="128"/>
  <c r="X55" i="128"/>
  <c r="W55" i="128"/>
  <c r="V55" i="128"/>
  <c r="U55" i="128"/>
  <c r="T55" i="128"/>
  <c r="S55" i="128"/>
  <c r="R55" i="128"/>
  <c r="M54" i="128"/>
  <c r="Q54" i="128" s="1"/>
  <c r="CT53" i="128"/>
  <c r="CS53" i="128"/>
  <c r="CR53" i="128"/>
  <c r="CQ53" i="128"/>
  <c r="CP53" i="128"/>
  <c r="CO53" i="128"/>
  <c r="CN53" i="128"/>
  <c r="CM53" i="128"/>
  <c r="CL53" i="128"/>
  <c r="CK53" i="128"/>
  <c r="CJ53" i="128"/>
  <c r="CI53" i="128"/>
  <c r="CH53" i="128"/>
  <c r="CG53" i="128"/>
  <c r="CF53" i="128"/>
  <c r="CE53" i="128"/>
  <c r="CD53" i="128"/>
  <c r="CC53" i="128"/>
  <c r="CB53" i="128"/>
  <c r="CA53" i="128"/>
  <c r="BZ53" i="128"/>
  <c r="BY53" i="128"/>
  <c r="BX53" i="128"/>
  <c r="BW53" i="128"/>
  <c r="BV53" i="128"/>
  <c r="BU53" i="128"/>
  <c r="BT53" i="128"/>
  <c r="BR53" i="128"/>
  <c r="BQ53" i="128"/>
  <c r="BP53" i="128"/>
  <c r="BO53" i="128"/>
  <c r="BN53" i="128"/>
  <c r="BM53" i="128"/>
  <c r="BL53" i="128"/>
  <c r="BK53" i="128"/>
  <c r="BJ53" i="128"/>
  <c r="BI53" i="128"/>
  <c r="BH53" i="128"/>
  <c r="BG53" i="128"/>
  <c r="BF53" i="128"/>
  <c r="BE53" i="128"/>
  <c r="BD53" i="128"/>
  <c r="BC53" i="128"/>
  <c r="BB53" i="128"/>
  <c r="AZ53" i="128"/>
  <c r="AY53" i="128"/>
  <c r="AX53" i="128"/>
  <c r="AW53" i="128"/>
  <c r="AV53" i="128"/>
  <c r="AU53" i="128"/>
  <c r="AT53" i="128"/>
  <c r="AS53" i="128"/>
  <c r="AR53" i="128"/>
  <c r="AQ53" i="128"/>
  <c r="AP53" i="128"/>
  <c r="AO53" i="128"/>
  <c r="AN53" i="128"/>
  <c r="AM53" i="128"/>
  <c r="AL53" i="128"/>
  <c r="AK53" i="128"/>
  <c r="AJ53" i="128"/>
  <c r="AI53" i="128"/>
  <c r="AH53" i="128"/>
  <c r="AF53" i="128"/>
  <c r="AD53" i="128"/>
  <c r="AC53" i="128"/>
  <c r="AB53" i="128"/>
  <c r="AA53" i="128"/>
  <c r="Z53" i="128"/>
  <c r="Y53" i="128"/>
  <c r="X53" i="128"/>
  <c r="W53" i="128"/>
  <c r="V53" i="128"/>
  <c r="U53" i="128"/>
  <c r="T53" i="128"/>
  <c r="S53" i="128"/>
  <c r="R53" i="128"/>
  <c r="M52" i="128"/>
  <c r="M53" i="128" s="1"/>
  <c r="CT51" i="128"/>
  <c r="CS51" i="128"/>
  <c r="CR51" i="128"/>
  <c r="CQ51" i="128"/>
  <c r="CP51" i="128"/>
  <c r="CO51" i="128"/>
  <c r="CN51" i="128"/>
  <c r="CM51" i="128"/>
  <c r="CL51" i="128"/>
  <c r="CK51" i="128"/>
  <c r="CJ51" i="128"/>
  <c r="CI51" i="128"/>
  <c r="CH51" i="128"/>
  <c r="CG51" i="128"/>
  <c r="CF51" i="128"/>
  <c r="CE51" i="128"/>
  <c r="CD51" i="128"/>
  <c r="CC51" i="128"/>
  <c r="CB51" i="128"/>
  <c r="CA51" i="128"/>
  <c r="BZ51" i="128"/>
  <c r="BY51" i="128"/>
  <c r="BX51" i="128"/>
  <c r="BW51" i="128"/>
  <c r="BV51" i="128"/>
  <c r="BU51" i="128"/>
  <c r="BT51" i="128"/>
  <c r="BR51" i="128"/>
  <c r="BQ51" i="128"/>
  <c r="BP51" i="128"/>
  <c r="BO51" i="128"/>
  <c r="BN51" i="128"/>
  <c r="BM51" i="128"/>
  <c r="BL51" i="128"/>
  <c r="BK51" i="128"/>
  <c r="BJ51" i="128"/>
  <c r="BI51" i="128"/>
  <c r="BH51" i="128"/>
  <c r="BG51" i="128"/>
  <c r="BF51" i="128"/>
  <c r="BE51" i="128"/>
  <c r="BD51" i="128"/>
  <c r="BC51" i="128"/>
  <c r="BB51" i="128"/>
  <c r="AZ51" i="128"/>
  <c r="AY51" i="128"/>
  <c r="AX51" i="128"/>
  <c r="AW51" i="128"/>
  <c r="AV51" i="128"/>
  <c r="AU51" i="128"/>
  <c r="AT51" i="128"/>
  <c r="AS51" i="128"/>
  <c r="AR51" i="128"/>
  <c r="AQ51" i="128"/>
  <c r="AP51" i="128"/>
  <c r="AO51" i="128"/>
  <c r="AN51" i="128"/>
  <c r="AM51" i="128"/>
  <c r="AL51" i="128"/>
  <c r="AK51" i="128"/>
  <c r="AJ51" i="128"/>
  <c r="AI51" i="128"/>
  <c r="AH51" i="128"/>
  <c r="AF51" i="128"/>
  <c r="AD51" i="128"/>
  <c r="AC51" i="128"/>
  <c r="AB51" i="128"/>
  <c r="AA51" i="128"/>
  <c r="Z51" i="128"/>
  <c r="Y51" i="128"/>
  <c r="X51" i="128"/>
  <c r="W51" i="128"/>
  <c r="V51" i="128"/>
  <c r="U51" i="128"/>
  <c r="T51" i="128"/>
  <c r="S51" i="128"/>
  <c r="R51" i="128"/>
  <c r="M50" i="128"/>
  <c r="M51" i="128" s="1"/>
  <c r="CT49" i="128"/>
  <c r="CS49" i="128"/>
  <c r="CR49" i="128"/>
  <c r="CQ49" i="128"/>
  <c r="CP49" i="128"/>
  <c r="CO49" i="128"/>
  <c r="CN49" i="128"/>
  <c r="CM49" i="128"/>
  <c r="CL49" i="128"/>
  <c r="CK49" i="128"/>
  <c r="CJ49" i="128"/>
  <c r="CI49" i="128"/>
  <c r="CH49" i="128"/>
  <c r="CG49" i="128"/>
  <c r="CF49" i="128"/>
  <c r="CE49" i="128"/>
  <c r="CD49" i="128"/>
  <c r="CC49" i="128"/>
  <c r="CB49" i="128"/>
  <c r="CA49" i="128"/>
  <c r="BZ49" i="128"/>
  <c r="BY49" i="128"/>
  <c r="BX49" i="128"/>
  <c r="BW49" i="128"/>
  <c r="BV49" i="128"/>
  <c r="BU49" i="128"/>
  <c r="BT49" i="128"/>
  <c r="BR49" i="128"/>
  <c r="BQ49" i="128"/>
  <c r="BP49" i="128"/>
  <c r="BO49" i="128"/>
  <c r="BN49" i="128"/>
  <c r="BM49" i="128"/>
  <c r="BL49" i="128"/>
  <c r="BK49" i="128"/>
  <c r="BJ49" i="128"/>
  <c r="BI49" i="128"/>
  <c r="BH49" i="128"/>
  <c r="BG49" i="128"/>
  <c r="BF49" i="128"/>
  <c r="BE49" i="128"/>
  <c r="BD49" i="128"/>
  <c r="BC49" i="128"/>
  <c r="BB49" i="128"/>
  <c r="AZ49" i="128"/>
  <c r="AY49" i="128"/>
  <c r="AX49" i="128"/>
  <c r="AW49" i="128"/>
  <c r="AV49" i="128"/>
  <c r="AU49" i="128"/>
  <c r="AT49" i="128"/>
  <c r="AS49" i="128"/>
  <c r="AR49" i="128"/>
  <c r="AQ49" i="128"/>
  <c r="AP49" i="128"/>
  <c r="AO49" i="128"/>
  <c r="AN49" i="128"/>
  <c r="AM49" i="128"/>
  <c r="AL49" i="128"/>
  <c r="AK49" i="128"/>
  <c r="AJ49" i="128"/>
  <c r="AI49" i="128"/>
  <c r="AH49" i="128"/>
  <c r="AF49" i="128"/>
  <c r="AD49" i="128"/>
  <c r="AC49" i="128"/>
  <c r="AB49" i="128"/>
  <c r="AA49" i="128"/>
  <c r="Z49" i="128"/>
  <c r="Y49" i="128"/>
  <c r="X49" i="128"/>
  <c r="W49" i="128"/>
  <c r="V49" i="128"/>
  <c r="U49" i="128"/>
  <c r="T49" i="128"/>
  <c r="S49" i="128"/>
  <c r="R49" i="128"/>
  <c r="M48" i="128"/>
  <c r="CT47" i="128"/>
  <c r="CS47" i="128"/>
  <c r="CR47" i="128"/>
  <c r="CQ47" i="128"/>
  <c r="CP47" i="128"/>
  <c r="CO47" i="128"/>
  <c r="CN47" i="128"/>
  <c r="CM47" i="128"/>
  <c r="CL47" i="128"/>
  <c r="CK47" i="128"/>
  <c r="CJ47" i="128"/>
  <c r="CI47" i="128"/>
  <c r="CH47" i="128"/>
  <c r="CG47" i="128"/>
  <c r="CF47" i="128"/>
  <c r="CE47" i="128"/>
  <c r="CD47" i="128"/>
  <c r="CC47" i="128"/>
  <c r="CB47" i="128"/>
  <c r="CA47" i="128"/>
  <c r="BZ47" i="128"/>
  <c r="BY47" i="128"/>
  <c r="BX47" i="128"/>
  <c r="BW47" i="128"/>
  <c r="BV47" i="128"/>
  <c r="BU47" i="128"/>
  <c r="BT47" i="128"/>
  <c r="BS47" i="128"/>
  <c r="BR47" i="128"/>
  <c r="BQ47" i="128"/>
  <c r="BP47" i="128"/>
  <c r="BO47" i="128"/>
  <c r="BN47" i="128"/>
  <c r="BM47" i="128"/>
  <c r="BL47" i="128"/>
  <c r="BK47" i="128"/>
  <c r="BJ47" i="128"/>
  <c r="BI47" i="128"/>
  <c r="BH47" i="128"/>
  <c r="BG47" i="128"/>
  <c r="BF47" i="128"/>
  <c r="BE47" i="128"/>
  <c r="BD47" i="128"/>
  <c r="BB47" i="128"/>
  <c r="AZ47" i="128"/>
  <c r="AY47" i="128"/>
  <c r="AX47" i="128"/>
  <c r="AW47" i="128"/>
  <c r="AV47" i="128"/>
  <c r="AU47" i="128"/>
  <c r="AT47" i="128"/>
  <c r="AS47" i="128"/>
  <c r="AR47" i="128"/>
  <c r="AQ47" i="128"/>
  <c r="AP47" i="128"/>
  <c r="AO47" i="128"/>
  <c r="AN47" i="128"/>
  <c r="AM47" i="128"/>
  <c r="AL47" i="128"/>
  <c r="AK47" i="128"/>
  <c r="AJ47" i="128"/>
  <c r="AI47" i="128"/>
  <c r="AH47" i="128"/>
  <c r="AF47" i="128"/>
  <c r="AD47" i="128"/>
  <c r="AC47" i="128"/>
  <c r="AB47" i="128"/>
  <c r="AA47" i="128"/>
  <c r="Z47" i="128"/>
  <c r="Y47" i="128"/>
  <c r="X47" i="128"/>
  <c r="W47" i="128"/>
  <c r="V47" i="128"/>
  <c r="U47" i="128"/>
  <c r="T47" i="128"/>
  <c r="S47" i="128"/>
  <c r="Q47" i="128"/>
  <c r="P47" i="128"/>
  <c r="M46" i="128"/>
  <c r="M47" i="128" s="1"/>
  <c r="CT45" i="128"/>
  <c r="CS45" i="128"/>
  <c r="CR45" i="128"/>
  <c r="CQ45" i="128"/>
  <c r="CP45" i="128"/>
  <c r="CO45" i="128"/>
  <c r="CN45" i="128"/>
  <c r="CM45" i="128"/>
  <c r="CL45" i="128"/>
  <c r="CK45" i="128"/>
  <c r="CJ45" i="128"/>
  <c r="CI45" i="128"/>
  <c r="CH45" i="128"/>
  <c r="CG45" i="128"/>
  <c r="CF45" i="128"/>
  <c r="CE45" i="128"/>
  <c r="CD45" i="128"/>
  <c r="CC45" i="128"/>
  <c r="CB45" i="128"/>
  <c r="CA45" i="128"/>
  <c r="BZ45" i="128"/>
  <c r="BY45" i="128"/>
  <c r="BX45" i="128"/>
  <c r="BW45" i="128"/>
  <c r="BV45" i="128"/>
  <c r="BU45" i="128"/>
  <c r="BT45" i="128"/>
  <c r="BS45" i="128"/>
  <c r="BR45" i="128"/>
  <c r="BQ45" i="128"/>
  <c r="BP45" i="128"/>
  <c r="BO45" i="128"/>
  <c r="BN45" i="128"/>
  <c r="BM45" i="128"/>
  <c r="BL45" i="128"/>
  <c r="BK45" i="128"/>
  <c r="BJ45" i="128"/>
  <c r="BI45" i="128"/>
  <c r="BH45" i="128"/>
  <c r="BG45" i="128"/>
  <c r="BF45" i="128"/>
  <c r="BE45" i="128"/>
  <c r="BD45" i="128"/>
  <c r="BB45" i="128"/>
  <c r="AZ45" i="128"/>
  <c r="AY45" i="128"/>
  <c r="AX45" i="128"/>
  <c r="AW45" i="128"/>
  <c r="AV45" i="128"/>
  <c r="AU45" i="128"/>
  <c r="AT45" i="128"/>
  <c r="AS45" i="128"/>
  <c r="AR45" i="128"/>
  <c r="AQ45" i="128"/>
  <c r="AP45" i="128"/>
  <c r="AO45" i="128"/>
  <c r="AN45" i="128"/>
  <c r="AM45" i="128"/>
  <c r="AL45" i="128"/>
  <c r="AK45" i="128"/>
  <c r="AJ45" i="128"/>
  <c r="AI45" i="128"/>
  <c r="AH45" i="128"/>
  <c r="AF45" i="128"/>
  <c r="AD45" i="128"/>
  <c r="AC45" i="128"/>
  <c r="AB45" i="128"/>
  <c r="AA45" i="128"/>
  <c r="Z45" i="128"/>
  <c r="Y45" i="128"/>
  <c r="X45" i="128"/>
  <c r="W45" i="128"/>
  <c r="V45" i="128"/>
  <c r="U45" i="128"/>
  <c r="T45" i="128"/>
  <c r="S45" i="128"/>
  <c r="M44" i="128"/>
  <c r="BC44" i="128" s="1"/>
  <c r="BC45" i="128" s="1"/>
  <c r="CT43" i="128"/>
  <c r="CS43" i="128"/>
  <c r="CR43" i="128"/>
  <c r="CQ43" i="128"/>
  <c r="CP43" i="128"/>
  <c r="CO43" i="128"/>
  <c r="CN43" i="128"/>
  <c r="CM43" i="128"/>
  <c r="CL43" i="128"/>
  <c r="CK43" i="128"/>
  <c r="CJ43" i="128"/>
  <c r="CI43" i="128"/>
  <c r="CH43" i="128"/>
  <c r="CG43" i="128"/>
  <c r="CF43" i="128"/>
  <c r="CE43" i="128"/>
  <c r="CD43" i="128"/>
  <c r="CC43" i="128"/>
  <c r="CB43" i="128"/>
  <c r="CA43" i="128"/>
  <c r="BZ43" i="128"/>
  <c r="BY43" i="128"/>
  <c r="BX43" i="128"/>
  <c r="BW43" i="128"/>
  <c r="BV43" i="128"/>
  <c r="BU43" i="128"/>
  <c r="BT43" i="128"/>
  <c r="BS43" i="128"/>
  <c r="BR43" i="128"/>
  <c r="BQ43" i="128"/>
  <c r="BP43" i="128"/>
  <c r="BO43" i="128"/>
  <c r="BN43" i="128"/>
  <c r="BM43" i="128"/>
  <c r="BL43" i="128"/>
  <c r="BK43" i="128"/>
  <c r="BJ43" i="128"/>
  <c r="BI43" i="128"/>
  <c r="BH43" i="128"/>
  <c r="BG43" i="128"/>
  <c r="BF43" i="128"/>
  <c r="BE43" i="128"/>
  <c r="BD43" i="128"/>
  <c r="BC43" i="128"/>
  <c r="BB43" i="128"/>
  <c r="AZ43" i="128"/>
  <c r="AY43" i="128"/>
  <c r="AX43" i="128"/>
  <c r="AW43" i="128"/>
  <c r="AV43" i="128"/>
  <c r="AU43" i="128"/>
  <c r="AT43" i="128"/>
  <c r="AS43" i="128"/>
  <c r="AR43" i="128"/>
  <c r="AQ43" i="128"/>
  <c r="AP43" i="128"/>
  <c r="AO43" i="128"/>
  <c r="AN43" i="128"/>
  <c r="AM43" i="128"/>
  <c r="AL43" i="128"/>
  <c r="AK43" i="128"/>
  <c r="AJ43" i="128"/>
  <c r="AI43" i="128"/>
  <c r="AH43" i="128"/>
  <c r="AF43" i="128"/>
  <c r="AD43" i="128"/>
  <c r="AC43" i="128"/>
  <c r="AB43" i="128"/>
  <c r="AA43" i="128"/>
  <c r="Z43" i="128"/>
  <c r="Y43" i="128"/>
  <c r="X43" i="128"/>
  <c r="W43" i="128"/>
  <c r="V43" i="128"/>
  <c r="U43" i="128"/>
  <c r="T43" i="128"/>
  <c r="S43" i="128"/>
  <c r="M42" i="128"/>
  <c r="R42" i="128" s="1"/>
  <c r="CT41" i="128"/>
  <c r="CS41" i="128"/>
  <c r="CR41" i="128"/>
  <c r="CQ41" i="128"/>
  <c r="CP41" i="128"/>
  <c r="CO41" i="128"/>
  <c r="CN41" i="128"/>
  <c r="CM41" i="128"/>
  <c r="CL41" i="128"/>
  <c r="CK41" i="128"/>
  <c r="CJ41" i="128"/>
  <c r="CI41" i="128"/>
  <c r="CH41" i="128"/>
  <c r="CG41" i="128"/>
  <c r="CF41" i="128"/>
  <c r="CE41" i="128"/>
  <c r="CD41" i="128"/>
  <c r="CC41" i="128"/>
  <c r="CB41" i="128"/>
  <c r="CA41" i="128"/>
  <c r="BZ41" i="128"/>
  <c r="BY41" i="128"/>
  <c r="BX41" i="128"/>
  <c r="BW41" i="128"/>
  <c r="BV41" i="128"/>
  <c r="BU41" i="128"/>
  <c r="BT41" i="128"/>
  <c r="BS41" i="128"/>
  <c r="BR41" i="128"/>
  <c r="BQ41" i="128"/>
  <c r="BP41" i="128"/>
  <c r="BO41" i="128"/>
  <c r="BN41" i="128"/>
  <c r="BM41" i="128"/>
  <c r="BL41" i="128"/>
  <c r="BK41" i="128"/>
  <c r="BJ41" i="128"/>
  <c r="BI41" i="128"/>
  <c r="BH41" i="128"/>
  <c r="BG41" i="128"/>
  <c r="BF41" i="128"/>
  <c r="BE41" i="128"/>
  <c r="BD41" i="128"/>
  <c r="BC41" i="128"/>
  <c r="BB41" i="128"/>
  <c r="AZ41" i="128"/>
  <c r="AY41" i="128"/>
  <c r="AX41" i="128"/>
  <c r="AW41" i="128"/>
  <c r="AV41" i="128"/>
  <c r="AU41" i="128"/>
  <c r="AT41" i="128"/>
  <c r="AS41" i="128"/>
  <c r="AR41" i="128"/>
  <c r="AQ41" i="128"/>
  <c r="AP41" i="128"/>
  <c r="AO41" i="128"/>
  <c r="AN41" i="128"/>
  <c r="AM41" i="128"/>
  <c r="AL41" i="128"/>
  <c r="AK41" i="128"/>
  <c r="AJ41" i="128"/>
  <c r="AI41" i="128"/>
  <c r="AH41" i="128"/>
  <c r="AF41" i="128"/>
  <c r="AD41" i="128"/>
  <c r="AC41" i="128"/>
  <c r="AB41" i="128"/>
  <c r="AA41" i="128"/>
  <c r="Z41" i="128"/>
  <c r="Y41" i="128"/>
  <c r="X41" i="128"/>
  <c r="W41" i="128"/>
  <c r="V41" i="128"/>
  <c r="U41" i="128"/>
  <c r="T41" i="128"/>
  <c r="S41" i="128"/>
  <c r="M40" i="128"/>
  <c r="Q40" i="128" s="1"/>
  <c r="Q41" i="128" s="1"/>
  <c r="CT39" i="128"/>
  <c r="CS39" i="128"/>
  <c r="CR39" i="128"/>
  <c r="CQ39" i="128"/>
  <c r="CP39" i="128"/>
  <c r="CO39" i="128"/>
  <c r="CN39" i="128"/>
  <c r="CM39" i="128"/>
  <c r="CL39" i="128"/>
  <c r="CK39" i="128"/>
  <c r="CJ39" i="128"/>
  <c r="CI39" i="128"/>
  <c r="CH39" i="128"/>
  <c r="CG39" i="128"/>
  <c r="CF39" i="128"/>
  <c r="CE39" i="128"/>
  <c r="CD39" i="128"/>
  <c r="CC39" i="128"/>
  <c r="CB39" i="128"/>
  <c r="CA39" i="128"/>
  <c r="BZ39" i="128"/>
  <c r="BY39" i="128"/>
  <c r="BX39" i="128"/>
  <c r="BW39" i="128"/>
  <c r="BV39" i="128"/>
  <c r="BU39" i="128"/>
  <c r="BT39" i="128"/>
  <c r="BS39" i="128"/>
  <c r="BR39" i="128"/>
  <c r="BQ39" i="128"/>
  <c r="BP39" i="128"/>
  <c r="BO39" i="128"/>
  <c r="BN39" i="128"/>
  <c r="BM39" i="128"/>
  <c r="BL39" i="128"/>
  <c r="BK39" i="128"/>
  <c r="BJ39" i="128"/>
  <c r="BI39" i="128"/>
  <c r="BH39" i="128"/>
  <c r="BG39" i="128"/>
  <c r="BF39" i="128"/>
  <c r="BE39" i="128"/>
  <c r="BD39" i="128"/>
  <c r="BC39" i="128"/>
  <c r="BB39" i="128"/>
  <c r="AZ39" i="128"/>
  <c r="AY39" i="128"/>
  <c r="AX39" i="128"/>
  <c r="AW39" i="128"/>
  <c r="AV39" i="128"/>
  <c r="AU39" i="128"/>
  <c r="AT39" i="128"/>
  <c r="AS39" i="128"/>
  <c r="AR39" i="128"/>
  <c r="AQ39" i="128"/>
  <c r="AP39" i="128"/>
  <c r="AO39" i="128"/>
  <c r="AN39" i="128"/>
  <c r="AM39" i="128"/>
  <c r="AL39" i="128"/>
  <c r="AK39" i="128"/>
  <c r="AJ39" i="128"/>
  <c r="AI39" i="128"/>
  <c r="AH39" i="128"/>
  <c r="AF39" i="128"/>
  <c r="AD39" i="128"/>
  <c r="AC39" i="128"/>
  <c r="AB39" i="128"/>
  <c r="AA39" i="128"/>
  <c r="Z39" i="128"/>
  <c r="Y39" i="128"/>
  <c r="X39" i="128"/>
  <c r="W39" i="128"/>
  <c r="V39" i="128"/>
  <c r="U39" i="128"/>
  <c r="T39" i="128"/>
  <c r="M38" i="128"/>
  <c r="P38" i="128" s="1"/>
  <c r="R38" i="128" s="1"/>
  <c r="M37" i="128"/>
  <c r="P37" i="128" s="1"/>
  <c r="M36" i="128"/>
  <c r="M35" i="128"/>
  <c r="P35" i="128" s="1"/>
  <c r="M34" i="128"/>
  <c r="M33" i="128"/>
  <c r="P33" i="128" s="1"/>
  <c r="M32" i="128"/>
  <c r="P32" i="128" s="1"/>
  <c r="M31" i="128"/>
  <c r="CT30" i="128"/>
  <c r="CS30" i="128"/>
  <c r="CR30" i="128"/>
  <c r="CQ30" i="128"/>
  <c r="CP30" i="128"/>
  <c r="CO30" i="128"/>
  <c r="CN30" i="128"/>
  <c r="CM30" i="128"/>
  <c r="CL30" i="128"/>
  <c r="CK30" i="128"/>
  <c r="CJ30" i="128"/>
  <c r="CI30" i="128"/>
  <c r="CH30" i="128"/>
  <c r="CG30" i="128"/>
  <c r="CF30" i="128"/>
  <c r="CE30" i="128"/>
  <c r="CD30" i="128"/>
  <c r="CC30" i="128"/>
  <c r="CB30" i="128"/>
  <c r="CA30" i="128"/>
  <c r="BZ30" i="128"/>
  <c r="BY30" i="128"/>
  <c r="BX30" i="128"/>
  <c r="BW30" i="128"/>
  <c r="BV30" i="128"/>
  <c r="BU30" i="128"/>
  <c r="BT30" i="128"/>
  <c r="BS30" i="128"/>
  <c r="BR30" i="128"/>
  <c r="BQ30" i="128"/>
  <c r="BP30" i="128"/>
  <c r="BO30" i="128"/>
  <c r="BN30" i="128"/>
  <c r="BM30" i="128"/>
  <c r="BL30" i="128"/>
  <c r="BK30" i="128"/>
  <c r="BJ30" i="128"/>
  <c r="BI30" i="128"/>
  <c r="BH30" i="128"/>
  <c r="BG30" i="128"/>
  <c r="BF30" i="128"/>
  <c r="BE30" i="128"/>
  <c r="BD30" i="128"/>
  <c r="BC30" i="128"/>
  <c r="BB30" i="128"/>
  <c r="AZ30" i="128"/>
  <c r="AY30" i="128"/>
  <c r="AX30" i="128"/>
  <c r="AW30" i="128"/>
  <c r="AV30" i="128"/>
  <c r="AU30" i="128"/>
  <c r="AT30" i="128"/>
  <c r="AS30" i="128"/>
  <c r="AR30" i="128"/>
  <c r="AQ30" i="128"/>
  <c r="AP30" i="128"/>
  <c r="AO30" i="128"/>
  <c r="AN30" i="128"/>
  <c r="AM30" i="128"/>
  <c r="AL30" i="128"/>
  <c r="AK30" i="128"/>
  <c r="AJ30" i="128"/>
  <c r="AI30" i="128"/>
  <c r="AH30" i="128"/>
  <c r="AF30" i="128"/>
  <c r="AD30" i="128"/>
  <c r="AC30" i="128"/>
  <c r="AB30" i="128"/>
  <c r="AA30" i="128"/>
  <c r="Z30" i="128"/>
  <c r="Y30" i="128"/>
  <c r="X30" i="128"/>
  <c r="W30" i="128"/>
  <c r="V30" i="128"/>
  <c r="U30" i="128"/>
  <c r="T30" i="128"/>
  <c r="S30" i="128"/>
  <c r="M29" i="128"/>
  <c r="Q29" i="128" s="1"/>
  <c r="M28" i="128"/>
  <c r="M30" i="128" s="1"/>
  <c r="CT27" i="128"/>
  <c r="CS27" i="128"/>
  <c r="CR27" i="128"/>
  <c r="CQ27" i="128"/>
  <c r="CP27" i="128"/>
  <c r="CO27" i="128"/>
  <c r="CN27" i="128"/>
  <c r="CM27" i="128"/>
  <c r="CL27" i="128"/>
  <c r="CK27" i="128"/>
  <c r="CJ27" i="128"/>
  <c r="CI27" i="128"/>
  <c r="CH27" i="128"/>
  <c r="CG27" i="128"/>
  <c r="CF27" i="128"/>
  <c r="CE27" i="128"/>
  <c r="CD27" i="128"/>
  <c r="CC27" i="128"/>
  <c r="CB27" i="128"/>
  <c r="CA27" i="128"/>
  <c r="BZ27" i="128"/>
  <c r="BY27" i="128"/>
  <c r="BX27" i="128"/>
  <c r="BW27" i="128"/>
  <c r="BV27" i="128"/>
  <c r="BU27" i="128"/>
  <c r="BT27" i="128"/>
  <c r="BS27" i="128"/>
  <c r="BR27" i="128"/>
  <c r="BQ27" i="128"/>
  <c r="BP27" i="128"/>
  <c r="BO27" i="128"/>
  <c r="BN27" i="128"/>
  <c r="BM27" i="128"/>
  <c r="BL27" i="128"/>
  <c r="BK27" i="128"/>
  <c r="BJ27" i="128"/>
  <c r="BI27" i="128"/>
  <c r="BH27" i="128"/>
  <c r="BG27" i="128"/>
  <c r="BF27" i="128"/>
  <c r="BE27" i="128"/>
  <c r="BD27" i="128"/>
  <c r="BC27" i="128"/>
  <c r="BB27" i="128"/>
  <c r="AZ27" i="128"/>
  <c r="AY27" i="128"/>
  <c r="AX27" i="128"/>
  <c r="AW27" i="128"/>
  <c r="AV27" i="128"/>
  <c r="AU27" i="128"/>
  <c r="AT27" i="128"/>
  <c r="AS27" i="128"/>
  <c r="AR27" i="128"/>
  <c r="AQ27" i="128"/>
  <c r="AP27" i="128"/>
  <c r="AO27" i="128"/>
  <c r="AN27" i="128"/>
  <c r="AM27" i="128"/>
  <c r="AL27" i="128"/>
  <c r="AK27" i="128"/>
  <c r="AJ27" i="128"/>
  <c r="AI27" i="128"/>
  <c r="AH27" i="128"/>
  <c r="AF27" i="128"/>
  <c r="AD27" i="128"/>
  <c r="AC27" i="128"/>
  <c r="AB27" i="128"/>
  <c r="AA27" i="128"/>
  <c r="Z27" i="128"/>
  <c r="Y27" i="128"/>
  <c r="X27" i="128"/>
  <c r="W27" i="128"/>
  <c r="V27" i="128"/>
  <c r="U27" i="128"/>
  <c r="T27" i="128"/>
  <c r="S27" i="128"/>
  <c r="M26" i="128"/>
  <c r="P26" i="128" s="1"/>
  <c r="CT25" i="128"/>
  <c r="CS25" i="128"/>
  <c r="CR25" i="128"/>
  <c r="CQ25" i="128"/>
  <c r="CP25" i="128"/>
  <c r="CO25" i="128"/>
  <c r="CN25" i="128"/>
  <c r="CM25" i="128"/>
  <c r="CL25" i="128"/>
  <c r="CK25" i="128"/>
  <c r="CJ25" i="128"/>
  <c r="CI25" i="128"/>
  <c r="CH25" i="128"/>
  <c r="CG25" i="128"/>
  <c r="CF25" i="128"/>
  <c r="CE25" i="128"/>
  <c r="CD25" i="128"/>
  <c r="CC25" i="128"/>
  <c r="CB25" i="128"/>
  <c r="CA25" i="128"/>
  <c r="BZ25" i="128"/>
  <c r="BY25" i="128"/>
  <c r="BX25" i="128"/>
  <c r="BW25" i="128"/>
  <c r="BV25" i="128"/>
  <c r="BU25" i="128"/>
  <c r="BT25" i="128"/>
  <c r="BS25" i="128"/>
  <c r="BR25" i="128"/>
  <c r="BQ25" i="128"/>
  <c r="BP25" i="128"/>
  <c r="BO25" i="128"/>
  <c r="BN25" i="128"/>
  <c r="BM25" i="128"/>
  <c r="BL25" i="128"/>
  <c r="BK25" i="128"/>
  <c r="BJ25" i="128"/>
  <c r="BI25" i="128"/>
  <c r="BH25" i="128"/>
  <c r="BG25" i="128"/>
  <c r="BF25" i="128"/>
  <c r="BE25" i="128"/>
  <c r="BD25" i="128"/>
  <c r="BC25" i="128"/>
  <c r="BB25" i="128"/>
  <c r="AZ25" i="128"/>
  <c r="AY25" i="128"/>
  <c r="AX25" i="128"/>
  <c r="AW25" i="128"/>
  <c r="AV25" i="128"/>
  <c r="AU25" i="128"/>
  <c r="AT25" i="128"/>
  <c r="AS25" i="128"/>
  <c r="AR25" i="128"/>
  <c r="AQ25" i="128"/>
  <c r="AP25" i="128"/>
  <c r="AO25" i="128"/>
  <c r="AN25" i="128"/>
  <c r="AM25" i="128"/>
  <c r="AL25" i="128"/>
  <c r="AK25" i="128"/>
  <c r="AJ25" i="128"/>
  <c r="AI25" i="128"/>
  <c r="AH25" i="128"/>
  <c r="AF25" i="128"/>
  <c r="AD25" i="128"/>
  <c r="AC25" i="128"/>
  <c r="AB25" i="128"/>
  <c r="AA25" i="128"/>
  <c r="Z25" i="128"/>
  <c r="Y25" i="128"/>
  <c r="X25" i="128"/>
  <c r="W25" i="128"/>
  <c r="V25" i="128"/>
  <c r="U25" i="128"/>
  <c r="T25" i="128"/>
  <c r="S25" i="128"/>
  <c r="M24" i="128"/>
  <c r="P24" i="128" s="1"/>
  <c r="CT23" i="128"/>
  <c r="CS23" i="128"/>
  <c r="CR23" i="128"/>
  <c r="CQ23" i="128"/>
  <c r="CP23" i="128"/>
  <c r="CO23" i="128"/>
  <c r="CN23" i="128"/>
  <c r="CM23" i="128"/>
  <c r="CL23" i="128"/>
  <c r="CK23" i="128"/>
  <c r="CJ23" i="128"/>
  <c r="CI23" i="128"/>
  <c r="CH23" i="128"/>
  <c r="CG23" i="128"/>
  <c r="CF23" i="128"/>
  <c r="CE23" i="128"/>
  <c r="CD23" i="128"/>
  <c r="CC23" i="128"/>
  <c r="CB23" i="128"/>
  <c r="CA23" i="128"/>
  <c r="BZ23" i="128"/>
  <c r="BY23" i="128"/>
  <c r="BX23" i="128"/>
  <c r="BW23" i="128"/>
  <c r="BV23" i="128"/>
  <c r="BU23" i="128"/>
  <c r="BT23" i="128"/>
  <c r="BR23" i="128"/>
  <c r="BQ23" i="128"/>
  <c r="BP23" i="128"/>
  <c r="BO23" i="128"/>
  <c r="BN23" i="128"/>
  <c r="BM23" i="128"/>
  <c r="BL23" i="128"/>
  <c r="BK23" i="128"/>
  <c r="BJ23" i="128"/>
  <c r="BI23" i="128"/>
  <c r="BH23" i="128"/>
  <c r="BG23" i="128"/>
  <c r="BF23" i="128"/>
  <c r="BE23" i="128"/>
  <c r="BD23" i="128"/>
  <c r="BC23" i="128"/>
  <c r="BB23" i="128"/>
  <c r="AZ23" i="128"/>
  <c r="AY23" i="128"/>
  <c r="AX23" i="128"/>
  <c r="AW23" i="128"/>
  <c r="AV23" i="128"/>
  <c r="AU23" i="128"/>
  <c r="AT23" i="128"/>
  <c r="AS23" i="128"/>
  <c r="AR23" i="128"/>
  <c r="AQ23" i="128"/>
  <c r="AP23" i="128"/>
  <c r="AO23" i="128"/>
  <c r="AN23" i="128"/>
  <c r="AM23" i="128"/>
  <c r="AL23" i="128"/>
  <c r="AK23" i="128"/>
  <c r="AJ23" i="128"/>
  <c r="AI23" i="128"/>
  <c r="AH23" i="128"/>
  <c r="AF23" i="128"/>
  <c r="AD23" i="128"/>
  <c r="AC23" i="128"/>
  <c r="AB23" i="128"/>
  <c r="AA23" i="128"/>
  <c r="Z23" i="128"/>
  <c r="Y23" i="128"/>
  <c r="X23" i="128"/>
  <c r="W23" i="128"/>
  <c r="V23" i="128"/>
  <c r="U23" i="128"/>
  <c r="T23" i="128"/>
  <c r="M22" i="128"/>
  <c r="M23" i="128" s="1"/>
  <c r="CT21" i="128"/>
  <c r="CS21" i="128"/>
  <c r="CR21" i="128"/>
  <c r="CQ21" i="128"/>
  <c r="CP21" i="128"/>
  <c r="CO21" i="128"/>
  <c r="CN21" i="128"/>
  <c r="CM21" i="128"/>
  <c r="CL21" i="128"/>
  <c r="CK21" i="128"/>
  <c r="CJ21" i="128"/>
  <c r="CI21" i="128"/>
  <c r="CH21" i="128"/>
  <c r="CG21" i="128"/>
  <c r="CF21" i="128"/>
  <c r="CE21" i="128"/>
  <c r="CD21" i="128"/>
  <c r="CC21" i="128"/>
  <c r="CB21" i="128"/>
  <c r="CA21" i="128"/>
  <c r="BZ21" i="128"/>
  <c r="BY21" i="128"/>
  <c r="BX21" i="128"/>
  <c r="BW21" i="128"/>
  <c r="BV21" i="128"/>
  <c r="BU21" i="128"/>
  <c r="BT21" i="128"/>
  <c r="BR21" i="128"/>
  <c r="BQ21" i="128"/>
  <c r="BP21" i="128"/>
  <c r="BO21" i="128"/>
  <c r="BN21" i="128"/>
  <c r="BM21" i="128"/>
  <c r="BL21" i="128"/>
  <c r="BK21" i="128"/>
  <c r="BJ21" i="128"/>
  <c r="BI21" i="128"/>
  <c r="BH21" i="128"/>
  <c r="BG21" i="128"/>
  <c r="BF21" i="128"/>
  <c r="BE21" i="128"/>
  <c r="BD21" i="128"/>
  <c r="BC21" i="128"/>
  <c r="BB21" i="128"/>
  <c r="AZ21" i="128"/>
  <c r="AY21" i="128"/>
  <c r="AX21" i="128"/>
  <c r="AW21" i="128"/>
  <c r="AV21" i="128"/>
  <c r="AU21" i="128"/>
  <c r="AT21" i="128"/>
  <c r="AS21" i="128"/>
  <c r="AR21" i="128"/>
  <c r="AQ21" i="128"/>
  <c r="AP21" i="128"/>
  <c r="AO21" i="128"/>
  <c r="AN21" i="128"/>
  <c r="AM21" i="128"/>
  <c r="AL21" i="128"/>
  <c r="AK21" i="128"/>
  <c r="AJ21" i="128"/>
  <c r="AI21" i="128"/>
  <c r="AH21" i="128"/>
  <c r="AF21" i="128"/>
  <c r="AD21" i="128"/>
  <c r="AC21" i="128"/>
  <c r="AB21" i="128"/>
  <c r="AA21" i="128"/>
  <c r="Z21" i="128"/>
  <c r="Y21" i="128"/>
  <c r="X21" i="128"/>
  <c r="W21" i="128"/>
  <c r="V21" i="128"/>
  <c r="U21" i="128"/>
  <c r="T21" i="128"/>
  <c r="M20" i="128"/>
  <c r="P20" i="128" s="1"/>
  <c r="M19" i="128"/>
  <c r="CT18" i="128"/>
  <c r="CS18" i="128"/>
  <c r="CR18" i="128"/>
  <c r="CQ18" i="128"/>
  <c r="CP18" i="128"/>
  <c r="CO18" i="128"/>
  <c r="CN18" i="128"/>
  <c r="CM18" i="128"/>
  <c r="CL18" i="128"/>
  <c r="CK18" i="128"/>
  <c r="CJ18" i="128"/>
  <c r="CI18" i="128"/>
  <c r="CH18" i="128"/>
  <c r="CG18" i="128"/>
  <c r="CF18" i="128"/>
  <c r="CE18" i="128"/>
  <c r="CD18" i="128"/>
  <c r="CC18" i="128"/>
  <c r="CB18" i="128"/>
  <c r="CA18" i="128"/>
  <c r="BZ18" i="128"/>
  <c r="BY18" i="128"/>
  <c r="BX18" i="128"/>
  <c r="BW18" i="128"/>
  <c r="BV18" i="128"/>
  <c r="BU18" i="128"/>
  <c r="BT18" i="128"/>
  <c r="BR18" i="128"/>
  <c r="BQ18" i="128"/>
  <c r="BP18" i="128"/>
  <c r="BO18" i="128"/>
  <c r="BN18" i="128"/>
  <c r="BM18" i="128"/>
  <c r="BL18" i="128"/>
  <c r="BK18" i="128"/>
  <c r="BJ18" i="128"/>
  <c r="BI18" i="128"/>
  <c r="BH18" i="128"/>
  <c r="BG18" i="128"/>
  <c r="BF18" i="128"/>
  <c r="BE18" i="128"/>
  <c r="BD18" i="128"/>
  <c r="BC18" i="128"/>
  <c r="BB18" i="128"/>
  <c r="AZ18" i="128"/>
  <c r="AY18" i="128"/>
  <c r="AX18" i="128"/>
  <c r="AW18" i="128"/>
  <c r="AV18" i="128"/>
  <c r="AU18" i="128"/>
  <c r="AT18" i="128"/>
  <c r="AS18" i="128"/>
  <c r="AR18" i="128"/>
  <c r="AQ18" i="128"/>
  <c r="AP18" i="128"/>
  <c r="AO18" i="128"/>
  <c r="AN18" i="128"/>
  <c r="AM18" i="128"/>
  <c r="AL18" i="128"/>
  <c r="AK18" i="128"/>
  <c r="AJ18" i="128"/>
  <c r="AI18" i="128"/>
  <c r="AH18" i="128"/>
  <c r="AF18" i="128"/>
  <c r="AD18" i="128"/>
  <c r="AC18" i="128"/>
  <c r="AB18" i="128"/>
  <c r="AA18" i="128"/>
  <c r="Z18" i="128"/>
  <c r="Y18" i="128"/>
  <c r="X18" i="128"/>
  <c r="W18" i="128"/>
  <c r="V18" i="128"/>
  <c r="U18" i="128"/>
  <c r="T18" i="128"/>
  <c r="S18" i="128"/>
  <c r="M17" i="128"/>
  <c r="Q17" i="128" s="1"/>
  <c r="Q18" i="128" s="1"/>
  <c r="CT16" i="128"/>
  <c r="CS16" i="128"/>
  <c r="CR16" i="128"/>
  <c r="CQ16" i="128"/>
  <c r="CP16" i="128"/>
  <c r="CO16" i="128"/>
  <c r="CN16" i="128"/>
  <c r="CM16" i="128"/>
  <c r="CL16" i="128"/>
  <c r="CK16" i="128"/>
  <c r="CJ16" i="128"/>
  <c r="CI16" i="128"/>
  <c r="CH16" i="128"/>
  <c r="CG16" i="128"/>
  <c r="CF16" i="128"/>
  <c r="CE16" i="128"/>
  <c r="CD16" i="128"/>
  <c r="CC16" i="128"/>
  <c r="CB16" i="128"/>
  <c r="CA16" i="128"/>
  <c r="BZ16" i="128"/>
  <c r="BY16" i="128"/>
  <c r="BX16" i="128"/>
  <c r="BW16" i="128"/>
  <c r="BV16" i="128"/>
  <c r="BU16" i="128"/>
  <c r="BT16" i="128"/>
  <c r="BS16" i="128"/>
  <c r="BR16" i="128"/>
  <c r="BQ16" i="128"/>
  <c r="BP16" i="128"/>
  <c r="BO16" i="128"/>
  <c r="BN16" i="128"/>
  <c r="BM16" i="128"/>
  <c r="BL16" i="128"/>
  <c r="BK16" i="128"/>
  <c r="BJ16" i="128"/>
  <c r="BI16" i="128"/>
  <c r="BH16" i="128"/>
  <c r="BG16" i="128"/>
  <c r="BF16" i="128"/>
  <c r="BE16" i="128"/>
  <c r="BD16" i="128"/>
  <c r="BC16" i="128"/>
  <c r="BB16" i="128"/>
  <c r="AZ16" i="128"/>
  <c r="AY16" i="128"/>
  <c r="AX16" i="128"/>
  <c r="AW16" i="128"/>
  <c r="AV16" i="128"/>
  <c r="AU16" i="128"/>
  <c r="AT16" i="128"/>
  <c r="AS16" i="128"/>
  <c r="AR16" i="128"/>
  <c r="AQ16" i="128"/>
  <c r="AP16" i="128"/>
  <c r="AO16" i="128"/>
  <c r="AN16" i="128"/>
  <c r="AM16" i="128"/>
  <c r="AL16" i="128"/>
  <c r="AK16" i="128"/>
  <c r="AJ16" i="128"/>
  <c r="AI16" i="128"/>
  <c r="AH16" i="128"/>
  <c r="AF16" i="128"/>
  <c r="AD16" i="128"/>
  <c r="AC16" i="128"/>
  <c r="AB16" i="128"/>
  <c r="AA16" i="128"/>
  <c r="Z16" i="128"/>
  <c r="Y16" i="128"/>
  <c r="X16" i="128"/>
  <c r="W16" i="128"/>
  <c r="V16" i="128"/>
  <c r="U16" i="128"/>
  <c r="T16" i="128"/>
  <c r="S16" i="128"/>
  <c r="Q16" i="128"/>
  <c r="M15" i="128"/>
  <c r="P15" i="128" s="1"/>
  <c r="M14" i="128"/>
  <c r="P14" i="128" s="1"/>
  <c r="CT13" i="128"/>
  <c r="CS13" i="128"/>
  <c r="CR13" i="128"/>
  <c r="CQ13" i="128"/>
  <c r="CP13" i="128"/>
  <c r="CO13" i="128"/>
  <c r="CN13" i="128"/>
  <c r="CM13" i="128"/>
  <c r="CL13" i="128"/>
  <c r="CK13" i="128"/>
  <c r="CJ13" i="128"/>
  <c r="CI13" i="128"/>
  <c r="CH13" i="128"/>
  <c r="CG13" i="128"/>
  <c r="CF13" i="128"/>
  <c r="CE13" i="128"/>
  <c r="CD13" i="128"/>
  <c r="CC13" i="128"/>
  <c r="CB13" i="128"/>
  <c r="CA13" i="128"/>
  <c r="BZ13" i="128"/>
  <c r="BY13" i="128"/>
  <c r="BX13" i="128"/>
  <c r="BW13" i="128"/>
  <c r="BV13" i="128"/>
  <c r="BU13" i="128"/>
  <c r="BT13" i="128"/>
  <c r="BS13" i="128"/>
  <c r="BR13" i="128"/>
  <c r="BQ13" i="128"/>
  <c r="BP13" i="128"/>
  <c r="BO13" i="128"/>
  <c r="BN13" i="128"/>
  <c r="BM13" i="128"/>
  <c r="BL13" i="128"/>
  <c r="BK13" i="128"/>
  <c r="BJ13" i="128"/>
  <c r="BI13" i="128"/>
  <c r="BH13" i="128"/>
  <c r="BG13" i="128"/>
  <c r="BF13" i="128"/>
  <c r="BE13" i="128"/>
  <c r="BD13" i="128"/>
  <c r="BC13" i="128"/>
  <c r="BB13" i="128"/>
  <c r="AZ13" i="128"/>
  <c r="AY13" i="128"/>
  <c r="AX13" i="128"/>
  <c r="AW13" i="128"/>
  <c r="AV13" i="128"/>
  <c r="AU13" i="128"/>
  <c r="AT13" i="128"/>
  <c r="AS13" i="128"/>
  <c r="AR13" i="128"/>
  <c r="AQ13" i="128"/>
  <c r="AP13" i="128"/>
  <c r="AO13" i="128"/>
  <c r="AN13" i="128"/>
  <c r="AM13" i="128"/>
  <c r="AK13" i="128"/>
  <c r="AJ13" i="128"/>
  <c r="AF13" i="128"/>
  <c r="AD13" i="128"/>
  <c r="AC13" i="128"/>
  <c r="AB13" i="128"/>
  <c r="AA13" i="128"/>
  <c r="Z13" i="128"/>
  <c r="Y13" i="128"/>
  <c r="X13" i="128"/>
  <c r="W13" i="128"/>
  <c r="V13" i="128"/>
  <c r="U13" i="128"/>
  <c r="T13" i="128"/>
  <c r="S13" i="128"/>
  <c r="M12" i="128"/>
  <c r="M13" i="128" s="1"/>
  <c r="CT11" i="128"/>
  <c r="CS11" i="128"/>
  <c r="CR11" i="128"/>
  <c r="CQ11" i="128"/>
  <c r="CP11" i="128"/>
  <c r="CO11" i="128"/>
  <c r="CN11" i="128"/>
  <c r="CM11" i="128"/>
  <c r="CL11" i="128"/>
  <c r="CK11" i="128"/>
  <c r="CJ11" i="128"/>
  <c r="CI11" i="128"/>
  <c r="CH11" i="128"/>
  <c r="CG11" i="128"/>
  <c r="CF11" i="128"/>
  <c r="CE11" i="128"/>
  <c r="CD11" i="128"/>
  <c r="CC11" i="128"/>
  <c r="CB11" i="128"/>
  <c r="CA11" i="128"/>
  <c r="BZ11" i="128"/>
  <c r="BY11" i="128"/>
  <c r="BX11" i="128"/>
  <c r="BW11" i="128"/>
  <c r="BV11" i="128"/>
  <c r="BU11" i="128"/>
  <c r="BT11" i="128"/>
  <c r="BS11" i="128"/>
  <c r="BR11" i="128"/>
  <c r="BQ11" i="128"/>
  <c r="BP11" i="128"/>
  <c r="BO11" i="128"/>
  <c r="BN11" i="128"/>
  <c r="BM11" i="128"/>
  <c r="BL11" i="128"/>
  <c r="BK11" i="128"/>
  <c r="BJ11" i="128"/>
  <c r="BI11" i="128"/>
  <c r="BH11" i="128"/>
  <c r="BG11" i="128"/>
  <c r="BF11" i="128"/>
  <c r="BE11" i="128"/>
  <c r="BD11" i="128"/>
  <c r="BC11" i="128"/>
  <c r="BB11" i="128"/>
  <c r="AZ11" i="128"/>
  <c r="AY11" i="128"/>
  <c r="AX11" i="128"/>
  <c r="AW11" i="128"/>
  <c r="AV11" i="128"/>
  <c r="AU11" i="128"/>
  <c r="AT11" i="128"/>
  <c r="AS11" i="128"/>
  <c r="AR11" i="128"/>
  <c r="AQ11" i="128"/>
  <c r="AP11" i="128"/>
  <c r="AO11" i="128"/>
  <c r="AN11" i="128"/>
  <c r="AM11" i="128"/>
  <c r="AK11" i="128"/>
  <c r="AJ11" i="128"/>
  <c r="AF11" i="128"/>
  <c r="AD11" i="128"/>
  <c r="AC11" i="128"/>
  <c r="AB11" i="128"/>
  <c r="AA11" i="128"/>
  <c r="Z11" i="128"/>
  <c r="Y11" i="128"/>
  <c r="X11" i="128"/>
  <c r="W11" i="128"/>
  <c r="V11" i="128"/>
  <c r="U11" i="128"/>
  <c r="T11" i="128"/>
  <c r="S11" i="128"/>
  <c r="M10" i="128"/>
  <c r="R10" i="128" s="1"/>
  <c r="CU10" i="128" s="1"/>
  <c r="CV10" i="128" s="1"/>
  <c r="M9" i="128"/>
  <c r="R9" i="128" s="1"/>
  <c r="CT8" i="128"/>
  <c r="CS8" i="128"/>
  <c r="CR8" i="128"/>
  <c r="CQ8" i="128"/>
  <c r="CP8" i="128"/>
  <c r="CO8" i="128"/>
  <c r="CN8" i="128"/>
  <c r="CM8" i="128"/>
  <c r="CL8" i="128"/>
  <c r="CK8" i="128"/>
  <c r="CJ8" i="128"/>
  <c r="CI8" i="128"/>
  <c r="CH8" i="128"/>
  <c r="CG8" i="128"/>
  <c r="CF8" i="128"/>
  <c r="CE8" i="128"/>
  <c r="CD8" i="128"/>
  <c r="CC8" i="128"/>
  <c r="CB8" i="128"/>
  <c r="CA8" i="128"/>
  <c r="BZ8" i="128"/>
  <c r="BY8" i="128"/>
  <c r="BX8" i="128"/>
  <c r="BW8" i="128"/>
  <c r="BV8" i="128"/>
  <c r="BU8" i="128"/>
  <c r="BT8" i="128"/>
  <c r="BS8" i="128"/>
  <c r="BR8" i="128"/>
  <c r="BQ8" i="128"/>
  <c r="BP8" i="128"/>
  <c r="BO8" i="128"/>
  <c r="BN8" i="128"/>
  <c r="BM8" i="128"/>
  <c r="BL8" i="128"/>
  <c r="BK8" i="128"/>
  <c r="BJ8" i="128"/>
  <c r="BI8" i="128"/>
  <c r="BH8" i="128"/>
  <c r="BG8" i="128"/>
  <c r="BF8" i="128"/>
  <c r="BE8" i="128"/>
  <c r="BD8" i="128"/>
  <c r="BC8" i="128"/>
  <c r="BB8" i="128"/>
  <c r="AZ8" i="128"/>
  <c r="AY8" i="128"/>
  <c r="AX8" i="128"/>
  <c r="AW8" i="128"/>
  <c r="AV8" i="128"/>
  <c r="AU8" i="128"/>
  <c r="AT8" i="128"/>
  <c r="AS8" i="128"/>
  <c r="AR8" i="128"/>
  <c r="AQ8" i="128"/>
  <c r="AP8" i="128"/>
  <c r="AO8" i="128"/>
  <c r="AN8" i="128"/>
  <c r="AM8" i="128"/>
  <c r="AK8" i="128"/>
  <c r="AJ8" i="128"/>
  <c r="AF8" i="128"/>
  <c r="AD8" i="128"/>
  <c r="AC8" i="128"/>
  <c r="AB8" i="128"/>
  <c r="AA8" i="128"/>
  <c r="Z8" i="128"/>
  <c r="Y8" i="128"/>
  <c r="X8" i="128"/>
  <c r="W8" i="128"/>
  <c r="V8" i="128"/>
  <c r="U8" i="128"/>
  <c r="T8" i="128"/>
  <c r="S8" i="128"/>
  <c r="M7" i="128"/>
  <c r="CT6" i="128"/>
  <c r="CS6" i="128"/>
  <c r="CR6" i="128"/>
  <c r="CQ6" i="128"/>
  <c r="CP6" i="128"/>
  <c r="CO6" i="128"/>
  <c r="CN6" i="128"/>
  <c r="CM6" i="128"/>
  <c r="CL6" i="128"/>
  <c r="CK6" i="128"/>
  <c r="CJ6" i="128"/>
  <c r="CI6" i="128"/>
  <c r="CH6" i="128"/>
  <c r="CG6" i="128"/>
  <c r="CF6" i="128"/>
  <c r="CE6" i="128"/>
  <c r="CD6" i="128"/>
  <c r="CC6" i="128"/>
  <c r="CB6" i="128"/>
  <c r="CA6" i="128"/>
  <c r="BZ6" i="128"/>
  <c r="BY6" i="128"/>
  <c r="BX6" i="128"/>
  <c r="BW6" i="128"/>
  <c r="BV6" i="128"/>
  <c r="BU6" i="128"/>
  <c r="BT6" i="128"/>
  <c r="BS6" i="128"/>
  <c r="BR6" i="128"/>
  <c r="BQ6" i="128"/>
  <c r="BP6" i="128"/>
  <c r="BO6" i="128"/>
  <c r="BN6" i="128"/>
  <c r="BM6" i="128"/>
  <c r="BL6" i="128"/>
  <c r="BK6" i="128"/>
  <c r="BJ6" i="128"/>
  <c r="BI6" i="128"/>
  <c r="BH6" i="128"/>
  <c r="BG6" i="128"/>
  <c r="BF6" i="128"/>
  <c r="BE6" i="128"/>
  <c r="BD6" i="128"/>
  <c r="BC6" i="128"/>
  <c r="BB6" i="128"/>
  <c r="AZ6" i="128"/>
  <c r="AY6" i="128"/>
  <c r="AX6" i="128"/>
  <c r="AW6" i="128"/>
  <c r="AV6" i="128"/>
  <c r="AU6" i="128"/>
  <c r="AT6" i="128"/>
  <c r="AS6" i="128"/>
  <c r="AR6" i="128"/>
  <c r="AQ6" i="128"/>
  <c r="AP6" i="128"/>
  <c r="AO6" i="128"/>
  <c r="AN6" i="128"/>
  <c r="AM6" i="128"/>
  <c r="AL6" i="128"/>
  <c r="AK6" i="128"/>
  <c r="AJ6" i="128"/>
  <c r="AI6" i="128"/>
  <c r="AF6" i="128"/>
  <c r="AD6" i="128"/>
  <c r="AC6" i="128"/>
  <c r="AB6" i="128"/>
  <c r="AA6" i="128"/>
  <c r="Z6" i="128"/>
  <c r="Y6" i="128"/>
  <c r="X6" i="128"/>
  <c r="W6" i="128"/>
  <c r="V6" i="128"/>
  <c r="U6" i="128"/>
  <c r="T6" i="128"/>
  <c r="S6" i="128"/>
  <c r="M5" i="128"/>
  <c r="M6" i="128" s="1"/>
  <c r="CU145" i="128" l="1"/>
  <c r="CV145" i="128" s="1"/>
  <c r="N234" i="128"/>
  <c r="CU144" i="128"/>
  <c r="CV144" i="128" s="1"/>
  <c r="M93" i="128"/>
  <c r="N93" i="128" s="1"/>
  <c r="Q234" i="128"/>
  <c r="CU210" i="128"/>
  <c r="CV210" i="128" s="1"/>
  <c r="BC100" i="128"/>
  <c r="BC101" i="128" s="1"/>
  <c r="CU167" i="128"/>
  <c r="CV167" i="128" s="1"/>
  <c r="CU111" i="128"/>
  <c r="CV111" i="128" s="1"/>
  <c r="M45" i="128"/>
  <c r="M25" i="128"/>
  <c r="Q68" i="128"/>
  <c r="Q69" i="128" s="1"/>
  <c r="CU230" i="128"/>
  <c r="CV230" i="128" s="1"/>
  <c r="Q92" i="128"/>
  <c r="Q93" i="128" s="1"/>
  <c r="CU166" i="128"/>
  <c r="CV166" i="128" s="1"/>
  <c r="Q60" i="128"/>
  <c r="Q61" i="128" s="1"/>
  <c r="CU150" i="128"/>
  <c r="CV150" i="128" s="1"/>
  <c r="CU122" i="128"/>
  <c r="CV122" i="128" s="1"/>
  <c r="P5" i="128"/>
  <c r="P6" i="128" s="1"/>
  <c r="CU215" i="128"/>
  <c r="CV215" i="128" s="1"/>
  <c r="Q5" i="128"/>
  <c r="AH5" i="128" s="1"/>
  <c r="AH6" i="128" s="1"/>
  <c r="CU216" i="128"/>
  <c r="CV216" i="128" s="1"/>
  <c r="M99" i="128"/>
  <c r="M69" i="128"/>
  <c r="CU218" i="128"/>
  <c r="CV218" i="128" s="1"/>
  <c r="CU154" i="128"/>
  <c r="CV154" i="128" s="1"/>
  <c r="M16" i="128"/>
  <c r="Q33" i="128"/>
  <c r="R33" i="128" s="1"/>
  <c r="CU217" i="128"/>
  <c r="CV217" i="128" s="1"/>
  <c r="CU155" i="128"/>
  <c r="CV155" i="128" s="1"/>
  <c r="AZ234" i="128"/>
  <c r="P28" i="128"/>
  <c r="R28" i="128" s="1"/>
  <c r="CU28" i="128" s="1"/>
  <c r="CV28" i="128" s="1"/>
  <c r="P56" i="128"/>
  <c r="P57" i="128" s="1"/>
  <c r="CU170" i="128"/>
  <c r="CV170" i="128" s="1"/>
  <c r="Q56" i="128"/>
  <c r="Q57" i="128" s="1"/>
  <c r="CU220" i="128"/>
  <c r="CV220" i="128" s="1"/>
  <c r="CU171" i="128"/>
  <c r="CV171" i="128" s="1"/>
  <c r="CU148" i="128"/>
  <c r="CV148" i="128" s="1"/>
  <c r="P234" i="128"/>
  <c r="CU233" i="128"/>
  <c r="CU149" i="128"/>
  <c r="CV149" i="128" s="1"/>
  <c r="R196" i="128"/>
  <c r="R234" i="128" s="1"/>
  <c r="CU219" i="128"/>
  <c r="CV219" i="128" s="1"/>
  <c r="CU184" i="128"/>
  <c r="CV184" i="128" s="1"/>
  <c r="CU137" i="128"/>
  <c r="CV137" i="128" s="1"/>
  <c r="CU185" i="128"/>
  <c r="CV185" i="128" s="1"/>
  <c r="CU204" i="128"/>
  <c r="CV204" i="128" s="1"/>
  <c r="CU202" i="128"/>
  <c r="CV202" i="128" s="1"/>
  <c r="CU136" i="128"/>
  <c r="CV136" i="128" s="1"/>
  <c r="CU132" i="128"/>
  <c r="CV132" i="128" s="1"/>
  <c r="CU211" i="128"/>
  <c r="CV211" i="128" s="1"/>
  <c r="CU180" i="128"/>
  <c r="CV180" i="128" s="1"/>
  <c r="CU134" i="128"/>
  <c r="CV134" i="128" s="1"/>
  <c r="BB234" i="128"/>
  <c r="CU227" i="128"/>
  <c r="CV227" i="128" s="1"/>
  <c r="CU135" i="128"/>
  <c r="CV135" i="128" s="1"/>
  <c r="CU229" i="128"/>
  <c r="CV229" i="128" s="1"/>
  <c r="BO234" i="128"/>
  <c r="CU133" i="128"/>
  <c r="CV133" i="128" s="1"/>
  <c r="CU162" i="128"/>
  <c r="CV162" i="128" s="1"/>
  <c r="CU113" i="128"/>
  <c r="CV113" i="128" s="1"/>
  <c r="CU163" i="128"/>
  <c r="CV163" i="128" s="1"/>
  <c r="CU151" i="128"/>
  <c r="CV151" i="128" s="1"/>
  <c r="CU112" i="128"/>
  <c r="CV112" i="128" s="1"/>
  <c r="P16" i="128"/>
  <c r="AB105" i="128"/>
  <c r="Y105" i="128"/>
  <c r="BL105" i="128"/>
  <c r="BX105" i="128"/>
  <c r="M39" i="128"/>
  <c r="CU45" i="128"/>
  <c r="Q50" i="128"/>
  <c r="Q51" i="128" s="1"/>
  <c r="Q72" i="128"/>
  <c r="R72" i="128" s="1"/>
  <c r="CU72" i="128" s="1"/>
  <c r="CV72" i="128" s="1"/>
  <c r="Q76" i="128"/>
  <c r="R76" i="128" s="1"/>
  <c r="CU76" i="128" s="1"/>
  <c r="CV76" i="128" s="1"/>
  <c r="BC84" i="128"/>
  <c r="BC85" i="128" s="1"/>
  <c r="AX105" i="128"/>
  <c r="BK105" i="128"/>
  <c r="BW105" i="128"/>
  <c r="CI105" i="128"/>
  <c r="BM105" i="128"/>
  <c r="BY105" i="128"/>
  <c r="CK105" i="128"/>
  <c r="AM105" i="128"/>
  <c r="P31" i="128"/>
  <c r="S31" i="128" s="1"/>
  <c r="CU31" i="128" s="1"/>
  <c r="CV31" i="128" s="1"/>
  <c r="M43" i="128"/>
  <c r="P66" i="128"/>
  <c r="P96" i="128"/>
  <c r="AA105" i="128"/>
  <c r="AO105" i="128"/>
  <c r="BB105" i="128"/>
  <c r="BN105" i="128"/>
  <c r="BZ105" i="128"/>
  <c r="CL105" i="128"/>
  <c r="AY105" i="128"/>
  <c r="CJ105" i="128"/>
  <c r="P90" i="128"/>
  <c r="R90" i="128" s="1"/>
  <c r="CU90" i="128" s="1"/>
  <c r="CV90" i="128" s="1"/>
  <c r="AP105" i="128"/>
  <c r="AC105" i="128"/>
  <c r="BD105" i="128"/>
  <c r="BP105" i="128"/>
  <c r="CB105" i="128"/>
  <c r="CN105" i="128"/>
  <c r="M11" i="128"/>
  <c r="Q28" i="128"/>
  <c r="Q30" i="128" s="1"/>
  <c r="BS56" i="128"/>
  <c r="BS57" i="128" s="1"/>
  <c r="M67" i="128"/>
  <c r="M80" i="128"/>
  <c r="BJ105" i="128"/>
  <c r="BV105" i="128"/>
  <c r="CH105" i="128"/>
  <c r="CT105" i="128"/>
  <c r="CU100" i="128"/>
  <c r="CV100" i="128" s="1"/>
  <c r="AD105" i="128"/>
  <c r="AR105" i="128"/>
  <c r="BE105" i="128"/>
  <c r="BQ105" i="128"/>
  <c r="CC105" i="128"/>
  <c r="CO105" i="128"/>
  <c r="M27" i="128"/>
  <c r="P54" i="128"/>
  <c r="P55" i="128" s="1"/>
  <c r="P62" i="128"/>
  <c r="P74" i="128"/>
  <c r="P78" i="128"/>
  <c r="M91" i="128"/>
  <c r="N91" i="128" s="1"/>
  <c r="AF105" i="128"/>
  <c r="BC46" i="128"/>
  <c r="M55" i="128"/>
  <c r="Q62" i="128"/>
  <c r="Q70" i="128"/>
  <c r="R70" i="128" s="1"/>
  <c r="Q74" i="128"/>
  <c r="Q78" i="128"/>
  <c r="P88" i="128"/>
  <c r="P98" i="128"/>
  <c r="CA105" i="128"/>
  <c r="CM105" i="128"/>
  <c r="T105" i="128"/>
  <c r="AT105" i="128"/>
  <c r="BG105" i="128"/>
  <c r="CE105" i="128"/>
  <c r="CQ105" i="128"/>
  <c r="N13" i="128"/>
  <c r="AQ105" i="128"/>
  <c r="P22" i="128"/>
  <c r="P23" i="128" s="1"/>
  <c r="V105" i="128"/>
  <c r="P36" i="128"/>
  <c r="R36" i="128" s="1"/>
  <c r="CU44" i="128"/>
  <c r="CV44" i="128" s="1"/>
  <c r="P52" i="128"/>
  <c r="P53" i="128" s="1"/>
  <c r="M61" i="128"/>
  <c r="N61" i="128" s="1"/>
  <c r="P64" i="128"/>
  <c r="R64" i="128" s="1"/>
  <c r="CU64" i="128" s="1"/>
  <c r="CV64" i="128" s="1"/>
  <c r="P86" i="128"/>
  <c r="P89" i="128"/>
  <c r="Z105" i="128"/>
  <c r="AN105" i="128"/>
  <c r="AZ105" i="128"/>
  <c r="AU105" i="128"/>
  <c r="BH105" i="128"/>
  <c r="BT105" i="128"/>
  <c r="CF105" i="128"/>
  <c r="CR105" i="128"/>
  <c r="AS105" i="128"/>
  <c r="BF105" i="128"/>
  <c r="BR105" i="128"/>
  <c r="CD105" i="128"/>
  <c r="CP105" i="128"/>
  <c r="AK105" i="128"/>
  <c r="AW105" i="128"/>
  <c r="R37" i="128"/>
  <c r="CU37" i="128" s="1"/>
  <c r="CV37" i="128" s="1"/>
  <c r="Q52" i="128"/>
  <c r="Q53" i="128" s="1"/>
  <c r="Q86" i="128"/>
  <c r="Q87" i="128" s="1"/>
  <c r="U105" i="128"/>
  <c r="AJ105" i="128"/>
  <c r="AV105" i="128"/>
  <c r="BI105" i="128"/>
  <c r="BU105" i="128"/>
  <c r="CG105" i="128"/>
  <c r="CS105" i="128"/>
  <c r="X105" i="128"/>
  <c r="Q55" i="128"/>
  <c r="P27" i="128"/>
  <c r="R26" i="128"/>
  <c r="R27" i="128" s="1"/>
  <c r="R35" i="128"/>
  <c r="CU35" i="128" s="1"/>
  <c r="CV35" i="128" s="1"/>
  <c r="P61" i="128"/>
  <c r="AI60" i="128"/>
  <c r="AI61" i="128" s="1"/>
  <c r="AI105" i="128" s="1"/>
  <c r="P69" i="128"/>
  <c r="R11" i="128"/>
  <c r="CU11" i="128" s="1"/>
  <c r="CV11" i="128" s="1"/>
  <c r="CU9" i="128"/>
  <c r="CV9" i="128" s="1"/>
  <c r="CU101" i="128"/>
  <c r="CV101" i="128" s="1"/>
  <c r="P25" i="128"/>
  <c r="R24" i="128"/>
  <c r="R25" i="128" s="1"/>
  <c r="R43" i="128"/>
  <c r="CU43" i="128" s="1"/>
  <c r="CU42" i="128"/>
  <c r="CV42" i="128" s="1"/>
  <c r="CU58" i="128"/>
  <c r="CV58" i="128" s="1"/>
  <c r="BO59" i="128"/>
  <c r="CU59" i="128" s="1"/>
  <c r="Q99" i="128"/>
  <c r="AH96" i="128"/>
  <c r="CU96" i="128" s="1"/>
  <c r="CV96" i="128" s="1"/>
  <c r="AH98" i="128"/>
  <c r="CU98" i="128" s="1"/>
  <c r="CV98" i="128" s="1"/>
  <c r="CU85" i="128"/>
  <c r="CV85" i="128" s="1"/>
  <c r="S32" i="128"/>
  <c r="Q94" i="128"/>
  <c r="Q95" i="128" s="1"/>
  <c r="R22" i="128"/>
  <c r="P29" i="128"/>
  <c r="M49" i="128"/>
  <c r="N57" i="128" s="1"/>
  <c r="P50" i="128"/>
  <c r="M59" i="128"/>
  <c r="N59" i="128" s="1"/>
  <c r="Q63" i="128"/>
  <c r="Q65" i="128"/>
  <c r="R68" i="128"/>
  <c r="R69" i="128" s="1"/>
  <c r="M95" i="128"/>
  <c r="N101" i="128" s="1"/>
  <c r="M21" i="128"/>
  <c r="M83" i="128"/>
  <c r="M8" i="128"/>
  <c r="N8" i="128" s="1"/>
  <c r="R12" i="128"/>
  <c r="R14" i="128"/>
  <c r="CU14" i="128" s="1"/>
  <c r="CV14" i="128" s="1"/>
  <c r="P19" i="128"/>
  <c r="P81" i="128"/>
  <c r="CU84" i="128"/>
  <c r="CV84" i="128" s="1"/>
  <c r="P103" i="128"/>
  <c r="CU38" i="128"/>
  <c r="CV38" i="128" s="1"/>
  <c r="Q48" i="128"/>
  <c r="Q49" i="128" s="1"/>
  <c r="M18" i="128"/>
  <c r="Q19" i="128"/>
  <c r="M41" i="128"/>
  <c r="Q81" i="128"/>
  <c r="R92" i="128"/>
  <c r="R93" i="128" s="1"/>
  <c r="CU93" i="128" s="1"/>
  <c r="CV93" i="128" s="1"/>
  <c r="Q103" i="128"/>
  <c r="R15" i="128"/>
  <c r="CU15" i="128" s="1"/>
  <c r="CV15" i="128" s="1"/>
  <c r="P48" i="128"/>
  <c r="R66" i="128"/>
  <c r="CU66" i="128" s="1"/>
  <c r="CV66" i="128" s="1"/>
  <c r="P94" i="128"/>
  <c r="AH97" i="128"/>
  <c r="CU97" i="128" s="1"/>
  <c r="CV97" i="128" s="1"/>
  <c r="M104" i="128"/>
  <c r="N104" i="128" s="1"/>
  <c r="P7" i="128"/>
  <c r="Q20" i="128"/>
  <c r="P34" i="128"/>
  <c r="P71" i="128"/>
  <c r="P73" i="128"/>
  <c r="P75" i="128"/>
  <c r="P77" i="128"/>
  <c r="P79" i="128"/>
  <c r="Q82" i="128"/>
  <c r="R82" i="128" s="1"/>
  <c r="Q102" i="128"/>
  <c r="Q7" i="128"/>
  <c r="Q8" i="128" s="1"/>
  <c r="P17" i="128"/>
  <c r="R17" i="128" s="1"/>
  <c r="R18" i="128" s="1"/>
  <c r="Q34" i="128"/>
  <c r="P40" i="128"/>
  <c r="Q71" i="128"/>
  <c r="Q73" i="128"/>
  <c r="Q75" i="128"/>
  <c r="Q77" i="128"/>
  <c r="Q79" i="128"/>
  <c r="S39" i="128" l="1"/>
  <c r="BS54" i="128"/>
  <c r="BS55" i="128" s="1"/>
  <c r="CU55" i="128" s="1"/>
  <c r="CV55" i="128" s="1"/>
  <c r="R77" i="128"/>
  <c r="R71" i="128"/>
  <c r="CU71" i="128" s="1"/>
  <c r="CV71" i="128" s="1"/>
  <c r="CU57" i="128"/>
  <c r="CV57" i="128" s="1"/>
  <c r="Q39" i="128"/>
  <c r="CU5" i="128"/>
  <c r="CV5" i="128" s="1"/>
  <c r="Q6" i="128"/>
  <c r="CU6" i="128" s="1"/>
  <c r="CV6" i="128" s="1"/>
  <c r="CV45" i="128"/>
  <c r="W62" i="128"/>
  <c r="W67" i="128" s="1"/>
  <c r="W105" i="128" s="1"/>
  <c r="CV59" i="128"/>
  <c r="N47" i="128"/>
  <c r="CU32" i="128"/>
  <c r="CV32" i="128" s="1"/>
  <c r="CU27" i="128"/>
  <c r="CV27" i="128" s="1"/>
  <c r="Q21" i="128"/>
  <c r="AL7" i="128"/>
  <c r="AL8" i="128" s="1"/>
  <c r="AL105" i="128" s="1"/>
  <c r="R16" i="128"/>
  <c r="CU16" i="128" s="1"/>
  <c r="CV16" i="128" s="1"/>
  <c r="BS52" i="128"/>
  <c r="BS53" i="128" s="1"/>
  <c r="CU53" i="128" s="1"/>
  <c r="CV53" i="128" s="1"/>
  <c r="CU196" i="128"/>
  <c r="CV196" i="128" s="1"/>
  <c r="CV233" i="128"/>
  <c r="N85" i="128"/>
  <c r="R102" i="128"/>
  <c r="CU102" i="128" s="1"/>
  <c r="CV102" i="128" s="1"/>
  <c r="CU26" i="128"/>
  <c r="CV26" i="128" s="1"/>
  <c r="P67" i="128"/>
  <c r="P99" i="128"/>
  <c r="R78" i="128"/>
  <c r="CU78" i="128" s="1"/>
  <c r="CV78" i="128" s="1"/>
  <c r="CU36" i="128"/>
  <c r="CV36" i="128" s="1"/>
  <c r="BO105" i="128"/>
  <c r="CU56" i="128"/>
  <c r="CV56" i="128" s="1"/>
  <c r="CV43" i="128"/>
  <c r="R88" i="128"/>
  <c r="CU88" i="128" s="1"/>
  <c r="CV88" i="128" s="1"/>
  <c r="CU68" i="128"/>
  <c r="CV68" i="128" s="1"/>
  <c r="P91" i="128"/>
  <c r="CU62" i="128"/>
  <c r="CV62" i="128" s="1"/>
  <c r="P87" i="128"/>
  <c r="R86" i="128"/>
  <c r="CU70" i="128"/>
  <c r="CV70" i="128" s="1"/>
  <c r="R74" i="128"/>
  <c r="CU74" i="128" s="1"/>
  <c r="CV74" i="128" s="1"/>
  <c r="R63" i="128"/>
  <c r="CU63" i="128" s="1"/>
  <c r="CV63" i="128" s="1"/>
  <c r="Q67" i="128"/>
  <c r="R89" i="128"/>
  <c r="Q80" i="128"/>
  <c r="BC47" i="128"/>
  <c r="CU46" i="128"/>
  <c r="CV46" i="128" s="1"/>
  <c r="P30" i="128"/>
  <c r="R75" i="128"/>
  <c r="CU75" i="128" s="1"/>
  <c r="CV75" i="128" s="1"/>
  <c r="CU92" i="128"/>
  <c r="CV92" i="128" s="1"/>
  <c r="CU69" i="128"/>
  <c r="CV69" i="128" s="1"/>
  <c r="P83" i="128"/>
  <c r="Q83" i="128"/>
  <c r="P21" i="128"/>
  <c r="S20" i="128"/>
  <c r="CU20" i="128" s="1"/>
  <c r="CV20" i="128" s="1"/>
  <c r="CU24" i="128"/>
  <c r="CV24" i="128" s="1"/>
  <c r="R34" i="128"/>
  <c r="CU34" i="128" s="1"/>
  <c r="CV34" i="128" s="1"/>
  <c r="P18" i="128"/>
  <c r="CU18" i="128" s="1"/>
  <c r="CV18" i="128" s="1"/>
  <c r="CU17" i="128"/>
  <c r="CV17" i="128" s="1"/>
  <c r="P8" i="128"/>
  <c r="CU25" i="128"/>
  <c r="CV25" i="128" s="1"/>
  <c r="R103" i="128"/>
  <c r="CU103" i="128" s="1"/>
  <c r="CV103" i="128" s="1"/>
  <c r="P39" i="128"/>
  <c r="R13" i="128"/>
  <c r="CU13" i="128" s="1"/>
  <c r="CV13" i="128" s="1"/>
  <c r="CU12" i="128"/>
  <c r="CV12" i="128" s="1"/>
  <c r="CU82" i="128"/>
  <c r="CV82" i="128" s="1"/>
  <c r="S19" i="128"/>
  <c r="CU60" i="128"/>
  <c r="CV60" i="128" s="1"/>
  <c r="P104" i="128"/>
  <c r="R81" i="128"/>
  <c r="R83" i="128" s="1"/>
  <c r="AH99" i="128"/>
  <c r="CU61" i="128"/>
  <c r="CV61" i="128" s="1"/>
  <c r="P41" i="128"/>
  <c r="P51" i="128"/>
  <c r="R73" i="128"/>
  <c r="R65" i="128"/>
  <c r="CU65" i="128" s="1"/>
  <c r="CV65" i="128" s="1"/>
  <c r="R23" i="128"/>
  <c r="CU23" i="128" s="1"/>
  <c r="CV23" i="128" s="1"/>
  <c r="CU22" i="128"/>
  <c r="CV22" i="128" s="1"/>
  <c r="Q104" i="128"/>
  <c r="P80" i="128"/>
  <c r="P49" i="128"/>
  <c r="BS48" i="128"/>
  <c r="BS49" i="128" s="1"/>
  <c r="P95" i="128"/>
  <c r="CU77" i="128"/>
  <c r="CV77" i="128" s="1"/>
  <c r="R40" i="128"/>
  <c r="R41" i="128" s="1"/>
  <c r="R29" i="128"/>
  <c r="R30" i="128" s="1"/>
  <c r="BS50" i="128"/>
  <c r="BS51" i="128" s="1"/>
  <c r="R79" i="128"/>
  <c r="CU79" i="128" s="1"/>
  <c r="CV79" i="128" s="1"/>
  <c r="AH94" i="128"/>
  <c r="AH95" i="128" s="1"/>
  <c r="CU33" i="128"/>
  <c r="CV33" i="128" s="1"/>
  <c r="CU7" i="128" l="1"/>
  <c r="CV7" i="128" s="1"/>
  <c r="CU8" i="128"/>
  <c r="CV8" i="128" s="1"/>
  <c r="N105" i="128"/>
  <c r="N493" i="128" s="1"/>
  <c r="CU54" i="128"/>
  <c r="CV54" i="128" s="1"/>
  <c r="CU52" i="128"/>
  <c r="CV52" i="128" s="1"/>
  <c r="Q105" i="128"/>
  <c r="R67" i="128"/>
  <c r="CU67" i="128" s="1"/>
  <c r="CV67" i="128" s="1"/>
  <c r="BS105" i="128"/>
  <c r="R91" i="128"/>
  <c r="CV234" i="128"/>
  <c r="CU234" i="128"/>
  <c r="CU86" i="128"/>
  <c r="CV86" i="128" s="1"/>
  <c r="R87" i="128"/>
  <c r="CU87" i="128" s="1"/>
  <c r="CV87" i="128" s="1"/>
  <c r="CU89" i="128"/>
  <c r="CV89" i="128" s="1"/>
  <c r="CU91" i="128"/>
  <c r="CV91" i="128" s="1"/>
  <c r="BC105" i="128"/>
  <c r="CU47" i="128"/>
  <c r="CV47" i="128" s="1"/>
  <c r="R80" i="128"/>
  <c r="CU94" i="128"/>
  <c r="CV94" i="128" s="1"/>
  <c r="R104" i="128"/>
  <c r="CU104" i="128" s="1"/>
  <c r="R39" i="128"/>
  <c r="CU39" i="128" s="1"/>
  <c r="CV39" i="128" s="1"/>
  <c r="CU95" i="128"/>
  <c r="CV95" i="128" s="1"/>
  <c r="S21" i="128"/>
  <c r="S105" i="128" s="1"/>
  <c r="CU30" i="128"/>
  <c r="CV30" i="128" s="1"/>
  <c r="CU50" i="128"/>
  <c r="CV50" i="128" s="1"/>
  <c r="CU29" i="128"/>
  <c r="CV29" i="128" s="1"/>
  <c r="CU40" i="128"/>
  <c r="CV40" i="128" s="1"/>
  <c r="CU49" i="128"/>
  <c r="CV49" i="128" s="1"/>
  <c r="CU41" i="128"/>
  <c r="CV41" i="128" s="1"/>
  <c r="CU51" i="128"/>
  <c r="CV51" i="128" s="1"/>
  <c r="CU48" i="128"/>
  <c r="CV48" i="128" s="1"/>
  <c r="CU19" i="128"/>
  <c r="CV19" i="128" s="1"/>
  <c r="CU73" i="128"/>
  <c r="CV73" i="128" s="1"/>
  <c r="AH105" i="128"/>
  <c r="CU80" i="128"/>
  <c r="CV80" i="128" s="1"/>
  <c r="CU83" i="128"/>
  <c r="CV83" i="128" s="1"/>
  <c r="P105" i="128"/>
  <c r="CU81" i="128"/>
  <c r="CV81" i="128" s="1"/>
  <c r="CU99" i="128"/>
  <c r="CV99" i="128" s="1"/>
  <c r="F10" i="322"/>
  <c r="F10" i="321"/>
  <c r="F11" i="360"/>
  <c r="B16" i="360"/>
  <c r="F14" i="360"/>
  <c r="F13" i="360"/>
  <c r="F12" i="360"/>
  <c r="A9" i="360"/>
  <c r="CV7" i="360"/>
  <c r="CU7" i="360"/>
  <c r="CT7" i="360"/>
  <c r="CS7" i="360"/>
  <c r="CR7" i="360"/>
  <c r="CQ7" i="360"/>
  <c r="CP7" i="360"/>
  <c r="CO7" i="360"/>
  <c r="CN7" i="360"/>
  <c r="CM7" i="360"/>
  <c r="CL7" i="360"/>
  <c r="CK7" i="360"/>
  <c r="CJ7" i="360"/>
  <c r="CI7" i="360"/>
  <c r="CH7" i="360"/>
  <c r="CG7" i="360"/>
  <c r="CF7" i="360"/>
  <c r="CE7" i="360"/>
  <c r="CD7" i="360"/>
  <c r="CC7" i="360"/>
  <c r="CB7" i="360"/>
  <c r="CA7" i="360"/>
  <c r="BZ7" i="360"/>
  <c r="BY7" i="360"/>
  <c r="BX7" i="360"/>
  <c r="BW7" i="360"/>
  <c r="BV7" i="360"/>
  <c r="BU7" i="360"/>
  <c r="BT7" i="360"/>
  <c r="BS7" i="360"/>
  <c r="BR7" i="360"/>
  <c r="BQ7" i="360"/>
  <c r="BP7" i="360"/>
  <c r="BO7" i="360"/>
  <c r="BN7" i="360"/>
  <c r="BM7" i="360"/>
  <c r="BL7" i="360"/>
  <c r="BK7" i="360"/>
  <c r="BJ7" i="360"/>
  <c r="BI7" i="360"/>
  <c r="BH7" i="360"/>
  <c r="BG7" i="360"/>
  <c r="BF7" i="360"/>
  <c r="BE7" i="360"/>
  <c r="BD7" i="360"/>
  <c r="BC7" i="360"/>
  <c r="BB7" i="360"/>
  <c r="AZ7" i="360"/>
  <c r="AY7" i="360"/>
  <c r="AX7" i="360"/>
  <c r="AW7" i="360"/>
  <c r="AV7" i="360"/>
  <c r="AU7" i="360"/>
  <c r="AT7" i="360"/>
  <c r="AS7" i="360"/>
  <c r="AR7" i="360"/>
  <c r="AQ7" i="360"/>
  <c r="AP7" i="360"/>
  <c r="AO7" i="360"/>
  <c r="AN7" i="360"/>
  <c r="AM7" i="360"/>
  <c r="AL7" i="360"/>
  <c r="AK7" i="360"/>
  <c r="AJ7" i="360"/>
  <c r="AI7" i="360"/>
  <c r="AH7" i="360"/>
  <c r="AF7" i="360"/>
  <c r="AD7" i="360"/>
  <c r="AC7" i="360"/>
  <c r="AB7" i="360"/>
  <c r="AA7" i="360"/>
  <c r="Z7" i="360"/>
  <c r="Y7" i="360"/>
  <c r="X7" i="360"/>
  <c r="W7" i="360"/>
  <c r="V7" i="360"/>
  <c r="U7" i="360"/>
  <c r="T7" i="360"/>
  <c r="S7" i="360"/>
  <c r="M6" i="360"/>
  <c r="P6" i="360" s="1"/>
  <c r="M5" i="360"/>
  <c r="P5" i="360" s="1"/>
  <c r="F10" i="359"/>
  <c r="B15" i="359"/>
  <c r="F13" i="359"/>
  <c r="F12" i="359"/>
  <c r="F11" i="359"/>
  <c r="A8" i="359"/>
  <c r="CV6" i="359"/>
  <c r="CU6" i="359"/>
  <c r="CT6" i="359"/>
  <c r="CS6" i="359"/>
  <c r="CR6" i="359"/>
  <c r="CQ6" i="359"/>
  <c r="CP6" i="359"/>
  <c r="CO6" i="359"/>
  <c r="CN6" i="359"/>
  <c r="CM6" i="359"/>
  <c r="CL6" i="359"/>
  <c r="CK6" i="359"/>
  <c r="CJ6" i="359"/>
  <c r="CI6" i="359"/>
  <c r="CH6" i="359"/>
  <c r="CG6" i="359"/>
  <c r="CF6" i="359"/>
  <c r="CE6" i="359"/>
  <c r="CD6" i="359"/>
  <c r="CC6" i="359"/>
  <c r="CB6" i="359"/>
  <c r="CA6" i="359"/>
  <c r="BZ6" i="359"/>
  <c r="BY6" i="359"/>
  <c r="BX6" i="359"/>
  <c r="BW6" i="359"/>
  <c r="BV6" i="359"/>
  <c r="BU6" i="359"/>
  <c r="BT6" i="359"/>
  <c r="BS6" i="359"/>
  <c r="BR6" i="359"/>
  <c r="BQ6" i="359"/>
  <c r="BP6" i="359"/>
  <c r="BO6" i="359"/>
  <c r="BN6" i="359"/>
  <c r="BM6" i="359"/>
  <c r="BL6" i="359"/>
  <c r="BK6" i="359"/>
  <c r="BJ6" i="359"/>
  <c r="BI6" i="359"/>
  <c r="BH6" i="359"/>
  <c r="BG6" i="359"/>
  <c r="BF6" i="359"/>
  <c r="BE6" i="359"/>
  <c r="BD6" i="359"/>
  <c r="BC6" i="359"/>
  <c r="BB6" i="359"/>
  <c r="AZ6" i="359"/>
  <c r="AY6" i="359"/>
  <c r="AX6" i="359"/>
  <c r="AW6" i="359"/>
  <c r="AV6" i="359"/>
  <c r="AU6" i="359"/>
  <c r="AT6" i="359"/>
  <c r="AS6" i="359"/>
  <c r="AR6" i="359"/>
  <c r="AQ6" i="359"/>
  <c r="AP6" i="359"/>
  <c r="AO6" i="359"/>
  <c r="AN6" i="359"/>
  <c r="AM6" i="359"/>
  <c r="AL6" i="359"/>
  <c r="AK6" i="359"/>
  <c r="AJ6" i="359"/>
  <c r="AI6" i="359"/>
  <c r="AH6" i="359"/>
  <c r="AF6" i="359"/>
  <c r="AD6" i="359"/>
  <c r="AC6" i="359"/>
  <c r="AB6" i="359"/>
  <c r="AA6" i="359"/>
  <c r="Z6" i="359"/>
  <c r="Y6" i="359"/>
  <c r="X6" i="359"/>
  <c r="W6" i="359"/>
  <c r="V6" i="359"/>
  <c r="U6" i="359"/>
  <c r="T6" i="359"/>
  <c r="S6" i="359"/>
  <c r="M5" i="359"/>
  <c r="P5" i="359" s="1"/>
  <c r="F10" i="358"/>
  <c r="F12" i="358"/>
  <c r="F11" i="358"/>
  <c r="P5" i="358"/>
  <c r="M5" i="358"/>
  <c r="B15" i="358"/>
  <c r="F13" i="358"/>
  <c r="A8" i="358"/>
  <c r="CV6" i="358"/>
  <c r="CU6" i="358"/>
  <c r="CT6" i="358"/>
  <c r="CS6" i="358"/>
  <c r="CR6" i="358"/>
  <c r="CQ6" i="358"/>
  <c r="CP6" i="358"/>
  <c r="CO6" i="358"/>
  <c r="CN6" i="358"/>
  <c r="CM6" i="358"/>
  <c r="CL6" i="358"/>
  <c r="CK6" i="358"/>
  <c r="CJ6" i="358"/>
  <c r="CI6" i="358"/>
  <c r="CH6" i="358"/>
  <c r="CG6" i="358"/>
  <c r="CF6" i="358"/>
  <c r="CE6" i="358"/>
  <c r="CD6" i="358"/>
  <c r="CC6" i="358"/>
  <c r="CB6" i="358"/>
  <c r="CA6" i="358"/>
  <c r="BZ6" i="358"/>
  <c r="BY6" i="358"/>
  <c r="BX6" i="358"/>
  <c r="BW6" i="358"/>
  <c r="BV6" i="358"/>
  <c r="BU6" i="358"/>
  <c r="BT6" i="358"/>
  <c r="BS6" i="358"/>
  <c r="BR6" i="358"/>
  <c r="BQ6" i="358"/>
  <c r="BP6" i="358"/>
  <c r="BO6" i="358"/>
  <c r="BN6" i="358"/>
  <c r="BM6" i="358"/>
  <c r="BL6" i="358"/>
  <c r="BK6" i="358"/>
  <c r="BJ6" i="358"/>
  <c r="BI6" i="358"/>
  <c r="BH6" i="358"/>
  <c r="BG6" i="358"/>
  <c r="BF6" i="358"/>
  <c r="BE6" i="358"/>
  <c r="BD6" i="358"/>
  <c r="BC6" i="358"/>
  <c r="BB6" i="358"/>
  <c r="AZ6" i="358"/>
  <c r="AY6" i="358"/>
  <c r="AX6" i="358"/>
  <c r="AW6" i="358"/>
  <c r="AV6" i="358"/>
  <c r="AU6" i="358"/>
  <c r="AT6" i="358"/>
  <c r="AS6" i="358"/>
  <c r="AR6" i="358"/>
  <c r="AQ6" i="358"/>
  <c r="AP6" i="358"/>
  <c r="AO6" i="358"/>
  <c r="AN6" i="358"/>
  <c r="AM6" i="358"/>
  <c r="AL6" i="358"/>
  <c r="AK6" i="358"/>
  <c r="AJ6" i="358"/>
  <c r="AI6" i="358"/>
  <c r="AH6" i="358"/>
  <c r="AF6" i="358"/>
  <c r="AD6" i="358"/>
  <c r="AC6" i="358"/>
  <c r="AB6" i="358"/>
  <c r="AA6" i="358"/>
  <c r="Z6" i="358"/>
  <c r="Y6" i="358"/>
  <c r="X6" i="358"/>
  <c r="W6" i="358"/>
  <c r="V6" i="358"/>
  <c r="U6" i="358"/>
  <c r="T6" i="358"/>
  <c r="S6" i="358"/>
  <c r="F11" i="357"/>
  <c r="B16" i="357"/>
  <c r="F14" i="357"/>
  <c r="F13" i="357"/>
  <c r="F12" i="357"/>
  <c r="A9" i="357"/>
  <c r="CV7" i="357"/>
  <c r="CU7" i="357"/>
  <c r="CT7" i="357"/>
  <c r="CS7" i="357"/>
  <c r="CR7" i="357"/>
  <c r="CQ7" i="357"/>
  <c r="CP7" i="357"/>
  <c r="CO7" i="357"/>
  <c r="CN7" i="357"/>
  <c r="CM7" i="357"/>
  <c r="CL7" i="357"/>
  <c r="CK7" i="357"/>
  <c r="CJ7" i="357"/>
  <c r="CI7" i="357"/>
  <c r="CH7" i="357"/>
  <c r="CG7" i="357"/>
  <c r="CF7" i="357"/>
  <c r="CE7" i="357"/>
  <c r="CD7" i="357"/>
  <c r="CC7" i="357"/>
  <c r="CB7" i="357"/>
  <c r="CA7" i="357"/>
  <c r="BZ7" i="357"/>
  <c r="BY7" i="357"/>
  <c r="BX7" i="357"/>
  <c r="BW7" i="357"/>
  <c r="BV7" i="357"/>
  <c r="BU7" i="357"/>
  <c r="BT7" i="357"/>
  <c r="BS7" i="357"/>
  <c r="BR7" i="357"/>
  <c r="BQ7" i="357"/>
  <c r="BP7" i="357"/>
  <c r="BO7" i="357"/>
  <c r="BN7" i="357"/>
  <c r="BM7" i="357"/>
  <c r="BL7" i="357"/>
  <c r="BK7" i="357"/>
  <c r="BJ7" i="357"/>
  <c r="BI7" i="357"/>
  <c r="BH7" i="357"/>
  <c r="BG7" i="357"/>
  <c r="BF7" i="357"/>
  <c r="BE7" i="357"/>
  <c r="BD7" i="357"/>
  <c r="BC7" i="357"/>
  <c r="BB7" i="357"/>
  <c r="AZ7" i="357"/>
  <c r="AY7" i="357"/>
  <c r="AX7" i="357"/>
  <c r="AW7" i="357"/>
  <c r="AV7" i="357"/>
  <c r="AU7" i="357"/>
  <c r="AT7" i="357"/>
  <c r="AS7" i="357"/>
  <c r="AR7" i="357"/>
  <c r="AQ7" i="357"/>
  <c r="AP7" i="357"/>
  <c r="AO7" i="357"/>
  <c r="AN7" i="357"/>
  <c r="AM7" i="357"/>
  <c r="AL7" i="357"/>
  <c r="AK7" i="357"/>
  <c r="AJ7" i="357"/>
  <c r="AI7" i="357"/>
  <c r="AH7" i="357"/>
  <c r="AF7" i="357"/>
  <c r="AD7" i="357"/>
  <c r="AC7" i="357"/>
  <c r="AB7" i="357"/>
  <c r="AA7" i="357"/>
  <c r="Z7" i="357"/>
  <c r="Y7" i="357"/>
  <c r="X7" i="357"/>
  <c r="W7" i="357"/>
  <c r="V7" i="357"/>
  <c r="U7" i="357"/>
  <c r="T7" i="357"/>
  <c r="S7" i="357"/>
  <c r="M6" i="357"/>
  <c r="P6" i="357" s="1"/>
  <c r="M5" i="357"/>
  <c r="P5" i="357" s="1"/>
  <c r="F11" i="356"/>
  <c r="B16" i="356"/>
  <c r="F14" i="356"/>
  <c r="F13" i="356"/>
  <c r="F12" i="356"/>
  <c r="A9" i="356"/>
  <c r="CV7" i="356"/>
  <c r="CU7" i="356"/>
  <c r="CT7" i="356"/>
  <c r="CS7" i="356"/>
  <c r="CR7" i="356"/>
  <c r="CQ7" i="356"/>
  <c r="CP7" i="356"/>
  <c r="CO7" i="356"/>
  <c r="CN7" i="356"/>
  <c r="CM7" i="356"/>
  <c r="CL7" i="356"/>
  <c r="CK7" i="356"/>
  <c r="CJ7" i="356"/>
  <c r="CI7" i="356"/>
  <c r="CH7" i="356"/>
  <c r="CG7" i="356"/>
  <c r="CF7" i="356"/>
  <c r="CE7" i="356"/>
  <c r="CD7" i="356"/>
  <c r="CC7" i="356"/>
  <c r="CB7" i="356"/>
  <c r="CA7" i="356"/>
  <c r="BZ7" i="356"/>
  <c r="BY7" i="356"/>
  <c r="BX7" i="356"/>
  <c r="BW7" i="356"/>
  <c r="BV7" i="356"/>
  <c r="BU7" i="356"/>
  <c r="BT7" i="356"/>
  <c r="BS7" i="356"/>
  <c r="BR7" i="356"/>
  <c r="BQ7" i="356"/>
  <c r="BP7" i="356"/>
  <c r="BO7" i="356"/>
  <c r="BN7" i="356"/>
  <c r="BM7" i="356"/>
  <c r="BL7" i="356"/>
  <c r="BK7" i="356"/>
  <c r="BJ7" i="356"/>
  <c r="BI7" i="356"/>
  <c r="BH7" i="356"/>
  <c r="BG7" i="356"/>
  <c r="BF7" i="356"/>
  <c r="BE7" i="356"/>
  <c r="BD7" i="356"/>
  <c r="BC7" i="356"/>
  <c r="BB7" i="356"/>
  <c r="AZ7" i="356"/>
  <c r="AY7" i="356"/>
  <c r="AX7" i="356"/>
  <c r="AW7" i="356"/>
  <c r="AV7" i="356"/>
  <c r="AU7" i="356"/>
  <c r="AT7" i="356"/>
  <c r="AS7" i="356"/>
  <c r="AR7" i="356"/>
  <c r="AQ7" i="356"/>
  <c r="AP7" i="356"/>
  <c r="AO7" i="356"/>
  <c r="AN7" i="356"/>
  <c r="AM7" i="356"/>
  <c r="AL7" i="356"/>
  <c r="AK7" i="356"/>
  <c r="AJ7" i="356"/>
  <c r="AI7" i="356"/>
  <c r="AH7" i="356"/>
  <c r="AF7" i="356"/>
  <c r="AD7" i="356"/>
  <c r="AC7" i="356"/>
  <c r="AB7" i="356"/>
  <c r="AA7" i="356"/>
  <c r="Z7" i="356"/>
  <c r="Y7" i="356"/>
  <c r="X7" i="356"/>
  <c r="W7" i="356"/>
  <c r="V7" i="356"/>
  <c r="U7" i="356"/>
  <c r="T7" i="356"/>
  <c r="S7" i="356"/>
  <c r="M6" i="356"/>
  <c r="M5" i="356"/>
  <c r="B18" i="355"/>
  <c r="F16" i="355"/>
  <c r="F15" i="355"/>
  <c r="F14" i="355"/>
  <c r="F13" i="355"/>
  <c r="A11" i="355"/>
  <c r="CV9" i="355"/>
  <c r="CU9" i="355"/>
  <c r="CT9" i="355"/>
  <c r="CS9" i="355"/>
  <c r="CR9" i="355"/>
  <c r="CQ9" i="355"/>
  <c r="CP9" i="355"/>
  <c r="CO9" i="355"/>
  <c r="CN9" i="355"/>
  <c r="CM9" i="355"/>
  <c r="CL9" i="355"/>
  <c r="CK9" i="355"/>
  <c r="CJ9" i="355"/>
  <c r="CI9" i="355"/>
  <c r="CH9" i="355"/>
  <c r="CG9" i="355"/>
  <c r="CF9" i="355"/>
  <c r="CE9" i="355"/>
  <c r="CD9" i="355"/>
  <c r="CC9" i="355"/>
  <c r="CB9" i="355"/>
  <c r="CA9" i="355"/>
  <c r="BZ9" i="355"/>
  <c r="BY9" i="355"/>
  <c r="BX9" i="355"/>
  <c r="BW9" i="355"/>
  <c r="BV9" i="355"/>
  <c r="BU9" i="355"/>
  <c r="BT9" i="355"/>
  <c r="BS9" i="355"/>
  <c r="BR9" i="355"/>
  <c r="BQ9" i="355"/>
  <c r="BP9" i="355"/>
  <c r="BO9" i="355"/>
  <c r="BN9" i="355"/>
  <c r="BM9" i="355"/>
  <c r="BL9" i="355"/>
  <c r="BK9" i="355"/>
  <c r="BJ9" i="355"/>
  <c r="BI9" i="355"/>
  <c r="BH9" i="355"/>
  <c r="BG9" i="355"/>
  <c r="BF9" i="355"/>
  <c r="BE9" i="355"/>
  <c r="BD9" i="355"/>
  <c r="BC9" i="355"/>
  <c r="BB9" i="355"/>
  <c r="AZ9" i="355"/>
  <c r="AY9" i="355"/>
  <c r="AX9" i="355"/>
  <c r="AW9" i="355"/>
  <c r="AV9" i="355"/>
  <c r="AU9" i="355"/>
  <c r="AT9" i="355"/>
  <c r="AS9" i="355"/>
  <c r="AR9" i="355"/>
  <c r="AQ9" i="355"/>
  <c r="AP9" i="355"/>
  <c r="AO9" i="355"/>
  <c r="AN9" i="355"/>
  <c r="AM9" i="355"/>
  <c r="AL9" i="355"/>
  <c r="AK9" i="355"/>
  <c r="AJ9" i="355"/>
  <c r="AI9" i="355"/>
  <c r="AH9" i="355"/>
  <c r="AF9" i="355"/>
  <c r="AD9" i="355"/>
  <c r="AC9" i="355"/>
  <c r="AB9" i="355"/>
  <c r="AA9" i="355"/>
  <c r="Z9" i="355"/>
  <c r="Y9" i="355"/>
  <c r="X9" i="355"/>
  <c r="V9" i="355"/>
  <c r="U9" i="355"/>
  <c r="T9" i="355"/>
  <c r="S9" i="355"/>
  <c r="M8" i="355"/>
  <c r="Q8" i="355" s="1"/>
  <c r="M7" i="355"/>
  <c r="Q7" i="355" s="1"/>
  <c r="M6" i="355"/>
  <c r="P6" i="355" s="1"/>
  <c r="M5" i="355"/>
  <c r="Q5" i="355" s="1"/>
  <c r="M7" i="354"/>
  <c r="M6" i="354"/>
  <c r="F11" i="354"/>
  <c r="B16" i="354"/>
  <c r="F14" i="354"/>
  <c r="F13" i="354"/>
  <c r="F12" i="354"/>
  <c r="A9" i="354"/>
  <c r="CV7" i="354"/>
  <c r="CU7" i="354"/>
  <c r="CT7" i="354"/>
  <c r="CS7" i="354"/>
  <c r="CR7" i="354"/>
  <c r="CQ7" i="354"/>
  <c r="CP7" i="354"/>
  <c r="CO7" i="354"/>
  <c r="CN7" i="354"/>
  <c r="CM7" i="354"/>
  <c r="CL7" i="354"/>
  <c r="CK7" i="354"/>
  <c r="CJ7" i="354"/>
  <c r="CI7" i="354"/>
  <c r="CH7" i="354"/>
  <c r="CG7" i="354"/>
  <c r="CF7" i="354"/>
  <c r="CE7" i="354"/>
  <c r="CD7" i="354"/>
  <c r="CC7" i="354"/>
  <c r="CB7" i="354"/>
  <c r="CA7" i="354"/>
  <c r="BZ7" i="354"/>
  <c r="BY7" i="354"/>
  <c r="BX7" i="354"/>
  <c r="BW7" i="354"/>
  <c r="BV7" i="354"/>
  <c r="BU7" i="354"/>
  <c r="BT7" i="354"/>
  <c r="BS7" i="354"/>
  <c r="BR7" i="354"/>
  <c r="BQ7" i="354"/>
  <c r="BP7" i="354"/>
  <c r="BO7" i="354"/>
  <c r="BN7" i="354"/>
  <c r="BM7" i="354"/>
  <c r="BL7" i="354"/>
  <c r="BK7" i="354"/>
  <c r="BJ7" i="354"/>
  <c r="BI7" i="354"/>
  <c r="BH7" i="354"/>
  <c r="BG7" i="354"/>
  <c r="BF7" i="354"/>
  <c r="BE7" i="354"/>
  <c r="BD7" i="354"/>
  <c r="BC7" i="354"/>
  <c r="BB7" i="354"/>
  <c r="AZ7" i="354"/>
  <c r="AY7" i="354"/>
  <c r="AX7" i="354"/>
  <c r="AW7" i="354"/>
  <c r="AV7" i="354"/>
  <c r="AU7" i="354"/>
  <c r="AT7" i="354"/>
  <c r="AS7" i="354"/>
  <c r="AR7" i="354"/>
  <c r="AQ7" i="354"/>
  <c r="AP7" i="354"/>
  <c r="AO7" i="354"/>
  <c r="AN7" i="354"/>
  <c r="AM7" i="354"/>
  <c r="AL7" i="354"/>
  <c r="AK7" i="354"/>
  <c r="AJ7" i="354"/>
  <c r="AI7" i="354"/>
  <c r="AH7" i="354"/>
  <c r="AF7" i="354"/>
  <c r="AD7" i="354"/>
  <c r="AC7" i="354"/>
  <c r="AB7" i="354"/>
  <c r="AA7" i="354"/>
  <c r="Z7" i="354"/>
  <c r="Y7" i="354"/>
  <c r="X7" i="354"/>
  <c r="W7" i="354"/>
  <c r="V7" i="354"/>
  <c r="U7" i="354"/>
  <c r="T7" i="354"/>
  <c r="S7" i="354"/>
  <c r="M5" i="354"/>
  <c r="F19" i="353"/>
  <c r="M8" i="353"/>
  <c r="M9" i="353"/>
  <c r="Q9" i="353" s="1"/>
  <c r="M10" i="353"/>
  <c r="P10" i="353" s="1"/>
  <c r="M11" i="353"/>
  <c r="P11" i="353" s="1"/>
  <c r="M12" i="353"/>
  <c r="P12" i="353" s="1"/>
  <c r="M13" i="353"/>
  <c r="P13" i="353" s="1"/>
  <c r="B24" i="353"/>
  <c r="F22" i="353"/>
  <c r="F21" i="353"/>
  <c r="F20" i="353"/>
  <c r="A17" i="353"/>
  <c r="CV15" i="353"/>
  <c r="CU15" i="353"/>
  <c r="CT15" i="353"/>
  <c r="CS15" i="353"/>
  <c r="CR15" i="353"/>
  <c r="CQ15" i="353"/>
  <c r="CP15" i="353"/>
  <c r="CO15" i="353"/>
  <c r="CN15" i="353"/>
  <c r="CM15" i="353"/>
  <c r="CL15" i="353"/>
  <c r="CK15" i="353"/>
  <c r="CJ15" i="353"/>
  <c r="CI15" i="353"/>
  <c r="CH15" i="353"/>
  <c r="CG15" i="353"/>
  <c r="CF15" i="353"/>
  <c r="CE15" i="353"/>
  <c r="CD15" i="353"/>
  <c r="CC15" i="353"/>
  <c r="CB15" i="353"/>
  <c r="CA15" i="353"/>
  <c r="BZ15" i="353"/>
  <c r="BY15" i="353"/>
  <c r="BX15" i="353"/>
  <c r="BW15" i="353"/>
  <c r="BV15" i="353"/>
  <c r="BU15" i="353"/>
  <c r="BT15" i="353"/>
  <c r="BS15" i="353"/>
  <c r="BR15" i="353"/>
  <c r="BQ15" i="353"/>
  <c r="BP15" i="353"/>
  <c r="BO15" i="353"/>
  <c r="BN15" i="353"/>
  <c r="BM15" i="353"/>
  <c r="BL15" i="353"/>
  <c r="BK15" i="353"/>
  <c r="BJ15" i="353"/>
  <c r="BI15" i="353"/>
  <c r="BH15" i="353"/>
  <c r="BG15" i="353"/>
  <c r="BF15" i="353"/>
  <c r="BE15" i="353"/>
  <c r="BD15" i="353"/>
  <c r="BC15" i="353"/>
  <c r="BB15" i="353"/>
  <c r="AZ15" i="353"/>
  <c r="AY15" i="353"/>
  <c r="AX15" i="353"/>
  <c r="AW15" i="353"/>
  <c r="AV15" i="353"/>
  <c r="AU15" i="353"/>
  <c r="AT15" i="353"/>
  <c r="AS15" i="353"/>
  <c r="AR15" i="353"/>
  <c r="AQ15" i="353"/>
  <c r="AP15" i="353"/>
  <c r="AO15" i="353"/>
  <c r="AN15" i="353"/>
  <c r="AM15" i="353"/>
  <c r="AL15" i="353"/>
  <c r="AK15" i="353"/>
  <c r="AJ15" i="353"/>
  <c r="AI15" i="353"/>
  <c r="AH15" i="353"/>
  <c r="AF15" i="353"/>
  <c r="AD15" i="353"/>
  <c r="AC15" i="353"/>
  <c r="AB15" i="353"/>
  <c r="AA15" i="353"/>
  <c r="Z15" i="353"/>
  <c r="Y15" i="353"/>
  <c r="X15" i="353"/>
  <c r="W15" i="353"/>
  <c r="V15" i="353"/>
  <c r="U15" i="353"/>
  <c r="T15" i="353"/>
  <c r="S15" i="353"/>
  <c r="M14" i="353"/>
  <c r="M7" i="353"/>
  <c r="Q7" i="353" s="1"/>
  <c r="M6" i="353"/>
  <c r="M5" i="353"/>
  <c r="Q5" i="353" s="1"/>
  <c r="F10" i="352"/>
  <c r="Q11" i="353" l="1"/>
  <c r="R105" i="128"/>
  <c r="CU21" i="128"/>
  <c r="CV21" i="128" s="1"/>
  <c r="CV104" i="128"/>
  <c r="D12" i="360"/>
  <c r="M7" i="360"/>
  <c r="M6" i="359"/>
  <c r="M6" i="358"/>
  <c r="M7" i="357"/>
  <c r="R5" i="357"/>
  <c r="R6" i="357"/>
  <c r="R6" i="356"/>
  <c r="M7" i="356"/>
  <c r="E13" i="356"/>
  <c r="M9" i="355"/>
  <c r="Q6" i="355"/>
  <c r="Q9" i="355" s="1"/>
  <c r="D14" i="355" s="1"/>
  <c r="P7" i="355"/>
  <c r="W7" i="355" s="1"/>
  <c r="P5" i="355"/>
  <c r="W5" i="355" s="1"/>
  <c r="P8" i="355"/>
  <c r="W8" i="355" s="1"/>
  <c r="Q7" i="354"/>
  <c r="D12" i="354" s="1"/>
  <c r="R5" i="354"/>
  <c r="R6" i="354"/>
  <c r="Q13" i="353"/>
  <c r="Q12" i="353"/>
  <c r="R12" i="353" s="1"/>
  <c r="R11" i="353"/>
  <c r="Q10" i="353"/>
  <c r="R10" i="353" s="1"/>
  <c r="P9" i="353"/>
  <c r="R9" i="353" s="1"/>
  <c r="P8" i="353"/>
  <c r="Q8" i="353"/>
  <c r="P6" i="353"/>
  <c r="P14" i="353"/>
  <c r="Q6" i="353"/>
  <c r="M15" i="353"/>
  <c r="P7" i="353"/>
  <c r="R7" i="353" s="1"/>
  <c r="P5" i="353"/>
  <c r="B15" i="352"/>
  <c r="F13" i="352"/>
  <c r="F12" i="352"/>
  <c r="F11" i="352"/>
  <c r="A8" i="352"/>
  <c r="CV6" i="352"/>
  <c r="CU6" i="352"/>
  <c r="CT6" i="352"/>
  <c r="CS6" i="352"/>
  <c r="CR6" i="352"/>
  <c r="CQ6" i="352"/>
  <c r="CP6" i="352"/>
  <c r="CO6" i="352"/>
  <c r="CN6" i="352"/>
  <c r="CM6" i="352"/>
  <c r="CL6" i="352"/>
  <c r="CK6" i="352"/>
  <c r="CJ6" i="352"/>
  <c r="CI6" i="352"/>
  <c r="CH6" i="352"/>
  <c r="CG6" i="352"/>
  <c r="CF6" i="352"/>
  <c r="CE6" i="352"/>
  <c r="CD6" i="352"/>
  <c r="CC6" i="352"/>
  <c r="CB6" i="352"/>
  <c r="CA6" i="352"/>
  <c r="BZ6" i="352"/>
  <c r="BY6" i="352"/>
  <c r="BX6" i="352"/>
  <c r="BW6" i="352"/>
  <c r="BV6" i="352"/>
  <c r="BU6" i="352"/>
  <c r="BT6" i="352"/>
  <c r="BS6" i="352"/>
  <c r="BR6" i="352"/>
  <c r="BQ6" i="352"/>
  <c r="BP6" i="352"/>
  <c r="BO6" i="352"/>
  <c r="BN6" i="352"/>
  <c r="BM6" i="352"/>
  <c r="BL6" i="352"/>
  <c r="BK6" i="352"/>
  <c r="BJ6" i="352"/>
  <c r="BI6" i="352"/>
  <c r="BH6" i="352"/>
  <c r="BG6" i="352"/>
  <c r="BF6" i="352"/>
  <c r="BE6" i="352"/>
  <c r="BD6" i="352"/>
  <c r="BC6" i="352"/>
  <c r="BB6" i="352"/>
  <c r="AZ6" i="352"/>
  <c r="AY6" i="352"/>
  <c r="AX6" i="352"/>
  <c r="AW6" i="352"/>
  <c r="AV6" i="352"/>
  <c r="AU6" i="352"/>
  <c r="AT6" i="352"/>
  <c r="AS6" i="352"/>
  <c r="AR6" i="352"/>
  <c r="AQ6" i="352"/>
  <c r="AP6" i="352"/>
  <c r="AO6" i="352"/>
  <c r="AN6" i="352"/>
  <c r="AM6" i="352"/>
  <c r="AL6" i="352"/>
  <c r="AK6" i="352"/>
  <c r="AJ6" i="352"/>
  <c r="AI6" i="352"/>
  <c r="AH6" i="352"/>
  <c r="AF6" i="352"/>
  <c r="AD6" i="352"/>
  <c r="AC6" i="352"/>
  <c r="AB6" i="352"/>
  <c r="AA6" i="352"/>
  <c r="Z6" i="352"/>
  <c r="Y6" i="352"/>
  <c r="X6" i="352"/>
  <c r="W6" i="352"/>
  <c r="V6" i="352"/>
  <c r="U6" i="352"/>
  <c r="T6" i="352"/>
  <c r="S6" i="352"/>
  <c r="M5" i="352"/>
  <c r="P5" i="352" s="1"/>
  <c r="F12" i="351"/>
  <c r="B17" i="351"/>
  <c r="F15" i="351"/>
  <c r="F14" i="351"/>
  <c r="F13" i="351"/>
  <c r="A10" i="351"/>
  <c r="CV8" i="351"/>
  <c r="CU8" i="351"/>
  <c r="CT8" i="351"/>
  <c r="CS8" i="351"/>
  <c r="CR8" i="351"/>
  <c r="CQ8" i="351"/>
  <c r="CP8" i="351"/>
  <c r="CO8" i="351"/>
  <c r="CN8" i="351"/>
  <c r="CM8" i="351"/>
  <c r="CL8" i="351"/>
  <c r="CK8" i="351"/>
  <c r="CJ8" i="351"/>
  <c r="CI8" i="351"/>
  <c r="CH8" i="351"/>
  <c r="CG8" i="351"/>
  <c r="CF8" i="351"/>
  <c r="CE8" i="351"/>
  <c r="CD8" i="351"/>
  <c r="CC8" i="351"/>
  <c r="CB8" i="351"/>
  <c r="CA8" i="351"/>
  <c r="BZ8" i="351"/>
  <c r="BY8" i="351"/>
  <c r="BX8" i="351"/>
  <c r="BW8" i="351"/>
  <c r="BV8" i="351"/>
  <c r="BU8" i="351"/>
  <c r="BT8" i="351"/>
  <c r="BS8" i="351"/>
  <c r="BR8" i="351"/>
  <c r="BQ8" i="351"/>
  <c r="BP8" i="351"/>
  <c r="BO8" i="351"/>
  <c r="BN8" i="351"/>
  <c r="BM8" i="351"/>
  <c r="BL8" i="351"/>
  <c r="BK8" i="351"/>
  <c r="BJ8" i="351"/>
  <c r="BI8" i="351"/>
  <c r="BH8" i="351"/>
  <c r="BG8" i="351"/>
  <c r="BF8" i="351"/>
  <c r="BE8" i="351"/>
  <c r="BD8" i="351"/>
  <c r="BC8" i="351"/>
  <c r="BB8" i="351"/>
  <c r="AZ8" i="351"/>
  <c r="AY8" i="351"/>
  <c r="AX8" i="351"/>
  <c r="AW8" i="351"/>
  <c r="AV8" i="351"/>
  <c r="AU8" i="351"/>
  <c r="AT8" i="351"/>
  <c r="AS8" i="351"/>
  <c r="AR8" i="351"/>
  <c r="AQ8" i="351"/>
  <c r="AP8" i="351"/>
  <c r="AO8" i="351"/>
  <c r="AN8" i="351"/>
  <c r="AM8" i="351"/>
  <c r="AL8" i="351"/>
  <c r="AK8" i="351"/>
  <c r="AJ8" i="351"/>
  <c r="AI8" i="351"/>
  <c r="AH8" i="351"/>
  <c r="AF8" i="351"/>
  <c r="AD8" i="351"/>
  <c r="AC8" i="351"/>
  <c r="AB8" i="351"/>
  <c r="AA8" i="351"/>
  <c r="Z8" i="351"/>
  <c r="Y8" i="351"/>
  <c r="X8" i="351"/>
  <c r="W8" i="351"/>
  <c r="V8" i="351"/>
  <c r="U8" i="351"/>
  <c r="T8" i="351"/>
  <c r="S8" i="351"/>
  <c r="M7" i="351"/>
  <c r="P7" i="351" s="1"/>
  <c r="M6" i="351"/>
  <c r="P6" i="351" s="1"/>
  <c r="M5" i="351"/>
  <c r="F11" i="247"/>
  <c r="F11" i="242"/>
  <c r="F10" i="239"/>
  <c r="W6" i="355" l="1"/>
  <c r="CU105" i="128"/>
  <c r="CV105" i="128" s="1"/>
  <c r="R6" i="360"/>
  <c r="P7" i="360"/>
  <c r="E13" i="360" s="1"/>
  <c r="R5" i="360"/>
  <c r="E14" i="360"/>
  <c r="N7" i="360"/>
  <c r="P6" i="359"/>
  <c r="E12" i="359" s="1"/>
  <c r="R5" i="359"/>
  <c r="R6" i="359" s="1"/>
  <c r="D10" i="359" s="1"/>
  <c r="E13" i="359"/>
  <c r="N6" i="359"/>
  <c r="D11" i="359"/>
  <c r="P6" i="358"/>
  <c r="E12" i="358" s="1"/>
  <c r="E13" i="358"/>
  <c r="N6" i="358"/>
  <c r="D11" i="358"/>
  <c r="R5" i="358"/>
  <c r="R6" i="358" s="1"/>
  <c r="D10" i="358" s="1"/>
  <c r="R7" i="357"/>
  <c r="D11" i="357" s="1"/>
  <c r="Q7" i="357"/>
  <c r="D12" i="357" s="1"/>
  <c r="P7" i="357"/>
  <c r="E13" i="357" s="1"/>
  <c r="E15" i="357" s="1"/>
  <c r="E14" i="357"/>
  <c r="N7" i="357"/>
  <c r="E14" i="356"/>
  <c r="E15" i="356" s="1"/>
  <c r="N7" i="356"/>
  <c r="R5" i="356"/>
  <c r="R7" i="356" s="1"/>
  <c r="D11" i="356" s="1"/>
  <c r="D12" i="356"/>
  <c r="E16" i="355"/>
  <c r="N9" i="355"/>
  <c r="P9" i="355"/>
  <c r="E15" i="355" s="1"/>
  <c r="W9" i="355"/>
  <c r="D13" i="355" s="1"/>
  <c r="D17" i="355" s="1"/>
  <c r="P7" i="354"/>
  <c r="E13" i="354" s="1"/>
  <c r="R7" i="354"/>
  <c r="D11" i="354" s="1"/>
  <c r="D15" i="354" s="1"/>
  <c r="E14" i="354"/>
  <c r="N7" i="354"/>
  <c r="R8" i="353"/>
  <c r="R14" i="353"/>
  <c r="R13" i="353"/>
  <c r="Q15" i="353"/>
  <c r="D20" i="353" s="1"/>
  <c r="R6" i="353"/>
  <c r="P15" i="353"/>
  <c r="E21" i="353" s="1"/>
  <c r="E22" i="353"/>
  <c r="N15" i="353"/>
  <c r="R5" i="353"/>
  <c r="Q5" i="352"/>
  <c r="Q6" i="352" s="1"/>
  <c r="D11" i="352" s="1"/>
  <c r="M6" i="352"/>
  <c r="P6" i="352"/>
  <c r="E12" i="352" s="1"/>
  <c r="R7" i="351"/>
  <c r="M8" i="351"/>
  <c r="R6" i="351"/>
  <c r="P5" i="351"/>
  <c r="P8" i="351" s="1"/>
  <c r="E14" i="351" s="1"/>
  <c r="Q5" i="351"/>
  <c r="F10" i="350"/>
  <c r="F10" i="349"/>
  <c r="B15" i="350"/>
  <c r="F13" i="350"/>
  <c r="F12" i="350"/>
  <c r="F11" i="350"/>
  <c r="A8" i="350"/>
  <c r="CV6" i="350"/>
  <c r="CU6" i="350"/>
  <c r="CT6" i="350"/>
  <c r="CS6" i="350"/>
  <c r="CR6" i="350"/>
  <c r="CQ6" i="350"/>
  <c r="CP6" i="350"/>
  <c r="CO6" i="350"/>
  <c r="CN6" i="350"/>
  <c r="CM6" i="350"/>
  <c r="CL6" i="350"/>
  <c r="CK6" i="350"/>
  <c r="CJ6" i="350"/>
  <c r="CI6" i="350"/>
  <c r="CH6" i="350"/>
  <c r="CG6" i="350"/>
  <c r="CF6" i="350"/>
  <c r="CE6" i="350"/>
  <c r="CD6" i="350"/>
  <c r="CC6" i="350"/>
  <c r="CB6" i="350"/>
  <c r="CA6" i="350"/>
  <c r="BZ6" i="350"/>
  <c r="BY6" i="350"/>
  <c r="BX6" i="350"/>
  <c r="BW6" i="350"/>
  <c r="BV6" i="350"/>
  <c r="BU6" i="350"/>
  <c r="BT6" i="350"/>
  <c r="BS6" i="350"/>
  <c r="BR6" i="350"/>
  <c r="BQ6" i="350"/>
  <c r="BP6" i="350"/>
  <c r="BO6" i="350"/>
  <c r="BN6" i="350"/>
  <c r="BM6" i="350"/>
  <c r="BL6" i="350"/>
  <c r="BK6" i="350"/>
  <c r="BJ6" i="350"/>
  <c r="BI6" i="350"/>
  <c r="BH6" i="350"/>
  <c r="BG6" i="350"/>
  <c r="BF6" i="350"/>
  <c r="BE6" i="350"/>
  <c r="BD6" i="350"/>
  <c r="BB6" i="350"/>
  <c r="AZ6" i="350"/>
  <c r="AY6" i="350"/>
  <c r="AX6" i="350"/>
  <c r="AW6" i="350"/>
  <c r="AV6" i="350"/>
  <c r="AU6" i="350"/>
  <c r="AT6" i="350"/>
  <c r="AS6" i="350"/>
  <c r="AR6" i="350"/>
  <c r="AQ6" i="350"/>
  <c r="AP6" i="350"/>
  <c r="AO6" i="350"/>
  <c r="AN6" i="350"/>
  <c r="AM6" i="350"/>
  <c r="AL6" i="350"/>
  <c r="AK6" i="350"/>
  <c r="AJ6" i="350"/>
  <c r="AI6" i="350"/>
  <c r="AH6" i="350"/>
  <c r="AF6" i="350"/>
  <c r="AD6" i="350"/>
  <c r="AC6" i="350"/>
  <c r="AB6" i="350"/>
  <c r="AA6" i="350"/>
  <c r="Z6" i="350"/>
  <c r="Y6" i="350"/>
  <c r="X6" i="350"/>
  <c r="W6" i="350"/>
  <c r="V6" i="350"/>
  <c r="U6" i="350"/>
  <c r="T6" i="350"/>
  <c r="S6" i="350"/>
  <c r="M5" i="350"/>
  <c r="B15" i="349"/>
  <c r="F13" i="349"/>
  <c r="F12" i="349"/>
  <c r="F11" i="349"/>
  <c r="A8" i="349"/>
  <c r="CV6" i="349"/>
  <c r="CU6" i="349"/>
  <c r="CT6" i="349"/>
  <c r="CS6" i="349"/>
  <c r="CR6" i="349"/>
  <c r="CQ6" i="349"/>
  <c r="CP6" i="349"/>
  <c r="CO6" i="349"/>
  <c r="CN6" i="349"/>
  <c r="CM6" i="349"/>
  <c r="CL6" i="349"/>
  <c r="CK6" i="349"/>
  <c r="CJ6" i="349"/>
  <c r="CI6" i="349"/>
  <c r="CH6" i="349"/>
  <c r="CG6" i="349"/>
  <c r="CF6" i="349"/>
  <c r="CE6" i="349"/>
  <c r="CD6" i="349"/>
  <c r="CC6" i="349"/>
  <c r="CB6" i="349"/>
  <c r="CA6" i="349"/>
  <c r="BZ6" i="349"/>
  <c r="BY6" i="349"/>
  <c r="BX6" i="349"/>
  <c r="BW6" i="349"/>
  <c r="BV6" i="349"/>
  <c r="BU6" i="349"/>
  <c r="BT6" i="349"/>
  <c r="BS6" i="349"/>
  <c r="BR6" i="349"/>
  <c r="BQ6" i="349"/>
  <c r="BP6" i="349"/>
  <c r="BO6" i="349"/>
  <c r="BN6" i="349"/>
  <c r="BM6" i="349"/>
  <c r="BL6" i="349"/>
  <c r="BK6" i="349"/>
  <c r="BJ6" i="349"/>
  <c r="BI6" i="349"/>
  <c r="BH6" i="349"/>
  <c r="BG6" i="349"/>
  <c r="BF6" i="349"/>
  <c r="BE6" i="349"/>
  <c r="BD6" i="349"/>
  <c r="BB6" i="349"/>
  <c r="AZ6" i="349"/>
  <c r="AY6" i="349"/>
  <c r="AX6" i="349"/>
  <c r="AW6" i="349"/>
  <c r="AV6" i="349"/>
  <c r="AU6" i="349"/>
  <c r="AT6" i="349"/>
  <c r="AS6" i="349"/>
  <c r="AR6" i="349"/>
  <c r="AQ6" i="349"/>
  <c r="AP6" i="349"/>
  <c r="AO6" i="349"/>
  <c r="AN6" i="349"/>
  <c r="AM6" i="349"/>
  <c r="AL6" i="349"/>
  <c r="AK6" i="349"/>
  <c r="AJ6" i="349"/>
  <c r="AI6" i="349"/>
  <c r="AH6" i="349"/>
  <c r="AF6" i="349"/>
  <c r="AD6" i="349"/>
  <c r="AC6" i="349"/>
  <c r="AB6" i="349"/>
  <c r="AA6" i="349"/>
  <c r="Z6" i="349"/>
  <c r="Y6" i="349"/>
  <c r="X6" i="349"/>
  <c r="W6" i="349"/>
  <c r="V6" i="349"/>
  <c r="U6" i="349"/>
  <c r="T6" i="349"/>
  <c r="S6" i="349"/>
  <c r="M5" i="349"/>
  <c r="F10" i="348"/>
  <c r="B15" i="348"/>
  <c r="F13" i="348"/>
  <c r="F12" i="348"/>
  <c r="F11" i="348"/>
  <c r="A8" i="348"/>
  <c r="CV6" i="348"/>
  <c r="CU6" i="348"/>
  <c r="CT6" i="348"/>
  <c r="CS6" i="348"/>
  <c r="CR6" i="348"/>
  <c r="CQ6" i="348"/>
  <c r="CP6" i="348"/>
  <c r="CO6" i="348"/>
  <c r="CN6" i="348"/>
  <c r="CM6" i="348"/>
  <c r="CL6" i="348"/>
  <c r="CK6" i="348"/>
  <c r="CJ6" i="348"/>
  <c r="CI6" i="348"/>
  <c r="CH6" i="348"/>
  <c r="CG6" i="348"/>
  <c r="CF6" i="348"/>
  <c r="CE6" i="348"/>
  <c r="CD6" i="348"/>
  <c r="CC6" i="348"/>
  <c r="CB6" i="348"/>
  <c r="CA6" i="348"/>
  <c r="BZ6" i="348"/>
  <c r="BY6" i="348"/>
  <c r="BX6" i="348"/>
  <c r="BW6" i="348"/>
  <c r="BV6" i="348"/>
  <c r="BU6" i="348"/>
  <c r="BT6" i="348"/>
  <c r="BS6" i="348"/>
  <c r="BR6" i="348"/>
  <c r="BQ6" i="348"/>
  <c r="BP6" i="348"/>
  <c r="BO6" i="348"/>
  <c r="BN6" i="348"/>
  <c r="BM6" i="348"/>
  <c r="BL6" i="348"/>
  <c r="BK6" i="348"/>
  <c r="BJ6" i="348"/>
  <c r="BI6" i="348"/>
  <c r="BH6" i="348"/>
  <c r="BG6" i="348"/>
  <c r="BF6" i="348"/>
  <c r="BE6" i="348"/>
  <c r="BD6" i="348"/>
  <c r="BC6" i="348"/>
  <c r="BB6" i="348"/>
  <c r="AZ6" i="348"/>
  <c r="AY6" i="348"/>
  <c r="AX6" i="348"/>
  <c r="AW6" i="348"/>
  <c r="AV6" i="348"/>
  <c r="AU6" i="348"/>
  <c r="AT6" i="348"/>
  <c r="AS6" i="348"/>
  <c r="AR6" i="348"/>
  <c r="AQ6" i="348"/>
  <c r="AP6" i="348"/>
  <c r="AO6" i="348"/>
  <c r="AN6" i="348"/>
  <c r="AM6" i="348"/>
  <c r="AL6" i="348"/>
  <c r="AK6" i="348"/>
  <c r="AJ6" i="348"/>
  <c r="AI6" i="348"/>
  <c r="AH6" i="348"/>
  <c r="AF6" i="348"/>
  <c r="AD6" i="348"/>
  <c r="AC6" i="348"/>
  <c r="AB6" i="348"/>
  <c r="AA6" i="348"/>
  <c r="Z6" i="348"/>
  <c r="Y6" i="348"/>
  <c r="X6" i="348"/>
  <c r="W6" i="348"/>
  <c r="V6" i="348"/>
  <c r="U6" i="348"/>
  <c r="T6" i="348"/>
  <c r="S6" i="348"/>
  <c r="M5" i="348"/>
  <c r="F10" i="347"/>
  <c r="B15" i="347"/>
  <c r="F13" i="347"/>
  <c r="F12" i="347"/>
  <c r="F11" i="347"/>
  <c r="A8" i="347"/>
  <c r="CV6" i="347"/>
  <c r="CU6" i="347"/>
  <c r="CT6" i="347"/>
  <c r="CS6" i="347"/>
  <c r="CR6" i="347"/>
  <c r="CQ6" i="347"/>
  <c r="CP6" i="347"/>
  <c r="CO6" i="347"/>
  <c r="CN6" i="347"/>
  <c r="CM6" i="347"/>
  <c r="CL6" i="347"/>
  <c r="CK6" i="347"/>
  <c r="CJ6" i="347"/>
  <c r="CI6" i="347"/>
  <c r="CH6" i="347"/>
  <c r="CG6" i="347"/>
  <c r="CF6" i="347"/>
  <c r="CE6" i="347"/>
  <c r="CD6" i="347"/>
  <c r="CC6" i="347"/>
  <c r="CB6" i="347"/>
  <c r="CA6" i="347"/>
  <c r="BZ6" i="347"/>
  <c r="BY6" i="347"/>
  <c r="BX6" i="347"/>
  <c r="BW6" i="347"/>
  <c r="BV6" i="347"/>
  <c r="BU6" i="347"/>
  <c r="BT6" i="347"/>
  <c r="BS6" i="347"/>
  <c r="BR6" i="347"/>
  <c r="BQ6" i="347"/>
  <c r="BP6" i="347"/>
  <c r="BO6" i="347"/>
  <c r="BN6" i="347"/>
  <c r="BM6" i="347"/>
  <c r="BL6" i="347"/>
  <c r="BK6" i="347"/>
  <c r="BJ6" i="347"/>
  <c r="BI6" i="347"/>
  <c r="BH6" i="347"/>
  <c r="BG6" i="347"/>
  <c r="BF6" i="347"/>
  <c r="BE6" i="347"/>
  <c r="BD6" i="347"/>
  <c r="BC6" i="347"/>
  <c r="BB6" i="347"/>
  <c r="AZ6" i="347"/>
  <c r="AY6" i="347"/>
  <c r="AX6" i="347"/>
  <c r="AW6" i="347"/>
  <c r="AV6" i="347"/>
  <c r="AU6" i="347"/>
  <c r="AT6" i="347"/>
  <c r="AS6" i="347"/>
  <c r="AR6" i="347"/>
  <c r="AQ6" i="347"/>
  <c r="AP6" i="347"/>
  <c r="AO6" i="347"/>
  <c r="AN6" i="347"/>
  <c r="AM6" i="347"/>
  <c r="AL6" i="347"/>
  <c r="AK6" i="347"/>
  <c r="AJ6" i="347"/>
  <c r="AI6" i="347"/>
  <c r="AH6" i="347"/>
  <c r="AF6" i="347"/>
  <c r="AD6" i="347"/>
  <c r="AC6" i="347"/>
  <c r="AB6" i="347"/>
  <c r="AA6" i="347"/>
  <c r="Z6" i="347"/>
  <c r="Y6" i="347"/>
  <c r="X6" i="347"/>
  <c r="W6" i="347"/>
  <c r="V6" i="347"/>
  <c r="U6" i="347"/>
  <c r="T6" i="347"/>
  <c r="S6" i="347"/>
  <c r="M5" i="347"/>
  <c r="F18" i="346"/>
  <c r="F17" i="346"/>
  <c r="B23" i="346"/>
  <c r="F21" i="346"/>
  <c r="F20" i="346"/>
  <c r="F19" i="346"/>
  <c r="A15" i="346"/>
  <c r="CV13" i="346"/>
  <c r="CU13" i="346"/>
  <c r="CT13" i="346"/>
  <c r="CS13" i="346"/>
  <c r="CR13" i="346"/>
  <c r="CQ13" i="346"/>
  <c r="CP13" i="346"/>
  <c r="CO13" i="346"/>
  <c r="CN13" i="346"/>
  <c r="CM13" i="346"/>
  <c r="CL13" i="346"/>
  <c r="CK13" i="346"/>
  <c r="CJ13" i="346"/>
  <c r="CI13" i="346"/>
  <c r="CH13" i="346"/>
  <c r="CG13" i="346"/>
  <c r="CF13" i="346"/>
  <c r="CE13" i="346"/>
  <c r="CD13" i="346"/>
  <c r="CC13" i="346"/>
  <c r="CB13" i="346"/>
  <c r="CA13" i="346"/>
  <c r="BZ13" i="346"/>
  <c r="BY13" i="346"/>
  <c r="BX13" i="346"/>
  <c r="BW13" i="346"/>
  <c r="BV13" i="346"/>
  <c r="BU13" i="346"/>
  <c r="BT13" i="346"/>
  <c r="BS13" i="346"/>
  <c r="BR13" i="346"/>
  <c r="BQ13" i="346"/>
  <c r="BP13" i="346"/>
  <c r="BO13" i="346"/>
  <c r="BN13" i="346"/>
  <c r="BM13" i="346"/>
  <c r="BL13" i="346"/>
  <c r="BK13" i="346"/>
  <c r="BJ13" i="346"/>
  <c r="BI13" i="346"/>
  <c r="BH13" i="346"/>
  <c r="BG13" i="346"/>
  <c r="BF13" i="346"/>
  <c r="BE13" i="346"/>
  <c r="BD13" i="346"/>
  <c r="BC13" i="346"/>
  <c r="BB13" i="346"/>
  <c r="AZ13" i="346"/>
  <c r="AY13" i="346"/>
  <c r="AX13" i="346"/>
  <c r="AW13" i="346"/>
  <c r="AV13" i="346"/>
  <c r="AU13" i="346"/>
  <c r="AT13" i="346"/>
  <c r="AS13" i="346"/>
  <c r="AR13" i="346"/>
  <c r="AQ13" i="346"/>
  <c r="AP13" i="346"/>
  <c r="AO13" i="346"/>
  <c r="AN13" i="346"/>
  <c r="AM13" i="346"/>
  <c r="AL13" i="346"/>
  <c r="AK13" i="346"/>
  <c r="AJ13" i="346"/>
  <c r="AI13" i="346"/>
  <c r="AH13" i="346"/>
  <c r="AF13" i="346"/>
  <c r="AD13" i="346"/>
  <c r="AC13" i="346"/>
  <c r="AB13" i="346"/>
  <c r="AA13" i="346"/>
  <c r="Z13" i="346"/>
  <c r="Y13" i="346"/>
  <c r="X13" i="346"/>
  <c r="W13" i="346"/>
  <c r="V13" i="346"/>
  <c r="U13" i="346"/>
  <c r="T13" i="346"/>
  <c r="M12" i="346"/>
  <c r="M11" i="346"/>
  <c r="M10" i="346"/>
  <c r="M9" i="346"/>
  <c r="M8" i="346"/>
  <c r="Q8" i="346" s="1"/>
  <c r="M7" i="346"/>
  <c r="M6" i="346"/>
  <c r="M5" i="346"/>
  <c r="F11" i="345"/>
  <c r="M7" i="345"/>
  <c r="B16" i="345"/>
  <c r="F14" i="345"/>
  <c r="F13" i="345"/>
  <c r="F12" i="345"/>
  <c r="A9" i="345"/>
  <c r="CV7" i="345"/>
  <c r="CU7" i="345"/>
  <c r="CT7" i="345"/>
  <c r="CS7" i="345"/>
  <c r="CR7" i="345"/>
  <c r="CQ7" i="345"/>
  <c r="CP7" i="345"/>
  <c r="CO7" i="345"/>
  <c r="CN7" i="345"/>
  <c r="CM7" i="345"/>
  <c r="CL7" i="345"/>
  <c r="CK7" i="345"/>
  <c r="CJ7" i="345"/>
  <c r="CI7" i="345"/>
  <c r="CH7" i="345"/>
  <c r="CG7" i="345"/>
  <c r="CF7" i="345"/>
  <c r="CE7" i="345"/>
  <c r="CD7" i="345"/>
  <c r="CC7" i="345"/>
  <c r="CB7" i="345"/>
  <c r="CA7" i="345"/>
  <c r="BZ7" i="345"/>
  <c r="BY7" i="345"/>
  <c r="BX7" i="345"/>
  <c r="BW7" i="345"/>
  <c r="BV7" i="345"/>
  <c r="BU7" i="345"/>
  <c r="BT7" i="345"/>
  <c r="BS7" i="345"/>
  <c r="BR7" i="345"/>
  <c r="BQ7" i="345"/>
  <c r="BP7" i="345"/>
  <c r="BO7" i="345"/>
  <c r="BN7" i="345"/>
  <c r="BM7" i="345"/>
  <c r="BL7" i="345"/>
  <c r="BK7" i="345"/>
  <c r="BJ7" i="345"/>
  <c r="BI7" i="345"/>
  <c r="BH7" i="345"/>
  <c r="BG7" i="345"/>
  <c r="BF7" i="345"/>
  <c r="BE7" i="345"/>
  <c r="BD7" i="345"/>
  <c r="BC7" i="345"/>
  <c r="BB7" i="345"/>
  <c r="AZ7" i="345"/>
  <c r="AY7" i="345"/>
  <c r="AX7" i="345"/>
  <c r="AW7" i="345"/>
  <c r="AV7" i="345"/>
  <c r="AU7" i="345"/>
  <c r="AT7" i="345"/>
  <c r="AS7" i="345"/>
  <c r="AR7" i="345"/>
  <c r="AQ7" i="345"/>
  <c r="AP7" i="345"/>
  <c r="AO7" i="345"/>
  <c r="AN7" i="345"/>
  <c r="AM7" i="345"/>
  <c r="AL7" i="345"/>
  <c r="AK7" i="345"/>
  <c r="AJ7" i="345"/>
  <c r="AI7" i="345"/>
  <c r="AH7" i="345"/>
  <c r="AF7" i="345"/>
  <c r="AD7" i="345"/>
  <c r="AC7" i="345"/>
  <c r="AB7" i="345"/>
  <c r="AA7" i="345"/>
  <c r="Z7" i="345"/>
  <c r="Y7" i="345"/>
  <c r="X7" i="345"/>
  <c r="W7" i="345"/>
  <c r="V7" i="345"/>
  <c r="U7" i="345"/>
  <c r="T7" i="345"/>
  <c r="S7" i="345"/>
  <c r="M6" i="345"/>
  <c r="Q6" i="345" s="1"/>
  <c r="M5" i="345"/>
  <c r="P5" i="344"/>
  <c r="P6" i="344" s="1"/>
  <c r="F10" i="344"/>
  <c r="B15" i="344"/>
  <c r="F13" i="344"/>
  <c r="F12" i="344"/>
  <c r="F11" i="344"/>
  <c r="A8" i="344"/>
  <c r="CV6" i="344"/>
  <c r="CU6" i="344"/>
  <c r="CT6" i="344"/>
  <c r="CS6" i="344"/>
  <c r="CR6" i="344"/>
  <c r="CQ6" i="344"/>
  <c r="CP6" i="344"/>
  <c r="CO6" i="344"/>
  <c r="CN6" i="344"/>
  <c r="CM6" i="344"/>
  <c r="CL6" i="344"/>
  <c r="CK6" i="344"/>
  <c r="CJ6" i="344"/>
  <c r="CI6" i="344"/>
  <c r="CH6" i="344"/>
  <c r="CG6" i="344"/>
  <c r="CF6" i="344"/>
  <c r="CE6" i="344"/>
  <c r="CD6" i="344"/>
  <c r="CC6" i="344"/>
  <c r="CB6" i="344"/>
  <c r="CA6" i="344"/>
  <c r="BZ6" i="344"/>
  <c r="BY6" i="344"/>
  <c r="BX6" i="344"/>
  <c r="BW6" i="344"/>
  <c r="BV6" i="344"/>
  <c r="BU6" i="344"/>
  <c r="BT6" i="344"/>
  <c r="BS6" i="344"/>
  <c r="BR6" i="344"/>
  <c r="BQ6" i="344"/>
  <c r="BP6" i="344"/>
  <c r="BO6" i="344"/>
  <c r="BN6" i="344"/>
  <c r="BM6" i="344"/>
  <c r="BL6" i="344"/>
  <c r="BK6" i="344"/>
  <c r="BJ6" i="344"/>
  <c r="BI6" i="344"/>
  <c r="BH6" i="344"/>
  <c r="BG6" i="344"/>
  <c r="BF6" i="344"/>
  <c r="BE6" i="344"/>
  <c r="BD6" i="344"/>
  <c r="BC6" i="344"/>
  <c r="BB6" i="344"/>
  <c r="AZ6" i="344"/>
  <c r="AY6" i="344"/>
  <c r="AX6" i="344"/>
  <c r="AW6" i="344"/>
  <c r="AV6" i="344"/>
  <c r="AU6" i="344"/>
  <c r="AT6" i="344"/>
  <c r="AS6" i="344"/>
  <c r="AR6" i="344"/>
  <c r="AQ6" i="344"/>
  <c r="AP6" i="344"/>
  <c r="AO6" i="344"/>
  <c r="AN6" i="344"/>
  <c r="AM6" i="344"/>
  <c r="AL6" i="344"/>
  <c r="AK6" i="344"/>
  <c r="AJ6" i="344"/>
  <c r="AI6" i="344"/>
  <c r="AH6" i="344"/>
  <c r="AF6" i="344"/>
  <c r="AD6" i="344"/>
  <c r="AC6" i="344"/>
  <c r="AB6" i="344"/>
  <c r="AA6" i="344"/>
  <c r="Z6" i="344"/>
  <c r="Y6" i="344"/>
  <c r="X6" i="344"/>
  <c r="W6" i="344"/>
  <c r="V6" i="344"/>
  <c r="U6" i="344"/>
  <c r="T6" i="344"/>
  <c r="S6" i="344"/>
  <c r="M5" i="344"/>
  <c r="F10" i="343"/>
  <c r="P5" i="343"/>
  <c r="B15" i="343"/>
  <c r="F13" i="343"/>
  <c r="F12" i="343"/>
  <c r="F11" i="343"/>
  <c r="A8" i="343"/>
  <c r="CV6" i="343"/>
  <c r="CU6" i="343"/>
  <c r="CT6" i="343"/>
  <c r="CS6" i="343"/>
  <c r="CR6" i="343"/>
  <c r="CQ6" i="343"/>
  <c r="CP6" i="343"/>
  <c r="CO6" i="343"/>
  <c r="CN6" i="343"/>
  <c r="CM6" i="343"/>
  <c r="CL6" i="343"/>
  <c r="CK6" i="343"/>
  <c r="CJ6" i="343"/>
  <c r="CI6" i="343"/>
  <c r="CH6" i="343"/>
  <c r="CG6" i="343"/>
  <c r="CF6" i="343"/>
  <c r="CE6" i="343"/>
  <c r="CD6" i="343"/>
  <c r="CC6" i="343"/>
  <c r="CB6" i="343"/>
  <c r="CA6" i="343"/>
  <c r="BZ6" i="343"/>
  <c r="BY6" i="343"/>
  <c r="BX6" i="343"/>
  <c r="BW6" i="343"/>
  <c r="BV6" i="343"/>
  <c r="BU6" i="343"/>
  <c r="BT6" i="343"/>
  <c r="BS6" i="343"/>
  <c r="BR6" i="343"/>
  <c r="BQ6" i="343"/>
  <c r="BP6" i="343"/>
  <c r="BO6" i="343"/>
  <c r="BN6" i="343"/>
  <c r="BM6" i="343"/>
  <c r="BL6" i="343"/>
  <c r="BK6" i="343"/>
  <c r="BJ6" i="343"/>
  <c r="BI6" i="343"/>
  <c r="BH6" i="343"/>
  <c r="BG6" i="343"/>
  <c r="BF6" i="343"/>
  <c r="BE6" i="343"/>
  <c r="BD6" i="343"/>
  <c r="BC6" i="343"/>
  <c r="BB6" i="343"/>
  <c r="AZ6" i="343"/>
  <c r="AY6" i="343"/>
  <c r="AX6" i="343"/>
  <c r="AW6" i="343"/>
  <c r="AV6" i="343"/>
  <c r="AU6" i="343"/>
  <c r="AT6" i="343"/>
  <c r="AS6" i="343"/>
  <c r="AR6" i="343"/>
  <c r="AQ6" i="343"/>
  <c r="AP6" i="343"/>
  <c r="AO6" i="343"/>
  <c r="AN6" i="343"/>
  <c r="AM6" i="343"/>
  <c r="AL6" i="343"/>
  <c r="AK6" i="343"/>
  <c r="AJ6" i="343"/>
  <c r="AI6" i="343"/>
  <c r="AH6" i="343"/>
  <c r="AF6" i="343"/>
  <c r="AD6" i="343"/>
  <c r="AC6" i="343"/>
  <c r="AB6" i="343"/>
  <c r="AA6" i="343"/>
  <c r="Z6" i="343"/>
  <c r="Y6" i="343"/>
  <c r="X6" i="343"/>
  <c r="W6" i="343"/>
  <c r="V6" i="343"/>
  <c r="U6" i="343"/>
  <c r="T6" i="343"/>
  <c r="S6" i="343"/>
  <c r="M5" i="343"/>
  <c r="F10" i="342"/>
  <c r="P5" i="342"/>
  <c r="B15" i="342"/>
  <c r="F13" i="342"/>
  <c r="F12" i="342"/>
  <c r="F11" i="342"/>
  <c r="A8" i="342"/>
  <c r="CV6" i="342"/>
  <c r="CU6" i="342"/>
  <c r="CT6" i="342"/>
  <c r="CS6" i="342"/>
  <c r="CR6" i="342"/>
  <c r="CQ6" i="342"/>
  <c r="CP6" i="342"/>
  <c r="CO6" i="342"/>
  <c r="CN6" i="342"/>
  <c r="CM6" i="342"/>
  <c r="CL6" i="342"/>
  <c r="CK6" i="342"/>
  <c r="CJ6" i="342"/>
  <c r="CI6" i="342"/>
  <c r="CH6" i="342"/>
  <c r="CG6" i="342"/>
  <c r="CF6" i="342"/>
  <c r="CE6" i="342"/>
  <c r="CD6" i="342"/>
  <c r="CC6" i="342"/>
  <c r="CB6" i="342"/>
  <c r="CA6" i="342"/>
  <c r="BZ6" i="342"/>
  <c r="BY6" i="342"/>
  <c r="BX6" i="342"/>
  <c r="BW6" i="342"/>
  <c r="BV6" i="342"/>
  <c r="BU6" i="342"/>
  <c r="BT6" i="342"/>
  <c r="BR6" i="342"/>
  <c r="BQ6" i="342"/>
  <c r="BP6" i="342"/>
  <c r="BO6" i="342"/>
  <c r="BN6" i="342"/>
  <c r="BM6" i="342"/>
  <c r="BL6" i="342"/>
  <c r="BK6" i="342"/>
  <c r="BJ6" i="342"/>
  <c r="BI6" i="342"/>
  <c r="BH6" i="342"/>
  <c r="BG6" i="342"/>
  <c r="BF6" i="342"/>
  <c r="BE6" i="342"/>
  <c r="BD6" i="342"/>
  <c r="BC6" i="342"/>
  <c r="BB6" i="342"/>
  <c r="AZ6" i="342"/>
  <c r="AY6" i="342"/>
  <c r="AX6" i="342"/>
  <c r="AW6" i="342"/>
  <c r="AV6" i="342"/>
  <c r="AU6" i="342"/>
  <c r="AT6" i="342"/>
  <c r="AS6" i="342"/>
  <c r="AR6" i="342"/>
  <c r="AQ6" i="342"/>
  <c r="AP6" i="342"/>
  <c r="AO6" i="342"/>
  <c r="AN6" i="342"/>
  <c r="AM6" i="342"/>
  <c r="AL6" i="342"/>
  <c r="AK6" i="342"/>
  <c r="AJ6" i="342"/>
  <c r="AI6" i="342"/>
  <c r="AH6" i="342"/>
  <c r="AF6" i="342"/>
  <c r="AD6" i="342"/>
  <c r="AC6" i="342"/>
  <c r="AB6" i="342"/>
  <c r="AA6" i="342"/>
  <c r="Z6" i="342"/>
  <c r="Y6" i="342"/>
  <c r="X6" i="342"/>
  <c r="W6" i="342"/>
  <c r="V6" i="342"/>
  <c r="U6" i="342"/>
  <c r="T6" i="342"/>
  <c r="M5" i="342"/>
  <c r="F11" i="341"/>
  <c r="M6" i="341"/>
  <c r="Q6" i="341" s="1"/>
  <c r="M5" i="341"/>
  <c r="M7" i="341" s="1"/>
  <c r="B16" i="341"/>
  <c r="F14" i="341"/>
  <c r="F13" i="341"/>
  <c r="F12" i="341"/>
  <c r="A9" i="341"/>
  <c r="CV7" i="341"/>
  <c r="CU7" i="341"/>
  <c r="CT7" i="341"/>
  <c r="CS7" i="341"/>
  <c r="CR7" i="341"/>
  <c r="CQ7" i="341"/>
  <c r="CP7" i="341"/>
  <c r="CO7" i="341"/>
  <c r="CN7" i="341"/>
  <c r="CM7" i="341"/>
  <c r="CL7" i="341"/>
  <c r="CK7" i="341"/>
  <c r="CJ7" i="341"/>
  <c r="CI7" i="341"/>
  <c r="CH7" i="341"/>
  <c r="CG7" i="341"/>
  <c r="CF7" i="341"/>
  <c r="CE7" i="341"/>
  <c r="CD7" i="341"/>
  <c r="CC7" i="341"/>
  <c r="CB7" i="341"/>
  <c r="CA7" i="341"/>
  <c r="BZ7" i="341"/>
  <c r="BY7" i="341"/>
  <c r="BX7" i="341"/>
  <c r="BW7" i="341"/>
  <c r="BV7" i="341"/>
  <c r="BU7" i="341"/>
  <c r="BT7" i="341"/>
  <c r="BR7" i="341"/>
  <c r="BQ7" i="341"/>
  <c r="BP7" i="341"/>
  <c r="BO7" i="341"/>
  <c r="BN7" i="341"/>
  <c r="BM7" i="341"/>
  <c r="BL7" i="341"/>
  <c r="BK7" i="341"/>
  <c r="BJ7" i="341"/>
  <c r="BI7" i="341"/>
  <c r="BH7" i="341"/>
  <c r="BG7" i="341"/>
  <c r="BF7" i="341"/>
  <c r="BE7" i="341"/>
  <c r="BD7" i="341"/>
  <c r="BC7" i="341"/>
  <c r="BB7" i="341"/>
  <c r="AZ7" i="341"/>
  <c r="AY7" i="341"/>
  <c r="AX7" i="341"/>
  <c r="AW7" i="341"/>
  <c r="AV7" i="341"/>
  <c r="AU7" i="341"/>
  <c r="AT7" i="341"/>
  <c r="AS7" i="341"/>
  <c r="AR7" i="341"/>
  <c r="AQ7" i="341"/>
  <c r="AP7" i="341"/>
  <c r="AO7" i="341"/>
  <c r="AN7" i="341"/>
  <c r="AM7" i="341"/>
  <c r="AL7" i="341"/>
  <c r="AK7" i="341"/>
  <c r="AJ7" i="341"/>
  <c r="AI7" i="341"/>
  <c r="AH7" i="341"/>
  <c r="AF7" i="341"/>
  <c r="AD7" i="341"/>
  <c r="AC7" i="341"/>
  <c r="AB7" i="341"/>
  <c r="AA7" i="341"/>
  <c r="Z7" i="341"/>
  <c r="Y7" i="341"/>
  <c r="X7" i="341"/>
  <c r="W7" i="341"/>
  <c r="V7" i="341"/>
  <c r="U7" i="341"/>
  <c r="T7" i="341"/>
  <c r="F10" i="340"/>
  <c r="B15" i="340"/>
  <c r="F13" i="340"/>
  <c r="F12" i="340"/>
  <c r="F11" i="340"/>
  <c r="A8" i="340"/>
  <c r="CV6" i="340"/>
  <c r="CU6" i="340"/>
  <c r="CT6" i="340"/>
  <c r="CS6" i="340"/>
  <c r="CR6" i="340"/>
  <c r="CQ6" i="340"/>
  <c r="CP6" i="340"/>
  <c r="CO6" i="340"/>
  <c r="CN6" i="340"/>
  <c r="CM6" i="340"/>
  <c r="CL6" i="340"/>
  <c r="CK6" i="340"/>
  <c r="CJ6" i="340"/>
  <c r="CI6" i="340"/>
  <c r="CH6" i="340"/>
  <c r="CG6" i="340"/>
  <c r="CF6" i="340"/>
  <c r="CE6" i="340"/>
  <c r="CD6" i="340"/>
  <c r="CC6" i="340"/>
  <c r="CB6" i="340"/>
  <c r="CA6" i="340"/>
  <c r="BZ6" i="340"/>
  <c r="BY6" i="340"/>
  <c r="BX6" i="340"/>
  <c r="BW6" i="340"/>
  <c r="BV6" i="340"/>
  <c r="BU6" i="340"/>
  <c r="BT6" i="340"/>
  <c r="BR6" i="340"/>
  <c r="BQ6" i="340"/>
  <c r="BP6" i="340"/>
  <c r="BO6" i="340"/>
  <c r="BN6" i="340"/>
  <c r="BM6" i="340"/>
  <c r="BL6" i="340"/>
  <c r="BK6" i="340"/>
  <c r="BJ6" i="340"/>
  <c r="BI6" i="340"/>
  <c r="BH6" i="340"/>
  <c r="BG6" i="340"/>
  <c r="BF6" i="340"/>
  <c r="BE6" i="340"/>
  <c r="BD6" i="340"/>
  <c r="BC6" i="340"/>
  <c r="BB6" i="340"/>
  <c r="AZ6" i="340"/>
  <c r="AY6" i="340"/>
  <c r="AX6" i="340"/>
  <c r="AW6" i="340"/>
  <c r="AV6" i="340"/>
  <c r="AU6" i="340"/>
  <c r="AT6" i="340"/>
  <c r="AS6" i="340"/>
  <c r="AR6" i="340"/>
  <c r="AQ6" i="340"/>
  <c r="AP6" i="340"/>
  <c r="AO6" i="340"/>
  <c r="AN6" i="340"/>
  <c r="AM6" i="340"/>
  <c r="AL6" i="340"/>
  <c r="AK6" i="340"/>
  <c r="AJ6" i="340"/>
  <c r="AI6" i="340"/>
  <c r="AH6" i="340"/>
  <c r="AF6" i="340"/>
  <c r="AD6" i="340"/>
  <c r="AC6" i="340"/>
  <c r="AB6" i="340"/>
  <c r="AA6" i="340"/>
  <c r="Z6" i="340"/>
  <c r="Y6" i="340"/>
  <c r="X6" i="340"/>
  <c r="W6" i="340"/>
  <c r="V6" i="340"/>
  <c r="U6" i="340"/>
  <c r="T6" i="340"/>
  <c r="S6" i="340"/>
  <c r="M5" i="340"/>
  <c r="Q5" i="340" s="1"/>
  <c r="Q6" i="340" s="1"/>
  <c r="D11" i="340" s="1"/>
  <c r="F11" i="338"/>
  <c r="P5" i="338"/>
  <c r="M7" i="338"/>
  <c r="M5" i="338"/>
  <c r="M6" i="338"/>
  <c r="P6" i="338" s="1"/>
  <c r="B16" i="338"/>
  <c r="F14" i="338"/>
  <c r="F13" i="338"/>
  <c r="F12" i="338"/>
  <c r="A9" i="338"/>
  <c r="CV7" i="338"/>
  <c r="CU7" i="338"/>
  <c r="CT7" i="338"/>
  <c r="CS7" i="338"/>
  <c r="CR7" i="338"/>
  <c r="CQ7" i="338"/>
  <c r="CP7" i="338"/>
  <c r="CO7" i="338"/>
  <c r="CN7" i="338"/>
  <c r="CM7" i="338"/>
  <c r="CL7" i="338"/>
  <c r="CK7" i="338"/>
  <c r="CJ7" i="338"/>
  <c r="CI7" i="338"/>
  <c r="CH7" i="338"/>
  <c r="CG7" i="338"/>
  <c r="CF7" i="338"/>
  <c r="CE7" i="338"/>
  <c r="CD7" i="338"/>
  <c r="CC7" i="338"/>
  <c r="CB7" i="338"/>
  <c r="CA7" i="338"/>
  <c r="BZ7" i="338"/>
  <c r="BY7" i="338"/>
  <c r="BX7" i="338"/>
  <c r="BW7" i="338"/>
  <c r="BV7" i="338"/>
  <c r="BU7" i="338"/>
  <c r="BT7" i="338"/>
  <c r="BS7" i="338"/>
  <c r="BR7" i="338"/>
  <c r="BQ7" i="338"/>
  <c r="BP7" i="338"/>
  <c r="BO7" i="338"/>
  <c r="BN7" i="338"/>
  <c r="BM7" i="338"/>
  <c r="BL7" i="338"/>
  <c r="BK7" i="338"/>
  <c r="BJ7" i="338"/>
  <c r="BI7" i="338"/>
  <c r="BH7" i="338"/>
  <c r="BG7" i="338"/>
  <c r="BF7" i="338"/>
  <c r="BE7" i="338"/>
  <c r="BD7" i="338"/>
  <c r="BC7" i="338"/>
  <c r="BB7" i="338"/>
  <c r="AZ7" i="338"/>
  <c r="AY7" i="338"/>
  <c r="AX7" i="338"/>
  <c r="AW7" i="338"/>
  <c r="AV7" i="338"/>
  <c r="AU7" i="338"/>
  <c r="AT7" i="338"/>
  <c r="AS7" i="338"/>
  <c r="AR7" i="338"/>
  <c r="AQ7" i="338"/>
  <c r="AP7" i="338"/>
  <c r="AO7" i="338"/>
  <c r="AN7" i="338"/>
  <c r="AM7" i="338"/>
  <c r="AL7" i="338"/>
  <c r="AK7" i="338"/>
  <c r="AJ7" i="338"/>
  <c r="AI7" i="338"/>
  <c r="AH7" i="338"/>
  <c r="AF7" i="338"/>
  <c r="AD7" i="338"/>
  <c r="AC7" i="338"/>
  <c r="AB7" i="338"/>
  <c r="AA7" i="338"/>
  <c r="Z7" i="338"/>
  <c r="Y7" i="338"/>
  <c r="X7" i="338"/>
  <c r="W7" i="338"/>
  <c r="V7" i="338"/>
  <c r="U7" i="338"/>
  <c r="T7" i="338"/>
  <c r="S7" i="338"/>
  <c r="F10" i="336"/>
  <c r="B15" i="336"/>
  <c r="F13" i="336"/>
  <c r="F12" i="336"/>
  <c r="E12" i="336"/>
  <c r="F11" i="336"/>
  <c r="D11" i="336"/>
  <c r="A8" i="336"/>
  <c r="CV6" i="336"/>
  <c r="CU6" i="336"/>
  <c r="CT6" i="336"/>
  <c r="CS6" i="336"/>
  <c r="CR6" i="336"/>
  <c r="CQ6" i="336"/>
  <c r="CP6" i="336"/>
  <c r="CO6" i="336"/>
  <c r="CN6" i="336"/>
  <c r="CM6" i="336"/>
  <c r="CL6" i="336"/>
  <c r="CK6" i="336"/>
  <c r="CJ6" i="336"/>
  <c r="CI6" i="336"/>
  <c r="CH6" i="336"/>
  <c r="CG6" i="336"/>
  <c r="CF6" i="336"/>
  <c r="CE6" i="336"/>
  <c r="CD6" i="336"/>
  <c r="CC6" i="336"/>
  <c r="CB6" i="336"/>
  <c r="CA6" i="336"/>
  <c r="BZ6" i="336"/>
  <c r="BY6" i="336"/>
  <c r="BX6" i="336"/>
  <c r="BW6" i="336"/>
  <c r="BV6" i="336"/>
  <c r="BU6" i="336"/>
  <c r="BT6" i="336"/>
  <c r="BS6" i="336"/>
  <c r="BR6" i="336"/>
  <c r="BQ6" i="336"/>
  <c r="BP6" i="336"/>
  <c r="BO6" i="336"/>
  <c r="BN6" i="336"/>
  <c r="BM6" i="336"/>
  <c r="BL6" i="336"/>
  <c r="BK6" i="336"/>
  <c r="BJ6" i="336"/>
  <c r="BI6" i="336"/>
  <c r="BH6" i="336"/>
  <c r="BG6" i="336"/>
  <c r="BF6" i="336"/>
  <c r="BE6" i="336"/>
  <c r="BD6" i="336"/>
  <c r="BC6" i="336"/>
  <c r="BB6" i="336"/>
  <c r="AZ6" i="336"/>
  <c r="AY6" i="336"/>
  <c r="AX6" i="336"/>
  <c r="AW6" i="336"/>
  <c r="AV6" i="336"/>
  <c r="AU6" i="336"/>
  <c r="AT6" i="336"/>
  <c r="AS6" i="336"/>
  <c r="AR6" i="336"/>
  <c r="AQ6" i="336"/>
  <c r="AP6" i="336"/>
  <c r="AO6" i="336"/>
  <c r="AN6" i="336"/>
  <c r="AM6" i="336"/>
  <c r="AK6" i="336"/>
  <c r="AJ6" i="336"/>
  <c r="AF6" i="336"/>
  <c r="AD6" i="336"/>
  <c r="AC6" i="336"/>
  <c r="AB6" i="336"/>
  <c r="AA6" i="336"/>
  <c r="Z6" i="336"/>
  <c r="Y6" i="336"/>
  <c r="X6" i="336"/>
  <c r="W6" i="336"/>
  <c r="V6" i="336"/>
  <c r="U6" i="336"/>
  <c r="T6" i="336"/>
  <c r="S6" i="336"/>
  <c r="M5" i="336"/>
  <c r="M6" i="336" s="1"/>
  <c r="F11" i="335"/>
  <c r="M6" i="335"/>
  <c r="R6" i="335" s="1"/>
  <c r="B16" i="335"/>
  <c r="F14" i="335"/>
  <c r="F13" i="335"/>
  <c r="F12" i="335"/>
  <c r="A9" i="335"/>
  <c r="CV7" i="335"/>
  <c r="CU7" i="335"/>
  <c r="CT7" i="335"/>
  <c r="CS7" i="335"/>
  <c r="CR7" i="335"/>
  <c r="CQ7" i="335"/>
  <c r="CP7" i="335"/>
  <c r="CO7" i="335"/>
  <c r="CN7" i="335"/>
  <c r="CM7" i="335"/>
  <c r="CL7" i="335"/>
  <c r="CK7" i="335"/>
  <c r="CJ7" i="335"/>
  <c r="CI7" i="335"/>
  <c r="CH7" i="335"/>
  <c r="CG7" i="335"/>
  <c r="CF7" i="335"/>
  <c r="CE7" i="335"/>
  <c r="CD7" i="335"/>
  <c r="CC7" i="335"/>
  <c r="CB7" i="335"/>
  <c r="CA7" i="335"/>
  <c r="BZ7" i="335"/>
  <c r="BY7" i="335"/>
  <c r="BX7" i="335"/>
  <c r="BW7" i="335"/>
  <c r="BV7" i="335"/>
  <c r="BU7" i="335"/>
  <c r="BT7" i="335"/>
  <c r="BS7" i="335"/>
  <c r="BR7" i="335"/>
  <c r="BQ7" i="335"/>
  <c r="BP7" i="335"/>
  <c r="BO7" i="335"/>
  <c r="BN7" i="335"/>
  <c r="BM7" i="335"/>
  <c r="BL7" i="335"/>
  <c r="BK7" i="335"/>
  <c r="BJ7" i="335"/>
  <c r="BI7" i="335"/>
  <c r="BH7" i="335"/>
  <c r="BG7" i="335"/>
  <c r="BF7" i="335"/>
  <c r="BE7" i="335"/>
  <c r="BD7" i="335"/>
  <c r="BC7" i="335"/>
  <c r="BB7" i="335"/>
  <c r="AZ7" i="335"/>
  <c r="AY7" i="335"/>
  <c r="AX7" i="335"/>
  <c r="AW7" i="335"/>
  <c r="AV7" i="335"/>
  <c r="AU7" i="335"/>
  <c r="AT7" i="335"/>
  <c r="AS7" i="335"/>
  <c r="AR7" i="335"/>
  <c r="AQ7" i="335"/>
  <c r="AP7" i="335"/>
  <c r="AO7" i="335"/>
  <c r="AN7" i="335"/>
  <c r="AM7" i="335"/>
  <c r="AK7" i="335"/>
  <c r="AJ7" i="335"/>
  <c r="AF7" i="335"/>
  <c r="AD7" i="335"/>
  <c r="AC7" i="335"/>
  <c r="AB7" i="335"/>
  <c r="AA7" i="335"/>
  <c r="Z7" i="335"/>
  <c r="Y7" i="335"/>
  <c r="X7" i="335"/>
  <c r="W7" i="335"/>
  <c r="V7" i="335"/>
  <c r="U7" i="335"/>
  <c r="T7" i="335"/>
  <c r="S7" i="335"/>
  <c r="M5" i="335"/>
  <c r="M7" i="335" s="1"/>
  <c r="F10" i="334"/>
  <c r="B15" i="334"/>
  <c r="F13" i="334"/>
  <c r="F12" i="334"/>
  <c r="F11" i="334"/>
  <c r="A8" i="334"/>
  <c r="CV6" i="334"/>
  <c r="CU6" i="334"/>
  <c r="CT6" i="334"/>
  <c r="CS6" i="334"/>
  <c r="CR6" i="334"/>
  <c r="CQ6" i="334"/>
  <c r="CP6" i="334"/>
  <c r="CO6" i="334"/>
  <c r="CN6" i="334"/>
  <c r="CM6" i="334"/>
  <c r="CL6" i="334"/>
  <c r="CK6" i="334"/>
  <c r="CJ6" i="334"/>
  <c r="CI6" i="334"/>
  <c r="CH6" i="334"/>
  <c r="CG6" i="334"/>
  <c r="CF6" i="334"/>
  <c r="CE6" i="334"/>
  <c r="CD6" i="334"/>
  <c r="CC6" i="334"/>
  <c r="CB6" i="334"/>
  <c r="CA6" i="334"/>
  <c r="BZ6" i="334"/>
  <c r="BY6" i="334"/>
  <c r="BX6" i="334"/>
  <c r="BW6" i="334"/>
  <c r="BV6" i="334"/>
  <c r="BU6" i="334"/>
  <c r="BT6" i="334"/>
  <c r="BS6" i="334"/>
  <c r="BR6" i="334"/>
  <c r="BQ6" i="334"/>
  <c r="BP6" i="334"/>
  <c r="BO6" i="334"/>
  <c r="BN6" i="334"/>
  <c r="BM6" i="334"/>
  <c r="BL6" i="334"/>
  <c r="BK6" i="334"/>
  <c r="BJ6" i="334"/>
  <c r="BI6" i="334"/>
  <c r="BH6" i="334"/>
  <c r="BG6" i="334"/>
  <c r="BF6" i="334"/>
  <c r="BE6" i="334"/>
  <c r="BD6" i="334"/>
  <c r="BC6" i="334"/>
  <c r="BB6" i="334"/>
  <c r="AZ6" i="334"/>
  <c r="AY6" i="334"/>
  <c r="AX6" i="334"/>
  <c r="AW6" i="334"/>
  <c r="AV6" i="334"/>
  <c r="AU6" i="334"/>
  <c r="AT6" i="334"/>
  <c r="AS6" i="334"/>
  <c r="AR6" i="334"/>
  <c r="AQ6" i="334"/>
  <c r="AP6" i="334"/>
  <c r="AO6" i="334"/>
  <c r="AN6" i="334"/>
  <c r="AM6" i="334"/>
  <c r="AK6" i="334"/>
  <c r="AJ6" i="334"/>
  <c r="AF6" i="334"/>
  <c r="AD6" i="334"/>
  <c r="AC6" i="334"/>
  <c r="AB6" i="334"/>
  <c r="AA6" i="334"/>
  <c r="Z6" i="334"/>
  <c r="Y6" i="334"/>
  <c r="X6" i="334"/>
  <c r="W6" i="334"/>
  <c r="V6" i="334"/>
  <c r="U6" i="334"/>
  <c r="T6" i="334"/>
  <c r="S6" i="334"/>
  <c r="M5" i="334"/>
  <c r="Q5" i="334" s="1"/>
  <c r="Q6" i="334" s="1"/>
  <c r="D11" i="334" s="1"/>
  <c r="F10" i="318"/>
  <c r="P5" i="341" l="1"/>
  <c r="P7" i="346"/>
  <c r="Q7" i="346"/>
  <c r="Q13" i="346" s="1"/>
  <c r="P6" i="341"/>
  <c r="S6" i="341" s="1"/>
  <c r="D14" i="358"/>
  <c r="D14" i="359"/>
  <c r="R7" i="360"/>
  <c r="D11" i="360" s="1"/>
  <c r="D15" i="360" s="1"/>
  <c r="E15" i="360"/>
  <c r="E14" i="359"/>
  <c r="E14" i="358"/>
  <c r="D15" i="357"/>
  <c r="D15" i="356"/>
  <c r="E17" i="355"/>
  <c r="E15" i="354"/>
  <c r="R15" i="353"/>
  <c r="D19" i="353" s="1"/>
  <c r="D23" i="353" s="1"/>
  <c r="E23" i="353"/>
  <c r="R5" i="352"/>
  <c r="R6" i="352" s="1"/>
  <c r="D10" i="352" s="1"/>
  <c r="D14" i="352" s="1"/>
  <c r="E13" i="352"/>
  <c r="E14" i="352" s="1"/>
  <c r="N6" i="352"/>
  <c r="Q8" i="351"/>
  <c r="D13" i="351" s="1"/>
  <c r="E15" i="351"/>
  <c r="E16" i="351" s="1"/>
  <c r="N8" i="351"/>
  <c r="R5" i="351"/>
  <c r="R8" i="351" s="1"/>
  <c r="D12" i="351" s="1"/>
  <c r="M6" i="350"/>
  <c r="M6" i="349"/>
  <c r="M6" i="348"/>
  <c r="D11" i="348"/>
  <c r="R5" i="348"/>
  <c r="M6" i="347"/>
  <c r="P5" i="347"/>
  <c r="Q5" i="347"/>
  <c r="Q6" i="347" s="1"/>
  <c r="D11" i="347" s="1"/>
  <c r="P10" i="346"/>
  <c r="R7" i="346"/>
  <c r="M13" i="346"/>
  <c r="P5" i="346"/>
  <c r="P8" i="346"/>
  <c r="P11" i="346"/>
  <c r="P6" i="346"/>
  <c r="P9" i="346"/>
  <c r="P12" i="346"/>
  <c r="P5" i="345"/>
  <c r="Q5" i="345"/>
  <c r="P6" i="345"/>
  <c r="R6" i="345" s="1"/>
  <c r="M6" i="344"/>
  <c r="D11" i="344"/>
  <c r="M6" i="343"/>
  <c r="M6" i="342"/>
  <c r="E13" i="342" s="1"/>
  <c r="D11" i="342"/>
  <c r="P6" i="342"/>
  <c r="E12" i="342" s="1"/>
  <c r="E14" i="341"/>
  <c r="Q5" i="341"/>
  <c r="M6" i="340"/>
  <c r="E13" i="340" s="1"/>
  <c r="P5" i="340"/>
  <c r="N7" i="338"/>
  <c r="E14" i="338"/>
  <c r="E13" i="336"/>
  <c r="E14" i="336" s="1"/>
  <c r="N6" i="336"/>
  <c r="R5" i="336"/>
  <c r="R6" i="336" s="1"/>
  <c r="D10" i="336" s="1"/>
  <c r="D14" i="336" s="1"/>
  <c r="E14" i="335"/>
  <c r="D12" i="335"/>
  <c r="E13" i="335"/>
  <c r="P5" i="334"/>
  <c r="P6" i="334" s="1"/>
  <c r="E12" i="334" s="1"/>
  <c r="M6" i="334"/>
  <c r="Q7" i="341" l="1"/>
  <c r="D12" i="341" s="1"/>
  <c r="E15" i="335"/>
  <c r="E15" i="341"/>
  <c r="P7" i="341"/>
  <c r="E13" i="341" s="1"/>
  <c r="D16" i="351"/>
  <c r="Q6" i="350"/>
  <c r="D11" i="350" s="1"/>
  <c r="P6" i="350"/>
  <c r="E12" i="350" s="1"/>
  <c r="E13" i="350"/>
  <c r="N6" i="350"/>
  <c r="BC5" i="350"/>
  <c r="BC6" i="350" s="1"/>
  <c r="D10" i="350" s="1"/>
  <c r="D11" i="349"/>
  <c r="E12" i="349"/>
  <c r="N6" i="349"/>
  <c r="E13" i="349"/>
  <c r="BC5" i="349"/>
  <c r="BC6" i="349" s="1"/>
  <c r="D10" i="349" s="1"/>
  <c r="D14" i="349" s="1"/>
  <c r="E12" i="348"/>
  <c r="E14" i="348" s="1"/>
  <c r="E13" i="348"/>
  <c r="N6" i="348"/>
  <c r="R6" i="348"/>
  <c r="D10" i="348" s="1"/>
  <c r="D14" i="348" s="1"/>
  <c r="P6" i="347"/>
  <c r="E12" i="347" s="1"/>
  <c r="N6" i="347"/>
  <c r="E13" i="347"/>
  <c r="R5" i="347"/>
  <c r="R6" i="347" s="1"/>
  <c r="D10" i="347" s="1"/>
  <c r="D14" i="347" s="1"/>
  <c r="R11" i="346"/>
  <c r="R10" i="346"/>
  <c r="R9" i="346"/>
  <c r="S6" i="346"/>
  <c r="R12" i="346"/>
  <c r="D19" i="346"/>
  <c r="R8" i="346"/>
  <c r="P13" i="346"/>
  <c r="E20" i="346" s="1"/>
  <c r="N13" i="346"/>
  <c r="E21" i="346"/>
  <c r="S5" i="346"/>
  <c r="P7" i="345"/>
  <c r="E13" i="345" s="1"/>
  <c r="E14" i="345"/>
  <c r="N7" i="345"/>
  <c r="Q7" i="345"/>
  <c r="D12" i="345" s="1"/>
  <c r="R5" i="345"/>
  <c r="R7" i="345" s="1"/>
  <c r="D11" i="345" s="1"/>
  <c r="R5" i="344"/>
  <c r="R6" i="344" s="1"/>
  <c r="D10" i="344" s="1"/>
  <c r="D14" i="344" s="1"/>
  <c r="E12" i="344"/>
  <c r="E13" i="344"/>
  <c r="N6" i="344"/>
  <c r="R5" i="343"/>
  <c r="R6" i="343" s="1"/>
  <c r="D10" i="343" s="1"/>
  <c r="P6" i="343"/>
  <c r="E12" i="343" s="1"/>
  <c r="E13" i="343"/>
  <c r="N6" i="343"/>
  <c r="D11" i="343"/>
  <c r="E14" i="342"/>
  <c r="N6" i="342"/>
  <c r="R5" i="342"/>
  <c r="R6" i="342" s="1"/>
  <c r="D10" i="342" s="1"/>
  <c r="D14" i="342" s="1"/>
  <c r="S5" i="341"/>
  <c r="N7" i="341"/>
  <c r="N6" i="340"/>
  <c r="R5" i="340"/>
  <c r="R6" i="340" s="1"/>
  <c r="D10" i="340" s="1"/>
  <c r="D14" i="340" s="1"/>
  <c r="P6" i="340"/>
  <c r="E12" i="340" s="1"/>
  <c r="E14" i="340" s="1"/>
  <c r="Q7" i="338"/>
  <c r="D12" i="338" s="1"/>
  <c r="R6" i="338"/>
  <c r="R5" i="338"/>
  <c r="P7" i="338"/>
  <c r="E13" i="338" s="1"/>
  <c r="E15" i="338" s="1"/>
  <c r="N7" i="335"/>
  <c r="R5" i="335"/>
  <c r="AL5" i="334"/>
  <c r="AL6" i="334" s="1"/>
  <c r="D10" i="334" s="1"/>
  <c r="D14" i="334" s="1"/>
  <c r="E13" i="334"/>
  <c r="E14" i="334" s="1"/>
  <c r="N6" i="334"/>
  <c r="R7" i="335" l="1"/>
  <c r="D11" i="335" s="1"/>
  <c r="D15" i="335" s="1"/>
  <c r="R13" i="346"/>
  <c r="D11" i="341"/>
  <c r="D15" i="341" s="1"/>
  <c r="S7" i="341"/>
  <c r="S13" i="346"/>
  <c r="D18" i="346" s="1"/>
  <c r="E14" i="350"/>
  <c r="D14" i="350"/>
  <c r="E14" i="349"/>
  <c r="E14" i="347"/>
  <c r="D17" i="346"/>
  <c r="D22" i="346" s="1"/>
  <c r="E22" i="346"/>
  <c r="D15" i="345"/>
  <c r="E15" i="345"/>
  <c r="E14" i="344"/>
  <c r="E14" i="343"/>
  <c r="D14" i="343"/>
  <c r="R7" i="338"/>
  <c r="D11" i="338" s="1"/>
  <c r="D15" i="338" s="1"/>
  <c r="F10" i="305" l="1"/>
  <c r="F13" i="304"/>
  <c r="F10" i="304"/>
  <c r="F10" i="303"/>
  <c r="F10" i="301" l="1"/>
  <c r="F10" i="300"/>
  <c r="F10" i="299"/>
  <c r="F10" i="298"/>
  <c r="F10" i="297"/>
  <c r="F10" i="296"/>
  <c r="F10" i="295"/>
  <c r="F10" i="294"/>
  <c r="F10" i="293"/>
  <c r="F10" i="291"/>
  <c r="F10" i="292"/>
  <c r="F10" i="283"/>
  <c r="F10" i="290" l="1"/>
  <c r="F10" i="288"/>
  <c r="F10" i="287"/>
  <c r="F10" i="284"/>
  <c r="F14" i="250"/>
  <c r="F10" i="282"/>
  <c r="F10" i="281"/>
  <c r="F10" i="280" l="1"/>
  <c r="F10" i="279"/>
  <c r="M5" i="279"/>
  <c r="P5" i="279" s="1"/>
  <c r="F10" i="278"/>
  <c r="F10" i="277"/>
  <c r="F11" i="277"/>
  <c r="F10" i="333"/>
  <c r="F12" i="332"/>
  <c r="M5" i="333"/>
  <c r="M6" i="333" s="1"/>
  <c r="N6" i="333" s="1"/>
  <c r="B15" i="333"/>
  <c r="F13" i="333"/>
  <c r="F12" i="333"/>
  <c r="F11" i="333"/>
  <c r="A8" i="333"/>
  <c r="CV6" i="333"/>
  <c r="CU6" i="333"/>
  <c r="CT6" i="333"/>
  <c r="CS6" i="333"/>
  <c r="CR6" i="333"/>
  <c r="CQ6" i="333"/>
  <c r="CP6" i="333"/>
  <c r="CO6" i="333"/>
  <c r="CN6" i="333"/>
  <c r="CM6" i="333"/>
  <c r="CL6" i="333"/>
  <c r="CK6" i="333"/>
  <c r="CJ6" i="333"/>
  <c r="CI6" i="333"/>
  <c r="CH6" i="333"/>
  <c r="CG6" i="333"/>
  <c r="CF6" i="333"/>
  <c r="CE6" i="333"/>
  <c r="CD6" i="333"/>
  <c r="CC6" i="333"/>
  <c r="CB6" i="333"/>
  <c r="CA6" i="333"/>
  <c r="BZ6" i="333"/>
  <c r="BY6" i="333"/>
  <c r="BX6" i="333"/>
  <c r="BW6" i="333"/>
  <c r="BV6" i="333"/>
  <c r="BU6" i="333"/>
  <c r="BT6" i="333"/>
  <c r="BS6" i="333"/>
  <c r="BR6" i="333"/>
  <c r="BQ6" i="333"/>
  <c r="BP6" i="333"/>
  <c r="BO6" i="333"/>
  <c r="BN6" i="333"/>
  <c r="BM6" i="333"/>
  <c r="BL6" i="333"/>
  <c r="BK6" i="333"/>
  <c r="BJ6" i="333"/>
  <c r="BI6" i="333"/>
  <c r="BH6" i="333"/>
  <c r="BG6" i="333"/>
  <c r="BF6" i="333"/>
  <c r="BE6" i="333"/>
  <c r="BD6" i="333"/>
  <c r="BB6" i="333"/>
  <c r="AZ6" i="333"/>
  <c r="AY6" i="333"/>
  <c r="AX6" i="333"/>
  <c r="AW6" i="333"/>
  <c r="AV6" i="333"/>
  <c r="AU6" i="333"/>
  <c r="AT6" i="333"/>
  <c r="AS6" i="333"/>
  <c r="AR6" i="333"/>
  <c r="AQ6" i="333"/>
  <c r="AP6" i="333"/>
  <c r="AO6" i="333"/>
  <c r="AN6" i="333"/>
  <c r="AM6" i="333"/>
  <c r="AL6" i="333"/>
  <c r="AK6" i="333"/>
  <c r="AJ6" i="333"/>
  <c r="AI6" i="333"/>
  <c r="AF6" i="333"/>
  <c r="AD6" i="333"/>
  <c r="AC6" i="333"/>
  <c r="AB6" i="333"/>
  <c r="AA6" i="333"/>
  <c r="Z6" i="333"/>
  <c r="Y6" i="333"/>
  <c r="X6" i="333"/>
  <c r="W6" i="333"/>
  <c r="V6" i="333"/>
  <c r="U6" i="333"/>
  <c r="T6" i="333"/>
  <c r="S6" i="333"/>
  <c r="L6" i="333"/>
  <c r="Q7" i="332"/>
  <c r="M6" i="332"/>
  <c r="Q6" i="332" s="1"/>
  <c r="M7" i="332"/>
  <c r="P7" i="332" s="1"/>
  <c r="AH7" i="332" s="1"/>
  <c r="M5" i="332"/>
  <c r="M8" i="332" s="1"/>
  <c r="L8" i="332"/>
  <c r="B17" i="332"/>
  <c r="F15" i="332"/>
  <c r="F14" i="332"/>
  <c r="F13" i="332"/>
  <c r="A10" i="332"/>
  <c r="CV8" i="332"/>
  <c r="CU8" i="332"/>
  <c r="CT8" i="332"/>
  <c r="CS8" i="332"/>
  <c r="CR8" i="332"/>
  <c r="CQ8" i="332"/>
  <c r="CP8" i="332"/>
  <c r="CO8" i="332"/>
  <c r="CN8" i="332"/>
  <c r="CM8" i="332"/>
  <c r="CL8" i="332"/>
  <c r="CK8" i="332"/>
  <c r="CJ8" i="332"/>
  <c r="CI8" i="332"/>
  <c r="CH8" i="332"/>
  <c r="CG8" i="332"/>
  <c r="CF8" i="332"/>
  <c r="CE8" i="332"/>
  <c r="CD8" i="332"/>
  <c r="CC8" i="332"/>
  <c r="CB8" i="332"/>
  <c r="CA8" i="332"/>
  <c r="BZ8" i="332"/>
  <c r="BY8" i="332"/>
  <c r="BX8" i="332"/>
  <c r="BW8" i="332"/>
  <c r="BV8" i="332"/>
  <c r="BU8" i="332"/>
  <c r="BT8" i="332"/>
  <c r="BS8" i="332"/>
  <c r="BR8" i="332"/>
  <c r="BQ8" i="332"/>
  <c r="BP8" i="332"/>
  <c r="BO8" i="332"/>
  <c r="BN8" i="332"/>
  <c r="BM8" i="332"/>
  <c r="BL8" i="332"/>
  <c r="BK8" i="332"/>
  <c r="BJ8" i="332"/>
  <c r="BI8" i="332"/>
  <c r="BH8" i="332"/>
  <c r="BG8" i="332"/>
  <c r="BF8" i="332"/>
  <c r="BE8" i="332"/>
  <c r="BD8" i="332"/>
  <c r="BC8" i="332"/>
  <c r="BB8" i="332"/>
  <c r="AZ8" i="332"/>
  <c r="AY8" i="332"/>
  <c r="AX8" i="332"/>
  <c r="AW8" i="332"/>
  <c r="AV8" i="332"/>
  <c r="AU8" i="332"/>
  <c r="AT8" i="332"/>
  <c r="AS8" i="332"/>
  <c r="AR8" i="332"/>
  <c r="AQ8" i="332"/>
  <c r="AP8" i="332"/>
  <c r="AO8" i="332"/>
  <c r="AN8" i="332"/>
  <c r="AM8" i="332"/>
  <c r="AL8" i="332"/>
  <c r="AK8" i="332"/>
  <c r="AJ8" i="332"/>
  <c r="AI8" i="332"/>
  <c r="AF8" i="332"/>
  <c r="AD8" i="332"/>
  <c r="AC8" i="332"/>
  <c r="AB8" i="332"/>
  <c r="AA8" i="332"/>
  <c r="Z8" i="332"/>
  <c r="Y8" i="332"/>
  <c r="X8" i="332"/>
  <c r="W8" i="332"/>
  <c r="V8" i="332"/>
  <c r="U8" i="332"/>
  <c r="T8" i="332"/>
  <c r="S8" i="332"/>
  <c r="F12" i="330"/>
  <c r="M6" i="330"/>
  <c r="M7" i="330"/>
  <c r="P6" i="332" l="1"/>
  <c r="AH6" i="332" s="1"/>
  <c r="P5" i="332"/>
  <c r="Q5" i="279"/>
  <c r="BS5" i="279" s="1"/>
  <c r="BC5" i="333"/>
  <c r="BC6" i="333" s="1"/>
  <c r="D10" i="333" s="1"/>
  <c r="P6" i="333"/>
  <c r="E12" i="333" s="1"/>
  <c r="AH6" i="333"/>
  <c r="Q6" i="333"/>
  <c r="D11" i="333" s="1"/>
  <c r="E13" i="333"/>
  <c r="Q5" i="332"/>
  <c r="Q8" i="332" s="1"/>
  <c r="D13" i="332" s="1"/>
  <c r="E15" i="332"/>
  <c r="N8" i="332"/>
  <c r="AH5" i="332" l="1"/>
  <c r="AH8" i="332" s="1"/>
  <c r="D12" i="332" s="1"/>
  <c r="D16" i="332" s="1"/>
  <c r="D14" i="333"/>
  <c r="E14" i="333"/>
  <c r="P8" i="332"/>
  <c r="E14" i="332" s="1"/>
  <c r="E16" i="332" s="1"/>
  <c r="AH6" i="330" l="1"/>
  <c r="AH7" i="330"/>
  <c r="M5" i="330"/>
  <c r="P5" i="330" s="1"/>
  <c r="B17" i="330"/>
  <c r="F15" i="330"/>
  <c r="F14" i="330"/>
  <c r="F13" i="330"/>
  <c r="A10" i="330"/>
  <c r="CV8" i="330"/>
  <c r="CU8" i="330"/>
  <c r="CT8" i="330"/>
  <c r="CS8" i="330"/>
  <c r="CR8" i="330"/>
  <c r="CQ8" i="330"/>
  <c r="CP8" i="330"/>
  <c r="CO8" i="330"/>
  <c r="CN8" i="330"/>
  <c r="CM8" i="330"/>
  <c r="CL8" i="330"/>
  <c r="CK8" i="330"/>
  <c r="CJ8" i="330"/>
  <c r="CI8" i="330"/>
  <c r="CH8" i="330"/>
  <c r="CG8" i="330"/>
  <c r="CF8" i="330"/>
  <c r="CE8" i="330"/>
  <c r="CD8" i="330"/>
  <c r="CC8" i="330"/>
  <c r="CB8" i="330"/>
  <c r="CA8" i="330"/>
  <c r="BZ8" i="330"/>
  <c r="BY8" i="330"/>
  <c r="BX8" i="330"/>
  <c r="BW8" i="330"/>
  <c r="BV8" i="330"/>
  <c r="BU8" i="330"/>
  <c r="BT8" i="330"/>
  <c r="BS8" i="330"/>
  <c r="BR8" i="330"/>
  <c r="BQ8" i="330"/>
  <c r="BP8" i="330"/>
  <c r="BO8" i="330"/>
  <c r="BN8" i="330"/>
  <c r="BM8" i="330"/>
  <c r="BL8" i="330"/>
  <c r="BK8" i="330"/>
  <c r="BJ8" i="330"/>
  <c r="BI8" i="330"/>
  <c r="BH8" i="330"/>
  <c r="BG8" i="330"/>
  <c r="BF8" i="330"/>
  <c r="BE8" i="330"/>
  <c r="BD8" i="330"/>
  <c r="BC8" i="330"/>
  <c r="BB8" i="330"/>
  <c r="AZ8" i="330"/>
  <c r="AY8" i="330"/>
  <c r="AX8" i="330"/>
  <c r="AW8" i="330"/>
  <c r="AV8" i="330"/>
  <c r="AU8" i="330"/>
  <c r="AT8" i="330"/>
  <c r="AS8" i="330"/>
  <c r="AR8" i="330"/>
  <c r="AQ8" i="330"/>
  <c r="AP8" i="330"/>
  <c r="AO8" i="330"/>
  <c r="AN8" i="330"/>
  <c r="AM8" i="330"/>
  <c r="AL8" i="330"/>
  <c r="AK8" i="330"/>
  <c r="AJ8" i="330"/>
  <c r="AI8" i="330"/>
  <c r="AF8" i="330"/>
  <c r="AD8" i="330"/>
  <c r="AC8" i="330"/>
  <c r="AB8" i="330"/>
  <c r="AA8" i="330"/>
  <c r="Z8" i="330"/>
  <c r="Y8" i="330"/>
  <c r="X8" i="330"/>
  <c r="W8" i="330"/>
  <c r="V8" i="330"/>
  <c r="U8" i="330"/>
  <c r="T8" i="330"/>
  <c r="S8" i="330"/>
  <c r="Q5" i="330" l="1"/>
  <c r="Q8" i="330" s="1"/>
  <c r="D13" i="330" s="1"/>
  <c r="AH5" i="330"/>
  <c r="M8" i="330"/>
  <c r="P8" i="330" l="1"/>
  <c r="E14" i="330" s="1"/>
  <c r="AH8" i="330"/>
  <c r="D12" i="330" s="1"/>
  <c r="D16" i="330" s="1"/>
  <c r="E15" i="330"/>
  <c r="N8" i="330"/>
  <c r="E16" i="330" l="1"/>
  <c r="L5" i="275"/>
  <c r="F10" i="274" l="1"/>
  <c r="F10" i="273"/>
  <c r="F10" i="272"/>
  <c r="F10" i="271"/>
  <c r="F10" i="270"/>
  <c r="F10" i="269"/>
  <c r="F10" i="251"/>
  <c r="F10" i="252"/>
  <c r="BT10" i="250"/>
  <c r="BU10" i="250"/>
  <c r="F10" i="248"/>
  <c r="M6" i="247"/>
  <c r="M5" i="247"/>
  <c r="F10" i="246"/>
  <c r="F12" i="245"/>
  <c r="F10" i="244"/>
  <c r="F10" i="243"/>
  <c r="F19" i="241"/>
  <c r="M14" i="241"/>
  <c r="P14" i="241" s="1"/>
  <c r="M13" i="241"/>
  <c r="P13" i="241" s="1"/>
  <c r="M12" i="241"/>
  <c r="P12" i="241" s="1"/>
  <c r="M11" i="241"/>
  <c r="Q11" i="241" s="1"/>
  <c r="F14" i="240"/>
  <c r="S10" i="240"/>
  <c r="T10" i="240"/>
  <c r="U10" i="240"/>
  <c r="V10" i="240"/>
  <c r="F10" i="238"/>
  <c r="F10" i="237"/>
  <c r="F10" i="236"/>
  <c r="M5" i="236"/>
  <c r="Q5" i="236" s="1"/>
  <c r="F10" i="235"/>
  <c r="M5" i="235"/>
  <c r="P5" i="235" s="1"/>
  <c r="F10" i="234"/>
  <c r="M5" i="234"/>
  <c r="F10" i="233"/>
  <c r="M5" i="233"/>
  <c r="F10" i="232"/>
  <c r="B17" i="266"/>
  <c r="F15" i="266"/>
  <c r="F14" i="266"/>
  <c r="F13" i="266"/>
  <c r="A10" i="266"/>
  <c r="CV8" i="266"/>
  <c r="CU8" i="266"/>
  <c r="CT8" i="266"/>
  <c r="CS8" i="266"/>
  <c r="CR8" i="266"/>
  <c r="CQ8" i="266"/>
  <c r="CP8" i="266"/>
  <c r="CO8" i="266"/>
  <c r="CN8" i="266"/>
  <c r="CM8" i="266"/>
  <c r="CL8" i="266"/>
  <c r="CK8" i="266"/>
  <c r="CJ8" i="266"/>
  <c r="CI8" i="266"/>
  <c r="CH8" i="266"/>
  <c r="CG8" i="266"/>
  <c r="CF8" i="266"/>
  <c r="CE8" i="266"/>
  <c r="CD8" i="266"/>
  <c r="CC8" i="266"/>
  <c r="CB8" i="266"/>
  <c r="CA8" i="266"/>
  <c r="BZ8" i="266"/>
  <c r="BY8" i="266"/>
  <c r="BX8" i="266"/>
  <c r="BV8" i="266"/>
  <c r="BU8" i="266"/>
  <c r="BT8" i="266"/>
  <c r="BS8" i="266"/>
  <c r="BR8" i="266"/>
  <c r="BQ8" i="266"/>
  <c r="BP8" i="266"/>
  <c r="BO8" i="266"/>
  <c r="BN8" i="266"/>
  <c r="BM8" i="266"/>
  <c r="BL8" i="266"/>
  <c r="BK8" i="266"/>
  <c r="BJ8" i="266"/>
  <c r="BI8" i="266"/>
  <c r="BH8" i="266"/>
  <c r="BG8" i="266"/>
  <c r="BF8" i="266"/>
  <c r="BE8" i="266"/>
  <c r="BD8" i="266"/>
  <c r="BC8" i="266"/>
  <c r="BB8" i="266"/>
  <c r="AZ8" i="266"/>
  <c r="AY8" i="266"/>
  <c r="AX8" i="266"/>
  <c r="AW8" i="266"/>
  <c r="AV8" i="266"/>
  <c r="AU8" i="266"/>
  <c r="AT8" i="266"/>
  <c r="AS8" i="266"/>
  <c r="AR8" i="266"/>
  <c r="AQ8" i="266"/>
  <c r="AP8" i="266"/>
  <c r="AO8" i="266"/>
  <c r="AN8" i="266"/>
  <c r="AM8" i="266"/>
  <c r="AL8" i="266"/>
  <c r="AK8" i="266"/>
  <c r="AJ8" i="266"/>
  <c r="AI8" i="266"/>
  <c r="AH8" i="266"/>
  <c r="AF8" i="266"/>
  <c r="AD8" i="266"/>
  <c r="AC8" i="266"/>
  <c r="AB8" i="266"/>
  <c r="AA8" i="266"/>
  <c r="Z8" i="266"/>
  <c r="Y8" i="266"/>
  <c r="X8" i="266"/>
  <c r="W8" i="266"/>
  <c r="V8" i="266"/>
  <c r="U8" i="266"/>
  <c r="T8" i="266"/>
  <c r="S8" i="266"/>
  <c r="M7" i="266"/>
  <c r="P7" i="266" s="1"/>
  <c r="M6" i="266"/>
  <c r="P6" i="266" s="1"/>
  <c r="M5" i="266"/>
  <c r="P5" i="266" s="1"/>
  <c r="B15" i="265"/>
  <c r="F13" i="265"/>
  <c r="F12" i="265"/>
  <c r="F11" i="265"/>
  <c r="A8" i="265"/>
  <c r="CV6" i="265"/>
  <c r="CU6" i="265"/>
  <c r="CT6" i="265"/>
  <c r="CS6" i="265"/>
  <c r="CR6" i="265"/>
  <c r="CQ6" i="265"/>
  <c r="CP6" i="265"/>
  <c r="CO6" i="265"/>
  <c r="CN6" i="265"/>
  <c r="CM6" i="265"/>
  <c r="CL6" i="265"/>
  <c r="CK6" i="265"/>
  <c r="CJ6" i="265"/>
  <c r="CI6" i="265"/>
  <c r="CH6" i="265"/>
  <c r="CG6" i="265"/>
  <c r="CF6" i="265"/>
  <c r="CE6" i="265"/>
  <c r="CD6" i="265"/>
  <c r="CC6" i="265"/>
  <c r="CB6" i="265"/>
  <c r="CA6" i="265"/>
  <c r="BZ6" i="265"/>
  <c r="BY6" i="265"/>
  <c r="BX6" i="265"/>
  <c r="BW6" i="265"/>
  <c r="BV6" i="265"/>
  <c r="BU6" i="265"/>
  <c r="BT6" i="265"/>
  <c r="BS6" i="265"/>
  <c r="BR6" i="265"/>
  <c r="BQ6" i="265"/>
  <c r="BP6" i="265"/>
  <c r="BO6" i="265"/>
  <c r="BN6" i="265"/>
  <c r="BM6" i="265"/>
  <c r="BL6" i="265"/>
  <c r="BK6" i="265"/>
  <c r="BJ6" i="265"/>
  <c r="BI6" i="265"/>
  <c r="BH6" i="265"/>
  <c r="BG6" i="265"/>
  <c r="BF6" i="265"/>
  <c r="BE6" i="265"/>
  <c r="BD6" i="265"/>
  <c r="BC6" i="265"/>
  <c r="BB6" i="265"/>
  <c r="AZ6" i="265"/>
  <c r="AY6" i="265"/>
  <c r="AX6" i="265"/>
  <c r="AV6" i="265"/>
  <c r="AU6" i="265"/>
  <c r="AT6" i="265"/>
  <c r="AS6" i="265"/>
  <c r="AR6" i="265"/>
  <c r="AQ6" i="265"/>
  <c r="AP6" i="265"/>
  <c r="AO6" i="265"/>
  <c r="AN6" i="265"/>
  <c r="AM6" i="265"/>
  <c r="AL6" i="265"/>
  <c r="AK6" i="265"/>
  <c r="AJ6" i="265"/>
  <c r="AI6" i="265"/>
  <c r="AH6" i="265"/>
  <c r="AF6" i="265"/>
  <c r="AD6" i="265"/>
  <c r="AC6" i="265"/>
  <c r="AB6" i="265"/>
  <c r="AA6" i="265"/>
  <c r="Z6" i="265"/>
  <c r="Y6" i="265"/>
  <c r="X6" i="265"/>
  <c r="W6" i="265"/>
  <c r="V6" i="265"/>
  <c r="U6" i="265"/>
  <c r="T6" i="265"/>
  <c r="S6" i="265"/>
  <c r="M5" i="265"/>
  <c r="P5" i="265" s="1"/>
  <c r="B15" i="263"/>
  <c r="F13" i="263"/>
  <c r="F12" i="263"/>
  <c r="F11" i="263"/>
  <c r="A8" i="263"/>
  <c r="CV6" i="263"/>
  <c r="CU6" i="263"/>
  <c r="CT6" i="263"/>
  <c r="CS6" i="263"/>
  <c r="CR6" i="263"/>
  <c r="CQ6" i="263"/>
  <c r="CP6" i="263"/>
  <c r="CO6" i="263"/>
  <c r="CN6" i="263"/>
  <c r="CM6" i="263"/>
  <c r="CL6" i="263"/>
  <c r="CK6" i="263"/>
  <c r="CJ6" i="263"/>
  <c r="CH6" i="263"/>
  <c r="CG6" i="263"/>
  <c r="CF6" i="263"/>
  <c r="CE6" i="263"/>
  <c r="CD6" i="263"/>
  <c r="CC6" i="263"/>
  <c r="CB6" i="263"/>
  <c r="CA6" i="263"/>
  <c r="BZ6" i="263"/>
  <c r="BY6" i="263"/>
  <c r="BX6" i="263"/>
  <c r="BW6" i="263"/>
  <c r="BV6" i="263"/>
  <c r="BU6" i="263"/>
  <c r="BT6" i="263"/>
  <c r="BS6" i="263"/>
  <c r="BR6" i="263"/>
  <c r="BQ6" i="263"/>
  <c r="BP6" i="263"/>
  <c r="BO6" i="263"/>
  <c r="BN6" i="263"/>
  <c r="BM6" i="263"/>
  <c r="BL6" i="263"/>
  <c r="BK6" i="263"/>
  <c r="BJ6" i="263"/>
  <c r="BI6" i="263"/>
  <c r="BH6" i="263"/>
  <c r="BG6" i="263"/>
  <c r="BF6" i="263"/>
  <c r="BE6" i="263"/>
  <c r="BD6" i="263"/>
  <c r="BC6" i="263"/>
  <c r="BB6" i="263"/>
  <c r="AZ6" i="263"/>
  <c r="AY6" i="263"/>
  <c r="AX6" i="263"/>
  <c r="AW6" i="263"/>
  <c r="AV6" i="263"/>
  <c r="AU6" i="263"/>
  <c r="AT6" i="263"/>
  <c r="AS6" i="263"/>
  <c r="AR6" i="263"/>
  <c r="AQ6" i="263"/>
  <c r="AP6" i="263"/>
  <c r="AO6" i="263"/>
  <c r="AN6" i="263"/>
  <c r="AM6" i="263"/>
  <c r="AL6" i="263"/>
  <c r="AK6" i="263"/>
  <c r="AJ6" i="263"/>
  <c r="AI6" i="263"/>
  <c r="AH6" i="263"/>
  <c r="AF6" i="263"/>
  <c r="AD6" i="263"/>
  <c r="AC6" i="263"/>
  <c r="AB6" i="263"/>
  <c r="AA6" i="263"/>
  <c r="Z6" i="263"/>
  <c r="Y6" i="263"/>
  <c r="X6" i="263"/>
  <c r="W6" i="263"/>
  <c r="V6" i="263"/>
  <c r="U6" i="263"/>
  <c r="T6" i="263"/>
  <c r="S6" i="263"/>
  <c r="M5" i="263"/>
  <c r="P5" i="263" s="1"/>
  <c r="B15" i="262"/>
  <c r="F13" i="262"/>
  <c r="F12" i="262"/>
  <c r="F11" i="262"/>
  <c r="A8" i="262"/>
  <c r="CV6" i="262"/>
  <c r="CU6" i="262"/>
  <c r="CT6" i="262"/>
  <c r="CS6" i="262"/>
  <c r="CR6" i="262"/>
  <c r="CQ6" i="262"/>
  <c r="CP6" i="262"/>
  <c r="CO6" i="262"/>
  <c r="CN6" i="262"/>
  <c r="CM6" i="262"/>
  <c r="CL6" i="262"/>
  <c r="CK6" i="262"/>
  <c r="CJ6" i="262"/>
  <c r="CI6" i="262"/>
  <c r="CH6" i="262"/>
  <c r="CG6" i="262"/>
  <c r="CF6" i="262"/>
  <c r="CE6" i="262"/>
  <c r="CD6" i="262"/>
  <c r="CC6" i="262"/>
  <c r="CB6" i="262"/>
  <c r="CA6" i="262"/>
  <c r="BZ6" i="262"/>
  <c r="BY6" i="262"/>
  <c r="BX6" i="262"/>
  <c r="BW6" i="262"/>
  <c r="BV6" i="262"/>
  <c r="BU6" i="262"/>
  <c r="BT6" i="262"/>
  <c r="BR6" i="262"/>
  <c r="BQ6" i="262"/>
  <c r="BP6" i="262"/>
  <c r="BO6" i="262"/>
  <c r="BN6" i="262"/>
  <c r="BM6" i="262"/>
  <c r="BL6" i="262"/>
  <c r="BK6" i="262"/>
  <c r="BJ6" i="262"/>
  <c r="BI6" i="262"/>
  <c r="BH6" i="262"/>
  <c r="BG6" i="262"/>
  <c r="BF6" i="262"/>
  <c r="BE6" i="262"/>
  <c r="BD6" i="262"/>
  <c r="BC6" i="262"/>
  <c r="BB6" i="262"/>
  <c r="AZ6" i="262"/>
  <c r="AY6" i="262"/>
  <c r="AX6" i="262"/>
  <c r="AW6" i="262"/>
  <c r="AV6" i="262"/>
  <c r="AU6" i="262"/>
  <c r="AT6" i="262"/>
  <c r="AS6" i="262"/>
  <c r="AR6" i="262"/>
  <c r="AQ6" i="262"/>
  <c r="AP6" i="262"/>
  <c r="AO6" i="262"/>
  <c r="AN6" i="262"/>
  <c r="AM6" i="262"/>
  <c r="AL6" i="262"/>
  <c r="AK6" i="262"/>
  <c r="AJ6" i="262"/>
  <c r="AI6" i="262"/>
  <c r="AH6" i="262"/>
  <c r="AF6" i="262"/>
  <c r="AD6" i="262"/>
  <c r="AC6" i="262"/>
  <c r="AB6" i="262"/>
  <c r="AA6" i="262"/>
  <c r="Z6" i="262"/>
  <c r="Y6" i="262"/>
  <c r="X6" i="262"/>
  <c r="W6" i="262"/>
  <c r="V6" i="262"/>
  <c r="U6" i="262"/>
  <c r="T6" i="262"/>
  <c r="S6" i="262"/>
  <c r="M5" i="262"/>
  <c r="P5" i="262" s="1"/>
  <c r="B21" i="261"/>
  <c r="F19" i="261"/>
  <c r="F18" i="261"/>
  <c r="F17" i="261"/>
  <c r="A8" i="261"/>
  <c r="CV6" i="261"/>
  <c r="CU6" i="261"/>
  <c r="CT6" i="261"/>
  <c r="CS6" i="261"/>
  <c r="CR6" i="261"/>
  <c r="CQ6" i="261"/>
  <c r="CP6" i="261"/>
  <c r="CO6" i="261"/>
  <c r="CN6" i="261"/>
  <c r="CF6" i="261"/>
  <c r="CE6" i="261"/>
  <c r="CD6" i="261"/>
  <c r="CC6" i="261"/>
  <c r="CB6" i="261"/>
  <c r="CA6" i="261"/>
  <c r="BZ6" i="261"/>
  <c r="BY6" i="261"/>
  <c r="BX6" i="261"/>
  <c r="BW6" i="261"/>
  <c r="BV6" i="261"/>
  <c r="BU6" i="261"/>
  <c r="BT6" i="261"/>
  <c r="BR6" i="261"/>
  <c r="BQ6" i="261"/>
  <c r="BP6" i="261"/>
  <c r="BO6" i="261"/>
  <c r="BN6" i="261"/>
  <c r="BM6" i="261"/>
  <c r="BL6" i="261"/>
  <c r="BK6" i="261"/>
  <c r="BJ6" i="261"/>
  <c r="BI6" i="261"/>
  <c r="BH6" i="261"/>
  <c r="BG6" i="261"/>
  <c r="BF6" i="261"/>
  <c r="BE6" i="261"/>
  <c r="BD6" i="261"/>
  <c r="BC6" i="261"/>
  <c r="BB6" i="261"/>
  <c r="AZ6" i="261"/>
  <c r="AY6" i="261"/>
  <c r="AX6" i="261"/>
  <c r="AW6" i="261"/>
  <c r="AV6" i="261"/>
  <c r="AU6" i="261"/>
  <c r="AT6" i="261"/>
  <c r="AS6" i="261"/>
  <c r="AR6" i="261"/>
  <c r="AQ6" i="261"/>
  <c r="AP6" i="261"/>
  <c r="AO6" i="261"/>
  <c r="AN6" i="261"/>
  <c r="AM6" i="261"/>
  <c r="AL6" i="261"/>
  <c r="AK6" i="261"/>
  <c r="AJ6" i="261"/>
  <c r="AI6" i="261"/>
  <c r="AH6" i="261"/>
  <c r="AF6" i="261"/>
  <c r="AD6" i="261"/>
  <c r="AC6" i="261"/>
  <c r="AB6" i="261"/>
  <c r="AA6" i="261"/>
  <c r="Z6" i="261"/>
  <c r="Y6" i="261"/>
  <c r="X6" i="261"/>
  <c r="W6" i="261"/>
  <c r="V6" i="261"/>
  <c r="U6" i="261"/>
  <c r="T6" i="261"/>
  <c r="S6" i="261"/>
  <c r="M5" i="261"/>
  <c r="B17" i="260"/>
  <c r="F15" i="260"/>
  <c r="F14" i="260"/>
  <c r="F13" i="260"/>
  <c r="A10" i="260"/>
  <c r="CV8" i="260"/>
  <c r="CU8" i="260"/>
  <c r="CT8" i="260"/>
  <c r="CS8" i="260"/>
  <c r="CR8" i="260"/>
  <c r="CQ8" i="260"/>
  <c r="CP8" i="260"/>
  <c r="CO8" i="260"/>
  <c r="CN8" i="260"/>
  <c r="CM8" i="260"/>
  <c r="CL8" i="260"/>
  <c r="CK8" i="260"/>
  <c r="CJ8" i="260"/>
  <c r="CI8" i="260"/>
  <c r="CH8" i="260"/>
  <c r="CG8" i="260"/>
  <c r="CF8" i="260"/>
  <c r="CE8" i="260"/>
  <c r="CD8" i="260"/>
  <c r="CC8" i="260"/>
  <c r="CB8" i="260"/>
  <c r="CA8" i="260"/>
  <c r="BZ8" i="260"/>
  <c r="BY8" i="260"/>
  <c r="BX8" i="260"/>
  <c r="BW8" i="260"/>
  <c r="BV8" i="260"/>
  <c r="BU8" i="260"/>
  <c r="BT8" i="260"/>
  <c r="BS8" i="260"/>
  <c r="BR8" i="260"/>
  <c r="BQ8" i="260"/>
  <c r="BP8" i="260"/>
  <c r="BO8" i="260"/>
  <c r="BN8" i="260"/>
  <c r="BM8" i="260"/>
  <c r="BL8" i="260"/>
  <c r="BK8" i="260"/>
  <c r="BJ8" i="260"/>
  <c r="BI8" i="260"/>
  <c r="BH8" i="260"/>
  <c r="BG8" i="260"/>
  <c r="BF8" i="260"/>
  <c r="BE8" i="260"/>
  <c r="BD8" i="260"/>
  <c r="BC8" i="260"/>
  <c r="BB8" i="260"/>
  <c r="AZ8" i="260"/>
  <c r="AY8" i="260"/>
  <c r="AX8" i="260"/>
  <c r="AW8" i="260"/>
  <c r="AV8" i="260"/>
  <c r="AU8" i="260"/>
  <c r="AT8" i="260"/>
  <c r="AS8" i="260"/>
  <c r="AR8" i="260"/>
  <c r="AQ8" i="260"/>
  <c r="AP8" i="260"/>
  <c r="AO8" i="260"/>
  <c r="AN8" i="260"/>
  <c r="AM8" i="260"/>
  <c r="AL8" i="260"/>
  <c r="AK8" i="260"/>
  <c r="AJ8" i="260"/>
  <c r="AI8" i="260"/>
  <c r="AH8" i="260"/>
  <c r="AF8" i="260"/>
  <c r="AD8" i="260"/>
  <c r="AC8" i="260"/>
  <c r="AB8" i="260"/>
  <c r="AA8" i="260"/>
  <c r="Z8" i="260"/>
  <c r="Y8" i="260"/>
  <c r="X8" i="260"/>
  <c r="W8" i="260"/>
  <c r="V8" i="260"/>
  <c r="U8" i="260"/>
  <c r="T8" i="260"/>
  <c r="S8" i="260"/>
  <c r="M7" i="260"/>
  <c r="P7" i="260" s="1"/>
  <c r="M6" i="260"/>
  <c r="P6" i="260" s="1"/>
  <c r="M5" i="260"/>
  <c r="P5" i="260" s="1"/>
  <c r="B15" i="259"/>
  <c r="F13" i="259"/>
  <c r="F12" i="259"/>
  <c r="F11" i="259"/>
  <c r="A8" i="259"/>
  <c r="CV6" i="259"/>
  <c r="CU6" i="259"/>
  <c r="CT6" i="259"/>
  <c r="CS6" i="259"/>
  <c r="CR6" i="259"/>
  <c r="CQ6" i="259"/>
  <c r="CP6" i="259"/>
  <c r="CO6" i="259"/>
  <c r="CN6" i="259"/>
  <c r="CM6" i="259"/>
  <c r="CL6" i="259"/>
  <c r="CK6" i="259"/>
  <c r="CJ6" i="259"/>
  <c r="CI6" i="259"/>
  <c r="CH6" i="259"/>
  <c r="CG6" i="259"/>
  <c r="CF6" i="259"/>
  <c r="CE6" i="259"/>
  <c r="CD6" i="259"/>
  <c r="CC6" i="259"/>
  <c r="CB6" i="259"/>
  <c r="CA6" i="259"/>
  <c r="BZ6" i="259"/>
  <c r="BY6" i="259"/>
  <c r="BX6" i="259"/>
  <c r="BW6" i="259"/>
  <c r="BV6" i="259"/>
  <c r="BU6" i="259"/>
  <c r="BT6" i="259"/>
  <c r="BS6" i="259"/>
  <c r="BR6" i="259"/>
  <c r="BQ6" i="259"/>
  <c r="BP6" i="259"/>
  <c r="BO6" i="259"/>
  <c r="BN6" i="259"/>
  <c r="BM6" i="259"/>
  <c r="BL6" i="259"/>
  <c r="BK6" i="259"/>
  <c r="BJ6" i="259"/>
  <c r="BI6" i="259"/>
  <c r="BH6" i="259"/>
  <c r="BG6" i="259"/>
  <c r="BF6" i="259"/>
  <c r="BE6" i="259"/>
  <c r="BD6" i="259"/>
  <c r="BC6" i="259"/>
  <c r="BB6" i="259"/>
  <c r="AZ6" i="259"/>
  <c r="AY6" i="259"/>
  <c r="AX6" i="259"/>
  <c r="AW6" i="259"/>
  <c r="AV6" i="259"/>
  <c r="AU6" i="259"/>
  <c r="AT6" i="259"/>
  <c r="AS6" i="259"/>
  <c r="AR6" i="259"/>
  <c r="AQ6" i="259"/>
  <c r="AP6" i="259"/>
  <c r="AO6" i="259"/>
  <c r="AN6" i="259"/>
  <c r="AM6" i="259"/>
  <c r="AL6" i="259"/>
  <c r="AK6" i="259"/>
  <c r="AJ6" i="259"/>
  <c r="AI6" i="259"/>
  <c r="AH6" i="259"/>
  <c r="AF6" i="259"/>
  <c r="AD6" i="259"/>
  <c r="AC6" i="259"/>
  <c r="AB6" i="259"/>
  <c r="AA6" i="259"/>
  <c r="Z6" i="259"/>
  <c r="Y6" i="259"/>
  <c r="X6" i="259"/>
  <c r="W6" i="259"/>
  <c r="V6" i="259"/>
  <c r="U6" i="259"/>
  <c r="T6" i="259"/>
  <c r="S6" i="259"/>
  <c r="M5" i="259"/>
  <c r="B15" i="257"/>
  <c r="F13" i="257"/>
  <c r="F12" i="257"/>
  <c r="F11" i="257"/>
  <c r="A8" i="257"/>
  <c r="CV6" i="257"/>
  <c r="CU6" i="257"/>
  <c r="CT6" i="257"/>
  <c r="CS6" i="257"/>
  <c r="CR6" i="257"/>
  <c r="CQ6" i="257"/>
  <c r="CP6" i="257"/>
  <c r="CO6" i="257"/>
  <c r="CN6" i="257"/>
  <c r="CM6" i="257"/>
  <c r="CL6" i="257"/>
  <c r="CK6" i="257"/>
  <c r="CJ6" i="257"/>
  <c r="CI6" i="257"/>
  <c r="CH6" i="257"/>
  <c r="CG6" i="257"/>
  <c r="CF6" i="257"/>
  <c r="CE6" i="257"/>
  <c r="CD6" i="257"/>
  <c r="CC6" i="257"/>
  <c r="CB6" i="257"/>
  <c r="CA6" i="257"/>
  <c r="BZ6" i="257"/>
  <c r="BY6" i="257"/>
  <c r="BX6" i="257"/>
  <c r="BW6" i="257"/>
  <c r="BV6" i="257"/>
  <c r="BU6" i="257"/>
  <c r="BT6" i="257"/>
  <c r="BS6" i="257"/>
  <c r="BR6" i="257"/>
  <c r="BQ6" i="257"/>
  <c r="BP6" i="257"/>
  <c r="BO6" i="257"/>
  <c r="BN6" i="257"/>
  <c r="BM6" i="257"/>
  <c r="BL6" i="257"/>
  <c r="BK6" i="257"/>
  <c r="BJ6" i="257"/>
  <c r="BI6" i="257"/>
  <c r="BH6" i="257"/>
  <c r="BG6" i="257"/>
  <c r="BF6" i="257"/>
  <c r="BE6" i="257"/>
  <c r="BD6" i="257"/>
  <c r="BC6" i="257"/>
  <c r="BB6" i="257"/>
  <c r="AZ6" i="257"/>
  <c r="AY6" i="257"/>
  <c r="AX6" i="257"/>
  <c r="AW6" i="257"/>
  <c r="AV6" i="257"/>
  <c r="AU6" i="257"/>
  <c r="AT6" i="257"/>
  <c r="AS6" i="257"/>
  <c r="AR6" i="257"/>
  <c r="AQ6" i="257"/>
  <c r="AP6" i="257"/>
  <c r="AO6" i="257"/>
  <c r="AN6" i="257"/>
  <c r="AM6" i="257"/>
  <c r="AL6" i="257"/>
  <c r="AK6" i="257"/>
  <c r="AJ6" i="257"/>
  <c r="AI6" i="257"/>
  <c r="AH6" i="257"/>
  <c r="AF6" i="257"/>
  <c r="AD6" i="257"/>
  <c r="AC6" i="257"/>
  <c r="AB6" i="257"/>
  <c r="AA6" i="257"/>
  <c r="Z6" i="257"/>
  <c r="Y6" i="257"/>
  <c r="X6" i="257"/>
  <c r="W6" i="257"/>
  <c r="V6" i="257"/>
  <c r="U6" i="257"/>
  <c r="T6" i="257"/>
  <c r="S6" i="257"/>
  <c r="M5" i="257"/>
  <c r="P5" i="257" s="1"/>
  <c r="B15" i="256"/>
  <c r="F13" i="256"/>
  <c r="F12" i="256"/>
  <c r="F11" i="256"/>
  <c r="A8" i="256"/>
  <c r="CV6" i="256"/>
  <c r="CU6" i="256"/>
  <c r="CT6" i="256"/>
  <c r="CS6" i="256"/>
  <c r="CR6" i="256"/>
  <c r="CQ6" i="256"/>
  <c r="CP6" i="256"/>
  <c r="CO6" i="256"/>
  <c r="CN6" i="256"/>
  <c r="CM6" i="256"/>
  <c r="CL6" i="256"/>
  <c r="CK6" i="256"/>
  <c r="CJ6" i="256"/>
  <c r="CI6" i="256"/>
  <c r="CH6" i="256"/>
  <c r="CG6" i="256"/>
  <c r="CF6" i="256"/>
  <c r="CE6" i="256"/>
  <c r="CD6" i="256"/>
  <c r="CC6" i="256"/>
  <c r="CB6" i="256"/>
  <c r="CA6" i="256"/>
  <c r="BZ6" i="256"/>
  <c r="BY6" i="256"/>
  <c r="BX6" i="256"/>
  <c r="BW6" i="256"/>
  <c r="BV6" i="256"/>
  <c r="BU6" i="256"/>
  <c r="BT6" i="256"/>
  <c r="BS6" i="256"/>
  <c r="BR6" i="256"/>
  <c r="BQ6" i="256"/>
  <c r="BP6" i="256"/>
  <c r="BO6" i="256"/>
  <c r="BN6" i="256"/>
  <c r="BM6" i="256"/>
  <c r="BL6" i="256"/>
  <c r="BK6" i="256"/>
  <c r="BJ6" i="256"/>
  <c r="BI6" i="256"/>
  <c r="BH6" i="256"/>
  <c r="BG6" i="256"/>
  <c r="BF6" i="256"/>
  <c r="BE6" i="256"/>
  <c r="BD6" i="256"/>
  <c r="BC6" i="256"/>
  <c r="BB6" i="256"/>
  <c r="AZ6" i="256"/>
  <c r="AY6" i="256"/>
  <c r="AX6" i="256"/>
  <c r="AV6" i="256"/>
  <c r="AU6" i="256"/>
  <c r="AT6" i="256"/>
  <c r="AS6" i="256"/>
  <c r="AR6" i="256"/>
  <c r="AQ6" i="256"/>
  <c r="AP6" i="256"/>
  <c r="AO6" i="256"/>
  <c r="AN6" i="256"/>
  <c r="AM6" i="256"/>
  <c r="AL6" i="256"/>
  <c r="AK6" i="256"/>
  <c r="AJ6" i="256"/>
  <c r="AI6" i="256"/>
  <c r="AH6" i="256"/>
  <c r="AF6" i="256"/>
  <c r="AD6" i="256"/>
  <c r="AC6" i="256"/>
  <c r="AB6" i="256"/>
  <c r="AA6" i="256"/>
  <c r="Z6" i="256"/>
  <c r="Y6" i="256"/>
  <c r="X6" i="256"/>
  <c r="W6" i="256"/>
  <c r="V6" i="256"/>
  <c r="U6" i="256"/>
  <c r="T6" i="256"/>
  <c r="S6" i="256"/>
  <c r="M5" i="256"/>
  <c r="P5" i="256" s="1"/>
  <c r="B15" i="255"/>
  <c r="F13" i="255"/>
  <c r="F12" i="255"/>
  <c r="F11" i="255"/>
  <c r="A8" i="255"/>
  <c r="CV6" i="255"/>
  <c r="CU6" i="255"/>
  <c r="CT6" i="255"/>
  <c r="CS6" i="255"/>
  <c r="CR6" i="255"/>
  <c r="CQ6" i="255"/>
  <c r="CP6" i="255"/>
  <c r="CO6" i="255"/>
  <c r="CN6" i="255"/>
  <c r="CM6" i="255"/>
  <c r="CL6" i="255"/>
  <c r="CK6" i="255"/>
  <c r="CJ6" i="255"/>
  <c r="CI6" i="255"/>
  <c r="CH6" i="255"/>
  <c r="CG6" i="255"/>
  <c r="CF6" i="255"/>
  <c r="CE6" i="255"/>
  <c r="CD6" i="255"/>
  <c r="CC6" i="255"/>
  <c r="CB6" i="255"/>
  <c r="CA6" i="255"/>
  <c r="BZ6" i="255"/>
  <c r="BY6" i="255"/>
  <c r="BX6" i="255"/>
  <c r="BW6" i="255"/>
  <c r="BV6" i="255"/>
  <c r="BU6" i="255"/>
  <c r="BT6" i="255"/>
  <c r="BS6" i="255"/>
  <c r="BR6" i="255"/>
  <c r="BQ6" i="255"/>
  <c r="BP6" i="255"/>
  <c r="BO6" i="255"/>
  <c r="BN6" i="255"/>
  <c r="BM6" i="255"/>
  <c r="BL6" i="255"/>
  <c r="BK6" i="255"/>
  <c r="BJ6" i="255"/>
  <c r="BI6" i="255"/>
  <c r="BH6" i="255"/>
  <c r="BG6" i="255"/>
  <c r="BF6" i="255"/>
  <c r="BE6" i="255"/>
  <c r="BD6" i="255"/>
  <c r="BC6" i="255"/>
  <c r="BB6" i="255"/>
  <c r="AZ6" i="255"/>
  <c r="AY6" i="255"/>
  <c r="AX6" i="255"/>
  <c r="AV6" i="255"/>
  <c r="AU6" i="255"/>
  <c r="AT6" i="255"/>
  <c r="AS6" i="255"/>
  <c r="AR6" i="255"/>
  <c r="AQ6" i="255"/>
  <c r="AP6" i="255"/>
  <c r="AO6" i="255"/>
  <c r="AN6" i="255"/>
  <c r="AM6" i="255"/>
  <c r="AL6" i="255"/>
  <c r="AK6" i="255"/>
  <c r="AJ6" i="255"/>
  <c r="AI6" i="255"/>
  <c r="AH6" i="255"/>
  <c r="AF6" i="255"/>
  <c r="AD6" i="255"/>
  <c r="AC6" i="255"/>
  <c r="AB6" i="255"/>
  <c r="AA6" i="255"/>
  <c r="Z6" i="255"/>
  <c r="Y6" i="255"/>
  <c r="X6" i="255"/>
  <c r="W6" i="255"/>
  <c r="V6" i="255"/>
  <c r="U6" i="255"/>
  <c r="T6" i="255"/>
  <c r="S6" i="255"/>
  <c r="M5" i="255"/>
  <c r="P5" i="255" s="1"/>
  <c r="B15" i="254"/>
  <c r="F13" i="254"/>
  <c r="F12" i="254"/>
  <c r="F11" i="254"/>
  <c r="A8" i="254"/>
  <c r="CV6" i="254"/>
  <c r="CU6" i="254"/>
  <c r="CT6" i="254"/>
  <c r="CS6" i="254"/>
  <c r="CR6" i="254"/>
  <c r="CQ6" i="254"/>
  <c r="CP6" i="254"/>
  <c r="CO6" i="254"/>
  <c r="CN6" i="254"/>
  <c r="CM6" i="254"/>
  <c r="CL6" i="254"/>
  <c r="CK6" i="254"/>
  <c r="CJ6" i="254"/>
  <c r="CI6" i="254"/>
  <c r="CH6" i="254"/>
  <c r="CG6" i="254"/>
  <c r="CF6" i="254"/>
  <c r="CE6" i="254"/>
  <c r="CD6" i="254"/>
  <c r="CC6" i="254"/>
  <c r="CB6" i="254"/>
  <c r="CA6" i="254"/>
  <c r="BZ6" i="254"/>
  <c r="BY6" i="254"/>
  <c r="BX6" i="254"/>
  <c r="BW6" i="254"/>
  <c r="BV6" i="254"/>
  <c r="BU6" i="254"/>
  <c r="BT6" i="254"/>
  <c r="BS6" i="254"/>
  <c r="BR6" i="254"/>
  <c r="BQ6" i="254"/>
  <c r="BP6" i="254"/>
  <c r="BO6" i="254"/>
  <c r="BN6" i="254"/>
  <c r="BM6" i="254"/>
  <c r="BL6" i="254"/>
  <c r="BK6" i="254"/>
  <c r="BJ6" i="254"/>
  <c r="BI6" i="254"/>
  <c r="BH6" i="254"/>
  <c r="BG6" i="254"/>
  <c r="BF6" i="254"/>
  <c r="BE6" i="254"/>
  <c r="BD6" i="254"/>
  <c r="BC6" i="254"/>
  <c r="BB6" i="254"/>
  <c r="AZ6" i="254"/>
  <c r="AY6" i="254"/>
  <c r="AX6" i="254"/>
  <c r="AV6" i="254"/>
  <c r="AU6" i="254"/>
  <c r="AT6" i="254"/>
  <c r="AS6" i="254"/>
  <c r="AR6" i="254"/>
  <c r="AQ6" i="254"/>
  <c r="AP6" i="254"/>
  <c r="AO6" i="254"/>
  <c r="AN6" i="254"/>
  <c r="AM6" i="254"/>
  <c r="AL6" i="254"/>
  <c r="AK6" i="254"/>
  <c r="AJ6" i="254"/>
  <c r="AI6" i="254"/>
  <c r="AH6" i="254"/>
  <c r="AF6" i="254"/>
  <c r="AD6" i="254"/>
  <c r="AC6" i="254"/>
  <c r="AB6" i="254"/>
  <c r="AA6" i="254"/>
  <c r="Z6" i="254"/>
  <c r="Y6" i="254"/>
  <c r="X6" i="254"/>
  <c r="W6" i="254"/>
  <c r="V6" i="254"/>
  <c r="U6" i="254"/>
  <c r="T6" i="254"/>
  <c r="S6" i="254"/>
  <c r="M5" i="254"/>
  <c r="P5" i="254" s="1"/>
  <c r="B15" i="253"/>
  <c r="F13" i="253"/>
  <c r="F12" i="253"/>
  <c r="F11" i="253"/>
  <c r="A8" i="253"/>
  <c r="CV6" i="253"/>
  <c r="CU6" i="253"/>
  <c r="CT6" i="253"/>
  <c r="CS6" i="253"/>
  <c r="CR6" i="253"/>
  <c r="CQ6" i="253"/>
  <c r="CP6" i="253"/>
  <c r="CO6" i="253"/>
  <c r="CN6" i="253"/>
  <c r="CM6" i="253"/>
  <c r="CL6" i="253"/>
  <c r="CK6" i="253"/>
  <c r="CJ6" i="253"/>
  <c r="CI6" i="253"/>
  <c r="CH6" i="253"/>
  <c r="CG6" i="253"/>
  <c r="CF6" i="253"/>
  <c r="CE6" i="253"/>
  <c r="CD6" i="253"/>
  <c r="CC6" i="253"/>
  <c r="CB6" i="253"/>
  <c r="CA6" i="253"/>
  <c r="BZ6" i="253"/>
  <c r="BY6" i="253"/>
  <c r="BX6" i="253"/>
  <c r="BW6" i="253"/>
  <c r="BV6" i="253"/>
  <c r="BU6" i="253"/>
  <c r="BT6" i="253"/>
  <c r="BS6" i="253"/>
  <c r="BR6" i="253"/>
  <c r="BQ6" i="253"/>
  <c r="BP6" i="253"/>
  <c r="BO6" i="253"/>
  <c r="BN6" i="253"/>
  <c r="BM6" i="253"/>
  <c r="BL6" i="253"/>
  <c r="BK6" i="253"/>
  <c r="BJ6" i="253"/>
  <c r="BI6" i="253"/>
  <c r="BH6" i="253"/>
  <c r="BG6" i="253"/>
  <c r="BF6" i="253"/>
  <c r="BE6" i="253"/>
  <c r="BD6" i="253"/>
  <c r="BC6" i="253"/>
  <c r="BB6" i="253"/>
  <c r="AZ6" i="253"/>
  <c r="AY6" i="253"/>
  <c r="AX6" i="253"/>
  <c r="AV6" i="253"/>
  <c r="AU6" i="253"/>
  <c r="AT6" i="253"/>
  <c r="AS6" i="253"/>
  <c r="AR6" i="253"/>
  <c r="AQ6" i="253"/>
  <c r="AP6" i="253"/>
  <c r="AO6" i="253"/>
  <c r="AN6" i="253"/>
  <c r="AM6" i="253"/>
  <c r="AL6" i="253"/>
  <c r="AK6" i="253"/>
  <c r="AJ6" i="253"/>
  <c r="AI6" i="253"/>
  <c r="AH6" i="253"/>
  <c r="AF6" i="253"/>
  <c r="AD6" i="253"/>
  <c r="AC6" i="253"/>
  <c r="AB6" i="253"/>
  <c r="AA6" i="253"/>
  <c r="Z6" i="253"/>
  <c r="Y6" i="253"/>
  <c r="X6" i="253"/>
  <c r="W6" i="253"/>
  <c r="V6" i="253"/>
  <c r="U6" i="253"/>
  <c r="T6" i="253"/>
  <c r="S6" i="253"/>
  <c r="M5" i="253"/>
  <c r="P5" i="253" s="1"/>
  <c r="P6" i="253" s="1"/>
  <c r="B15" i="329"/>
  <c r="F13" i="329"/>
  <c r="F12" i="329"/>
  <c r="F11" i="329"/>
  <c r="A8" i="329"/>
  <c r="CV6" i="329"/>
  <c r="CU6" i="329"/>
  <c r="CT6" i="329"/>
  <c r="CS6" i="329"/>
  <c r="CR6" i="329"/>
  <c r="CQ6" i="329"/>
  <c r="CP6" i="329"/>
  <c r="CO6" i="329"/>
  <c r="CN6" i="329"/>
  <c r="CM6" i="329"/>
  <c r="CL6" i="329"/>
  <c r="CK6" i="329"/>
  <c r="CJ6" i="329"/>
  <c r="CI6" i="329"/>
  <c r="CH6" i="329"/>
  <c r="CG6" i="329"/>
  <c r="CF6" i="329"/>
  <c r="CE6" i="329"/>
  <c r="CD6" i="329"/>
  <c r="CC6" i="329"/>
  <c r="CB6" i="329"/>
  <c r="CA6" i="329"/>
  <c r="BZ6" i="329"/>
  <c r="BY6" i="329"/>
  <c r="BX6" i="329"/>
  <c r="BW6" i="329"/>
  <c r="BV6" i="329"/>
  <c r="BU6" i="329"/>
  <c r="BT6" i="329"/>
  <c r="BS6" i="329"/>
  <c r="BR6" i="329"/>
  <c r="BQ6" i="329"/>
  <c r="BP6" i="329"/>
  <c r="BO6" i="329"/>
  <c r="BN6" i="329"/>
  <c r="BM6" i="329"/>
  <c r="BL6" i="329"/>
  <c r="BK6" i="329"/>
  <c r="BJ6" i="329"/>
  <c r="BI6" i="329"/>
  <c r="BH6" i="329"/>
  <c r="BG6" i="329"/>
  <c r="BF6" i="329"/>
  <c r="BE6" i="329"/>
  <c r="BD6" i="329"/>
  <c r="BC6" i="329"/>
  <c r="BB6" i="329"/>
  <c r="AZ6" i="329"/>
  <c r="AY6" i="329"/>
  <c r="AX6" i="329"/>
  <c r="AV6" i="329"/>
  <c r="AU6" i="329"/>
  <c r="AT6" i="329"/>
  <c r="AS6" i="329"/>
  <c r="AR6" i="329"/>
  <c r="AQ6" i="329"/>
  <c r="AP6" i="329"/>
  <c r="AO6" i="329"/>
  <c r="AN6" i="329"/>
  <c r="AM6" i="329"/>
  <c r="AL6" i="329"/>
  <c r="AK6" i="329"/>
  <c r="AJ6" i="329"/>
  <c r="AI6" i="329"/>
  <c r="AH6" i="329"/>
  <c r="AF6" i="329"/>
  <c r="AD6" i="329"/>
  <c r="AC6" i="329"/>
  <c r="AB6" i="329"/>
  <c r="AA6" i="329"/>
  <c r="Z6" i="329"/>
  <c r="Y6" i="329"/>
  <c r="X6" i="329"/>
  <c r="W6" i="329"/>
  <c r="V6" i="329"/>
  <c r="U6" i="329"/>
  <c r="T6" i="329"/>
  <c r="S6" i="329"/>
  <c r="M5" i="329"/>
  <c r="P5" i="329" s="1"/>
  <c r="B15" i="328"/>
  <c r="F13" i="328"/>
  <c r="F12" i="328"/>
  <c r="F11" i="328"/>
  <c r="A8" i="328"/>
  <c r="CV6" i="328"/>
  <c r="CU6" i="328"/>
  <c r="CT6" i="328"/>
  <c r="CS6" i="328"/>
  <c r="CR6" i="328"/>
  <c r="CQ6" i="328"/>
  <c r="CP6" i="328"/>
  <c r="CO6" i="328"/>
  <c r="CN6" i="328"/>
  <c r="CM6" i="328"/>
  <c r="CL6" i="328"/>
  <c r="CK6" i="328"/>
  <c r="CJ6" i="328"/>
  <c r="CI6" i="328"/>
  <c r="CH6" i="328"/>
  <c r="CG6" i="328"/>
  <c r="CF6" i="328"/>
  <c r="CE6" i="328"/>
  <c r="CD6" i="328"/>
  <c r="CC6" i="328"/>
  <c r="CB6" i="328"/>
  <c r="CA6" i="328"/>
  <c r="BZ6" i="328"/>
  <c r="BY6" i="328"/>
  <c r="BX6" i="328"/>
  <c r="BW6" i="328"/>
  <c r="BV6" i="328"/>
  <c r="BU6" i="328"/>
  <c r="BT6" i="328"/>
  <c r="BS6" i="328"/>
  <c r="BR6" i="328"/>
  <c r="BQ6" i="328"/>
  <c r="BP6" i="328"/>
  <c r="BO6" i="328"/>
  <c r="BN6" i="328"/>
  <c r="BM6" i="328"/>
  <c r="BL6" i="328"/>
  <c r="BK6" i="328"/>
  <c r="BJ6" i="328"/>
  <c r="BI6" i="328"/>
  <c r="BH6" i="328"/>
  <c r="BG6" i="328"/>
  <c r="BF6" i="328"/>
  <c r="BE6" i="328"/>
  <c r="BD6" i="328"/>
  <c r="BC6" i="328"/>
  <c r="BB6" i="328"/>
  <c r="AZ6" i="328"/>
  <c r="AY6" i="328"/>
  <c r="AX6" i="328"/>
  <c r="AV6" i="328"/>
  <c r="AU6" i="328"/>
  <c r="AT6" i="328"/>
  <c r="AS6" i="328"/>
  <c r="AR6" i="328"/>
  <c r="AQ6" i="328"/>
  <c r="AP6" i="328"/>
  <c r="AO6" i="328"/>
  <c r="AN6" i="328"/>
  <c r="AM6" i="328"/>
  <c r="AL6" i="328"/>
  <c r="AK6" i="328"/>
  <c r="AJ6" i="328"/>
  <c r="AI6" i="328"/>
  <c r="AH6" i="328"/>
  <c r="AF6" i="328"/>
  <c r="AD6" i="328"/>
  <c r="AC6" i="328"/>
  <c r="AB6" i="328"/>
  <c r="AA6" i="328"/>
  <c r="Z6" i="328"/>
  <c r="Y6" i="328"/>
  <c r="X6" i="328"/>
  <c r="W6" i="328"/>
  <c r="V6" i="328"/>
  <c r="U6" i="328"/>
  <c r="T6" i="328"/>
  <c r="S6" i="328"/>
  <c r="M5" i="328"/>
  <c r="P5" i="328" s="1"/>
  <c r="B15" i="327"/>
  <c r="F13" i="327"/>
  <c r="F12" i="327"/>
  <c r="F11" i="327"/>
  <c r="A8" i="327"/>
  <c r="CV6" i="327"/>
  <c r="CU6" i="327"/>
  <c r="CT6" i="327"/>
  <c r="CS6" i="327"/>
  <c r="CR6" i="327"/>
  <c r="CQ6" i="327"/>
  <c r="CP6" i="327"/>
  <c r="CO6" i="327"/>
  <c r="CN6" i="327"/>
  <c r="CM6" i="327"/>
  <c r="CL6" i="327"/>
  <c r="CK6" i="327"/>
  <c r="CJ6" i="327"/>
  <c r="CI6" i="327"/>
  <c r="CH6" i="327"/>
  <c r="CG6" i="327"/>
  <c r="CF6" i="327"/>
  <c r="CE6" i="327"/>
  <c r="CD6" i="327"/>
  <c r="CC6" i="327"/>
  <c r="CB6" i="327"/>
  <c r="CA6" i="327"/>
  <c r="BZ6" i="327"/>
  <c r="BY6" i="327"/>
  <c r="BX6" i="327"/>
  <c r="BW6" i="327"/>
  <c r="BV6" i="327"/>
  <c r="BU6" i="327"/>
  <c r="BT6" i="327"/>
  <c r="BS6" i="327"/>
  <c r="BR6" i="327"/>
  <c r="BQ6" i="327"/>
  <c r="BP6" i="327"/>
  <c r="BO6" i="327"/>
  <c r="BN6" i="327"/>
  <c r="BM6" i="327"/>
  <c r="BL6" i="327"/>
  <c r="BK6" i="327"/>
  <c r="BJ6" i="327"/>
  <c r="BI6" i="327"/>
  <c r="BH6" i="327"/>
  <c r="BG6" i="327"/>
  <c r="BF6" i="327"/>
  <c r="BE6" i="327"/>
  <c r="BD6" i="327"/>
  <c r="BC6" i="327"/>
  <c r="BB6" i="327"/>
  <c r="AZ6" i="327"/>
  <c r="AY6" i="327"/>
  <c r="AX6" i="327"/>
  <c r="AV6" i="327"/>
  <c r="AU6" i="327"/>
  <c r="AT6" i="327"/>
  <c r="AS6" i="327"/>
  <c r="AR6" i="327"/>
  <c r="AQ6" i="327"/>
  <c r="AP6" i="327"/>
  <c r="AO6" i="327"/>
  <c r="AN6" i="327"/>
  <c r="AM6" i="327"/>
  <c r="AL6" i="327"/>
  <c r="AK6" i="327"/>
  <c r="AJ6" i="327"/>
  <c r="AI6" i="327"/>
  <c r="AH6" i="327"/>
  <c r="AF6" i="327"/>
  <c r="AD6" i="327"/>
  <c r="AC6" i="327"/>
  <c r="AB6" i="327"/>
  <c r="AA6" i="327"/>
  <c r="Z6" i="327"/>
  <c r="Y6" i="327"/>
  <c r="X6" i="327"/>
  <c r="W6" i="327"/>
  <c r="V6" i="327"/>
  <c r="U6" i="327"/>
  <c r="T6" i="327"/>
  <c r="S6" i="327"/>
  <c r="M5" i="327"/>
  <c r="P5" i="327" s="1"/>
  <c r="B15" i="326"/>
  <c r="F13" i="326"/>
  <c r="F12" i="326"/>
  <c r="F11" i="326"/>
  <c r="A8" i="326"/>
  <c r="CV6" i="326"/>
  <c r="CU6" i="326"/>
  <c r="CT6" i="326"/>
  <c r="CS6" i="326"/>
  <c r="CR6" i="326"/>
  <c r="CQ6" i="326"/>
  <c r="CP6" i="326"/>
  <c r="CO6" i="326"/>
  <c r="CN6" i="326"/>
  <c r="CM6" i="326"/>
  <c r="CL6" i="326"/>
  <c r="CK6" i="326"/>
  <c r="CJ6" i="326"/>
  <c r="CI6" i="326"/>
  <c r="CH6" i="326"/>
  <c r="CG6" i="326"/>
  <c r="CF6" i="326"/>
  <c r="CE6" i="326"/>
  <c r="CD6" i="326"/>
  <c r="CC6" i="326"/>
  <c r="CB6" i="326"/>
  <c r="CA6" i="326"/>
  <c r="BZ6" i="326"/>
  <c r="BY6" i="326"/>
  <c r="BX6" i="326"/>
  <c r="BW6" i="326"/>
  <c r="BV6" i="326"/>
  <c r="BU6" i="326"/>
  <c r="BT6" i="326"/>
  <c r="BS6" i="326"/>
  <c r="BR6" i="326"/>
  <c r="BQ6" i="326"/>
  <c r="BP6" i="326"/>
  <c r="BO6" i="326"/>
  <c r="BN6" i="326"/>
  <c r="BM6" i="326"/>
  <c r="BL6" i="326"/>
  <c r="BK6" i="326"/>
  <c r="BJ6" i="326"/>
  <c r="BI6" i="326"/>
  <c r="BH6" i="326"/>
  <c r="BG6" i="326"/>
  <c r="BF6" i="326"/>
  <c r="BE6" i="326"/>
  <c r="BD6" i="326"/>
  <c r="BC6" i="326"/>
  <c r="BB6" i="326"/>
  <c r="AZ6" i="326"/>
  <c r="AY6" i="326"/>
  <c r="AX6" i="326"/>
  <c r="AV6" i="326"/>
  <c r="AU6" i="326"/>
  <c r="AT6" i="326"/>
  <c r="AS6" i="326"/>
  <c r="AR6" i="326"/>
  <c r="AQ6" i="326"/>
  <c r="AP6" i="326"/>
  <c r="AO6" i="326"/>
  <c r="AN6" i="326"/>
  <c r="AM6" i="326"/>
  <c r="AL6" i="326"/>
  <c r="AK6" i="326"/>
  <c r="AJ6" i="326"/>
  <c r="AI6" i="326"/>
  <c r="AH6" i="326"/>
  <c r="AF6" i="326"/>
  <c r="AD6" i="326"/>
  <c r="AC6" i="326"/>
  <c r="AB6" i="326"/>
  <c r="AA6" i="326"/>
  <c r="Z6" i="326"/>
  <c r="Y6" i="326"/>
  <c r="X6" i="326"/>
  <c r="W6" i="326"/>
  <c r="V6" i="326"/>
  <c r="U6" i="326"/>
  <c r="T6" i="326"/>
  <c r="S6" i="326"/>
  <c r="M5" i="326"/>
  <c r="B15" i="325"/>
  <c r="F13" i="325"/>
  <c r="F12" i="325"/>
  <c r="F11" i="325"/>
  <c r="A8" i="325"/>
  <c r="CV6" i="325"/>
  <c r="CU6" i="325"/>
  <c r="CT6" i="325"/>
  <c r="CS6" i="325"/>
  <c r="CR6" i="325"/>
  <c r="CQ6" i="325"/>
  <c r="CP6" i="325"/>
  <c r="CO6" i="325"/>
  <c r="CN6" i="325"/>
  <c r="CM6" i="325"/>
  <c r="CL6" i="325"/>
  <c r="CK6" i="325"/>
  <c r="CJ6" i="325"/>
  <c r="CI6" i="325"/>
  <c r="CH6" i="325"/>
  <c r="CG6" i="325"/>
  <c r="CF6" i="325"/>
  <c r="CE6" i="325"/>
  <c r="CD6" i="325"/>
  <c r="CC6" i="325"/>
  <c r="CB6" i="325"/>
  <c r="CA6" i="325"/>
  <c r="BZ6" i="325"/>
  <c r="BY6" i="325"/>
  <c r="BX6" i="325"/>
  <c r="BW6" i="325"/>
  <c r="BV6" i="325"/>
  <c r="BU6" i="325"/>
  <c r="BT6" i="325"/>
  <c r="BS6" i="325"/>
  <c r="BR6" i="325"/>
  <c r="BQ6" i="325"/>
  <c r="BP6" i="325"/>
  <c r="BO6" i="325"/>
  <c r="BN6" i="325"/>
  <c r="BM6" i="325"/>
  <c r="BL6" i="325"/>
  <c r="BK6" i="325"/>
  <c r="BJ6" i="325"/>
  <c r="BI6" i="325"/>
  <c r="BH6" i="325"/>
  <c r="BG6" i="325"/>
  <c r="BF6" i="325"/>
  <c r="BE6" i="325"/>
  <c r="BD6" i="325"/>
  <c r="BC6" i="325"/>
  <c r="BB6" i="325"/>
  <c r="AZ6" i="325"/>
  <c r="AY6" i="325"/>
  <c r="AX6" i="325"/>
  <c r="AV6" i="325"/>
  <c r="AU6" i="325"/>
  <c r="AT6" i="325"/>
  <c r="AS6" i="325"/>
  <c r="AR6" i="325"/>
  <c r="AQ6" i="325"/>
  <c r="AP6" i="325"/>
  <c r="AO6" i="325"/>
  <c r="AN6" i="325"/>
  <c r="AM6" i="325"/>
  <c r="AL6" i="325"/>
  <c r="AK6" i="325"/>
  <c r="AJ6" i="325"/>
  <c r="AI6" i="325"/>
  <c r="AH6" i="325"/>
  <c r="AF6" i="325"/>
  <c r="AD6" i="325"/>
  <c r="AC6" i="325"/>
  <c r="AB6" i="325"/>
  <c r="AA6" i="325"/>
  <c r="Z6" i="325"/>
  <c r="Y6" i="325"/>
  <c r="X6" i="325"/>
  <c r="W6" i="325"/>
  <c r="V6" i="325"/>
  <c r="U6" i="325"/>
  <c r="T6" i="325"/>
  <c r="S6" i="325"/>
  <c r="M5" i="325"/>
  <c r="P5" i="325" s="1"/>
  <c r="B15" i="324"/>
  <c r="F13" i="324"/>
  <c r="F12" i="324"/>
  <c r="F11" i="324"/>
  <c r="A8" i="324"/>
  <c r="CV6" i="324"/>
  <c r="CU6" i="324"/>
  <c r="CT6" i="324"/>
  <c r="CS6" i="324"/>
  <c r="CR6" i="324"/>
  <c r="CQ6" i="324"/>
  <c r="CP6" i="324"/>
  <c r="CO6" i="324"/>
  <c r="CN6" i="324"/>
  <c r="CM6" i="324"/>
  <c r="CL6" i="324"/>
  <c r="CK6" i="324"/>
  <c r="CJ6" i="324"/>
  <c r="CI6" i="324"/>
  <c r="CH6" i="324"/>
  <c r="CG6" i="324"/>
  <c r="CF6" i="324"/>
  <c r="CE6" i="324"/>
  <c r="CD6" i="324"/>
  <c r="CC6" i="324"/>
  <c r="CB6" i="324"/>
  <c r="CA6" i="324"/>
  <c r="BZ6" i="324"/>
  <c r="BY6" i="324"/>
  <c r="BX6" i="324"/>
  <c r="BW6" i="324"/>
  <c r="BV6" i="324"/>
  <c r="BU6" i="324"/>
  <c r="BT6" i="324"/>
  <c r="BS6" i="324"/>
  <c r="BR6" i="324"/>
  <c r="BQ6" i="324"/>
  <c r="BP6" i="324"/>
  <c r="BO6" i="324"/>
  <c r="BN6" i="324"/>
  <c r="BM6" i="324"/>
  <c r="BL6" i="324"/>
  <c r="BK6" i="324"/>
  <c r="BJ6" i="324"/>
  <c r="BI6" i="324"/>
  <c r="BH6" i="324"/>
  <c r="BG6" i="324"/>
  <c r="BF6" i="324"/>
  <c r="BE6" i="324"/>
  <c r="BD6" i="324"/>
  <c r="BC6" i="324"/>
  <c r="BB6" i="324"/>
  <c r="AZ6" i="324"/>
  <c r="AY6" i="324"/>
  <c r="AX6" i="324"/>
  <c r="AV6" i="324"/>
  <c r="AU6" i="324"/>
  <c r="AT6" i="324"/>
  <c r="AS6" i="324"/>
  <c r="AR6" i="324"/>
  <c r="AQ6" i="324"/>
  <c r="AP6" i="324"/>
  <c r="AO6" i="324"/>
  <c r="AN6" i="324"/>
  <c r="AM6" i="324"/>
  <c r="AL6" i="324"/>
  <c r="AK6" i="324"/>
  <c r="AJ6" i="324"/>
  <c r="AI6" i="324"/>
  <c r="AH6" i="324"/>
  <c r="AF6" i="324"/>
  <c r="AD6" i="324"/>
  <c r="AC6" i="324"/>
  <c r="AB6" i="324"/>
  <c r="AA6" i="324"/>
  <c r="Z6" i="324"/>
  <c r="Y6" i="324"/>
  <c r="X6" i="324"/>
  <c r="W6" i="324"/>
  <c r="V6" i="324"/>
  <c r="U6" i="324"/>
  <c r="T6" i="324"/>
  <c r="S6" i="324"/>
  <c r="M5" i="324"/>
  <c r="P5" i="324" s="1"/>
  <c r="B15" i="323"/>
  <c r="F13" i="323"/>
  <c r="F12" i="323"/>
  <c r="F11" i="323"/>
  <c r="F10" i="323"/>
  <c r="A8" i="323"/>
  <c r="CV6" i="323"/>
  <c r="CU6" i="323"/>
  <c r="CT6" i="323"/>
  <c r="CS6" i="323"/>
  <c r="CR6" i="323"/>
  <c r="CQ6" i="323"/>
  <c r="CP6" i="323"/>
  <c r="CO6" i="323"/>
  <c r="CN6" i="323"/>
  <c r="CM6" i="323"/>
  <c r="CL6" i="323"/>
  <c r="CK6" i="323"/>
  <c r="CJ6" i="323"/>
  <c r="CI6" i="323"/>
  <c r="CH6" i="323"/>
  <c r="CG6" i="323"/>
  <c r="CF6" i="323"/>
  <c r="CE6" i="323"/>
  <c r="CD6" i="323"/>
  <c r="CC6" i="323"/>
  <c r="CB6" i="323"/>
  <c r="CA6" i="323"/>
  <c r="BZ6" i="323"/>
  <c r="BY6" i="323"/>
  <c r="BX6" i="323"/>
  <c r="BW6" i="323"/>
  <c r="BV6" i="323"/>
  <c r="BU6" i="323"/>
  <c r="BT6" i="323"/>
  <c r="BS6" i="323"/>
  <c r="BR6" i="323"/>
  <c r="BP6" i="323"/>
  <c r="BO6" i="323"/>
  <c r="BN6" i="323"/>
  <c r="BM6" i="323"/>
  <c r="BL6" i="323"/>
  <c r="BK6" i="323"/>
  <c r="BJ6" i="323"/>
  <c r="BI6" i="323"/>
  <c r="BH6" i="323"/>
  <c r="BG6" i="323"/>
  <c r="BF6" i="323"/>
  <c r="BE6" i="323"/>
  <c r="BD6" i="323"/>
  <c r="BC6" i="323"/>
  <c r="BB6" i="323"/>
  <c r="AZ6" i="323"/>
  <c r="AY6" i="323"/>
  <c r="AX6" i="323"/>
  <c r="AW6" i="323"/>
  <c r="AV6" i="323"/>
  <c r="AU6" i="323"/>
  <c r="AT6" i="323"/>
  <c r="AS6" i="323"/>
  <c r="AR6" i="323"/>
  <c r="AQ6" i="323"/>
  <c r="AP6" i="323"/>
  <c r="AO6" i="323"/>
  <c r="AN6" i="323"/>
  <c r="AM6" i="323"/>
  <c r="AL6" i="323"/>
  <c r="AK6" i="323"/>
  <c r="AJ6" i="323"/>
  <c r="AI6" i="323"/>
  <c r="AH6" i="323"/>
  <c r="AF6" i="323"/>
  <c r="AD6" i="323"/>
  <c r="AC6" i="323"/>
  <c r="AB6" i="323"/>
  <c r="AA6" i="323"/>
  <c r="Z6" i="323"/>
  <c r="Y6" i="323"/>
  <c r="X6" i="323"/>
  <c r="W6" i="323"/>
  <c r="V6" i="323"/>
  <c r="U6" i="323"/>
  <c r="T6" i="323"/>
  <c r="S6" i="323"/>
  <c r="M5" i="323"/>
  <c r="P5" i="323" s="1"/>
  <c r="B15" i="322"/>
  <c r="F13" i="322"/>
  <c r="F12" i="322"/>
  <c r="F11" i="322"/>
  <c r="A8" i="322"/>
  <c r="CV6" i="322"/>
  <c r="CU6" i="322"/>
  <c r="CT6" i="322"/>
  <c r="CS6" i="322"/>
  <c r="CR6" i="322"/>
  <c r="CQ6" i="322"/>
  <c r="CP6" i="322"/>
  <c r="CO6" i="322"/>
  <c r="CN6" i="322"/>
  <c r="CM6" i="322"/>
  <c r="CL6" i="322"/>
  <c r="CK6" i="322"/>
  <c r="CJ6" i="322"/>
  <c r="CI6" i="322"/>
  <c r="CH6" i="322"/>
  <c r="CG6" i="322"/>
  <c r="CF6" i="322"/>
  <c r="CE6" i="322"/>
  <c r="CD6" i="322"/>
  <c r="CC6" i="322"/>
  <c r="CB6" i="322"/>
  <c r="CA6" i="322"/>
  <c r="BZ6" i="322"/>
  <c r="BY6" i="322"/>
  <c r="BX6" i="322"/>
  <c r="BW6" i="322"/>
  <c r="BV6" i="322"/>
  <c r="BU6" i="322"/>
  <c r="BT6" i="322"/>
  <c r="BS6" i="322"/>
  <c r="BR6" i="322"/>
  <c r="BQ6" i="322"/>
  <c r="BP6" i="322"/>
  <c r="BO6" i="322"/>
  <c r="BN6" i="322"/>
  <c r="BM6" i="322"/>
  <c r="BL6" i="322"/>
  <c r="BK6" i="322"/>
  <c r="BJ6" i="322"/>
  <c r="BI6" i="322"/>
  <c r="BH6" i="322"/>
  <c r="BG6" i="322"/>
  <c r="BF6" i="322"/>
  <c r="BE6" i="322"/>
  <c r="BD6" i="322"/>
  <c r="BC6" i="322"/>
  <c r="BB6" i="322"/>
  <c r="AY6" i="322"/>
  <c r="AX6" i="322"/>
  <c r="AW6" i="322"/>
  <c r="AV6" i="322"/>
  <c r="AU6" i="322"/>
  <c r="AT6" i="322"/>
  <c r="AS6" i="322"/>
  <c r="AR6" i="322"/>
  <c r="AQ6" i="322"/>
  <c r="AP6" i="322"/>
  <c r="AO6" i="322"/>
  <c r="AN6" i="322"/>
  <c r="AM6" i="322"/>
  <c r="AL6" i="322"/>
  <c r="AK6" i="322"/>
  <c r="AJ6" i="322"/>
  <c r="AI6" i="322"/>
  <c r="AH6" i="322"/>
  <c r="AF6" i="322"/>
  <c r="AD6" i="322"/>
  <c r="AC6" i="322"/>
  <c r="AB6" i="322"/>
  <c r="AA6" i="322"/>
  <c r="Z6" i="322"/>
  <c r="Y6" i="322"/>
  <c r="X6" i="322"/>
  <c r="W6" i="322"/>
  <c r="V6" i="322"/>
  <c r="U6" i="322"/>
  <c r="T6" i="322"/>
  <c r="S6" i="322"/>
  <c r="M5" i="322"/>
  <c r="P5" i="322" s="1"/>
  <c r="B15" i="321"/>
  <c r="F13" i="321"/>
  <c r="F12" i="321"/>
  <c r="F11" i="321"/>
  <c r="A8" i="321"/>
  <c r="CV6" i="321"/>
  <c r="CU6" i="321"/>
  <c r="CT6" i="321"/>
  <c r="CS6" i="321"/>
  <c r="CR6" i="321"/>
  <c r="CQ6" i="321"/>
  <c r="CP6" i="321"/>
  <c r="CO6" i="321"/>
  <c r="CN6" i="321"/>
  <c r="CM6" i="321"/>
  <c r="CL6" i="321"/>
  <c r="CK6" i="321"/>
  <c r="CJ6" i="321"/>
  <c r="CI6" i="321"/>
  <c r="CH6" i="321"/>
  <c r="CG6" i="321"/>
  <c r="CF6" i="321"/>
  <c r="CE6" i="321"/>
  <c r="CD6" i="321"/>
  <c r="CC6" i="321"/>
  <c r="CB6" i="321"/>
  <c r="CA6" i="321"/>
  <c r="BZ6" i="321"/>
  <c r="BY6" i="321"/>
  <c r="BX6" i="321"/>
  <c r="BW6" i="321"/>
  <c r="BV6" i="321"/>
  <c r="BU6" i="321"/>
  <c r="BT6" i="321"/>
  <c r="BS6" i="321"/>
  <c r="BR6" i="321"/>
  <c r="BQ6" i="321"/>
  <c r="BP6" i="321"/>
  <c r="BO6" i="321"/>
  <c r="BN6" i="321"/>
  <c r="BM6" i="321"/>
  <c r="BL6" i="321"/>
  <c r="BK6" i="321"/>
  <c r="BJ6" i="321"/>
  <c r="BI6" i="321"/>
  <c r="BH6" i="321"/>
  <c r="BG6" i="321"/>
  <c r="BF6" i="321"/>
  <c r="BE6" i="321"/>
  <c r="BD6" i="321"/>
  <c r="BC6" i="321"/>
  <c r="BB6" i="321"/>
  <c r="AY6" i="321"/>
  <c r="AX6" i="321"/>
  <c r="AW6" i="321"/>
  <c r="AV6" i="321"/>
  <c r="AU6" i="321"/>
  <c r="AT6" i="321"/>
  <c r="AS6" i="321"/>
  <c r="AR6" i="321"/>
  <c r="AQ6" i="321"/>
  <c r="AP6" i="321"/>
  <c r="AO6" i="321"/>
  <c r="AN6" i="321"/>
  <c r="AM6" i="321"/>
  <c r="AL6" i="321"/>
  <c r="AK6" i="321"/>
  <c r="AJ6" i="321"/>
  <c r="AI6" i="321"/>
  <c r="AH6" i="321"/>
  <c r="AF6" i="321"/>
  <c r="AD6" i="321"/>
  <c r="AC6" i="321"/>
  <c r="AB6" i="321"/>
  <c r="AA6" i="321"/>
  <c r="Z6" i="321"/>
  <c r="Y6" i="321"/>
  <c r="X6" i="321"/>
  <c r="W6" i="321"/>
  <c r="V6" i="321"/>
  <c r="U6" i="321"/>
  <c r="T6" i="321"/>
  <c r="S6" i="321"/>
  <c r="M5" i="321"/>
  <c r="P5" i="321" s="1"/>
  <c r="B15" i="318"/>
  <c r="F13" i="318"/>
  <c r="F12" i="318"/>
  <c r="F11" i="318"/>
  <c r="A8" i="318"/>
  <c r="CV6" i="318"/>
  <c r="CU6" i="318"/>
  <c r="CT6" i="318"/>
  <c r="CS6" i="318"/>
  <c r="CR6" i="318"/>
  <c r="CQ6" i="318"/>
  <c r="CP6" i="318"/>
  <c r="CO6" i="318"/>
  <c r="CN6" i="318"/>
  <c r="CM6" i="318"/>
  <c r="CL6" i="318"/>
  <c r="CK6" i="318"/>
  <c r="CJ6" i="318"/>
  <c r="CI6" i="318"/>
  <c r="CH6" i="318"/>
  <c r="CG6" i="318"/>
  <c r="CF6" i="318"/>
  <c r="CE6" i="318"/>
  <c r="CD6" i="318"/>
  <c r="CC6" i="318"/>
  <c r="CB6" i="318"/>
  <c r="CA6" i="318"/>
  <c r="BZ6" i="318"/>
  <c r="BY6" i="318"/>
  <c r="BX6" i="318"/>
  <c r="BW6" i="318"/>
  <c r="BV6" i="318"/>
  <c r="BU6" i="318"/>
  <c r="BT6" i="318"/>
  <c r="BS6" i="318"/>
  <c r="BR6" i="318"/>
  <c r="BQ6" i="318"/>
  <c r="BP6" i="318"/>
  <c r="BO6" i="318"/>
  <c r="BN6" i="318"/>
  <c r="BM6" i="318"/>
  <c r="BL6" i="318"/>
  <c r="BK6" i="318"/>
  <c r="BJ6" i="318"/>
  <c r="BI6" i="318"/>
  <c r="BH6" i="318"/>
  <c r="BG6" i="318"/>
  <c r="BF6" i="318"/>
  <c r="BE6" i="318"/>
  <c r="BD6" i="318"/>
  <c r="BC6" i="318"/>
  <c r="BB6" i="318"/>
  <c r="AZ6" i="318"/>
  <c r="AY6" i="318"/>
  <c r="AX6" i="318"/>
  <c r="AW6" i="318"/>
  <c r="AV6" i="318"/>
  <c r="AU6" i="318"/>
  <c r="AT6" i="318"/>
  <c r="AS6" i="318"/>
  <c r="AR6" i="318"/>
  <c r="AQ6" i="318"/>
  <c r="AP6" i="318"/>
  <c r="AO6" i="318"/>
  <c r="AN6" i="318"/>
  <c r="AM6" i="318"/>
  <c r="AL6" i="318"/>
  <c r="AK6" i="318"/>
  <c r="AJ6" i="318"/>
  <c r="AI6" i="318"/>
  <c r="AF6" i="318"/>
  <c r="AD6" i="318"/>
  <c r="AC6" i="318"/>
  <c r="AB6" i="318"/>
  <c r="AA6" i="318"/>
  <c r="Z6" i="318"/>
  <c r="Y6" i="318"/>
  <c r="X6" i="318"/>
  <c r="W6" i="318"/>
  <c r="V6" i="318"/>
  <c r="U6" i="318"/>
  <c r="T6" i="318"/>
  <c r="S6" i="318"/>
  <c r="M5" i="318"/>
  <c r="B15" i="305"/>
  <c r="F13" i="305"/>
  <c r="F12" i="305"/>
  <c r="F11" i="305"/>
  <c r="A8" i="305"/>
  <c r="CV6" i="305"/>
  <c r="CU6" i="305"/>
  <c r="CT6" i="305"/>
  <c r="CS6" i="305"/>
  <c r="CR6" i="305"/>
  <c r="CQ6" i="305"/>
  <c r="CP6" i="305"/>
  <c r="CO6" i="305"/>
  <c r="CN6" i="305"/>
  <c r="CM6" i="305"/>
  <c r="CL6" i="305"/>
  <c r="CK6" i="305"/>
  <c r="CJ6" i="305"/>
  <c r="CI6" i="305"/>
  <c r="CH6" i="305"/>
  <c r="CG6" i="305"/>
  <c r="CF6" i="305"/>
  <c r="CE6" i="305"/>
  <c r="CD6" i="305"/>
  <c r="CC6" i="305"/>
  <c r="CB6" i="305"/>
  <c r="CA6" i="305"/>
  <c r="BZ6" i="305"/>
  <c r="BY6" i="305"/>
  <c r="BX6" i="305"/>
  <c r="BW6" i="305"/>
  <c r="BV6" i="305"/>
  <c r="BU6" i="305"/>
  <c r="BT6" i="305"/>
  <c r="BS6" i="305"/>
  <c r="BR6" i="305"/>
  <c r="BQ6" i="305"/>
  <c r="BP6" i="305"/>
  <c r="BN6" i="305"/>
  <c r="BM6" i="305"/>
  <c r="BL6" i="305"/>
  <c r="BK6" i="305"/>
  <c r="BJ6" i="305"/>
  <c r="BI6" i="305"/>
  <c r="BH6" i="305"/>
  <c r="BG6" i="305"/>
  <c r="BF6" i="305"/>
  <c r="BE6" i="305"/>
  <c r="BD6" i="305"/>
  <c r="BC6" i="305"/>
  <c r="BB6" i="305"/>
  <c r="AZ6" i="305"/>
  <c r="AY6" i="305"/>
  <c r="AX6" i="305"/>
  <c r="AW6" i="305"/>
  <c r="AV6" i="305"/>
  <c r="AU6" i="305"/>
  <c r="AT6" i="305"/>
  <c r="AS6" i="305"/>
  <c r="AR6" i="305"/>
  <c r="AQ6" i="305"/>
  <c r="AP6" i="305"/>
  <c r="AO6" i="305"/>
  <c r="AN6" i="305"/>
  <c r="AM6" i="305"/>
  <c r="AL6" i="305"/>
  <c r="AK6" i="305"/>
  <c r="AJ6" i="305"/>
  <c r="AI6" i="305"/>
  <c r="AH6" i="305"/>
  <c r="AF6" i="305"/>
  <c r="AD6" i="305"/>
  <c r="AC6" i="305"/>
  <c r="AB6" i="305"/>
  <c r="AA6" i="305"/>
  <c r="Z6" i="305"/>
  <c r="Y6" i="305"/>
  <c r="X6" i="305"/>
  <c r="W6" i="305"/>
  <c r="V6" i="305"/>
  <c r="U6" i="305"/>
  <c r="T6" i="305"/>
  <c r="S6" i="305"/>
  <c r="M5" i="305"/>
  <c r="B15" i="304"/>
  <c r="F12" i="304"/>
  <c r="F11" i="304"/>
  <c r="A8" i="304"/>
  <c r="CV6" i="304"/>
  <c r="CU6" i="304"/>
  <c r="CT6" i="304"/>
  <c r="CS6" i="304"/>
  <c r="CR6" i="304"/>
  <c r="CQ6" i="304"/>
  <c r="CP6" i="304"/>
  <c r="CO6" i="304"/>
  <c r="CN6" i="304"/>
  <c r="CM6" i="304"/>
  <c r="CL6" i="304"/>
  <c r="CK6" i="304"/>
  <c r="CJ6" i="304"/>
  <c r="CI6" i="304"/>
  <c r="CH6" i="304"/>
  <c r="CG6" i="304"/>
  <c r="CF6" i="304"/>
  <c r="CE6" i="304"/>
  <c r="CD6" i="304"/>
  <c r="CC6" i="304"/>
  <c r="CB6" i="304"/>
  <c r="CA6" i="304"/>
  <c r="BZ6" i="304"/>
  <c r="BY6" i="304"/>
  <c r="BX6" i="304"/>
  <c r="BW6" i="304"/>
  <c r="BV6" i="304"/>
  <c r="BU6" i="304"/>
  <c r="BT6" i="304"/>
  <c r="BS6" i="304"/>
  <c r="BR6" i="304"/>
  <c r="BQ6" i="304"/>
  <c r="BP6" i="304"/>
  <c r="BO6" i="304"/>
  <c r="BN6" i="304"/>
  <c r="BM6" i="304"/>
  <c r="BL6" i="304"/>
  <c r="BK6" i="304"/>
  <c r="BJ6" i="304"/>
  <c r="BI6" i="304"/>
  <c r="BH6" i="304"/>
  <c r="BG6" i="304"/>
  <c r="BF6" i="304"/>
  <c r="BE6" i="304"/>
  <c r="BD6" i="304"/>
  <c r="BC6" i="304"/>
  <c r="AZ6" i="304"/>
  <c r="AY6" i="304"/>
  <c r="AX6" i="304"/>
  <c r="AW6" i="304"/>
  <c r="AV6" i="304"/>
  <c r="AU6" i="304"/>
  <c r="AT6" i="304"/>
  <c r="AS6" i="304"/>
  <c r="AR6" i="304"/>
  <c r="AQ6" i="304"/>
  <c r="AP6" i="304"/>
  <c r="AO6" i="304"/>
  <c r="AN6" i="304"/>
  <c r="AM6" i="304"/>
  <c r="AL6" i="304"/>
  <c r="AK6" i="304"/>
  <c r="AJ6" i="304"/>
  <c r="AI6" i="304"/>
  <c r="AH6" i="304"/>
  <c r="AF6" i="304"/>
  <c r="AD6" i="304"/>
  <c r="AC6" i="304"/>
  <c r="AB6" i="304"/>
  <c r="AA6" i="304"/>
  <c r="Z6" i="304"/>
  <c r="Y6" i="304"/>
  <c r="X6" i="304"/>
  <c r="W6" i="304"/>
  <c r="V6" i="304"/>
  <c r="U6" i="304"/>
  <c r="T6" i="304"/>
  <c r="S6" i="304"/>
  <c r="M5" i="304"/>
  <c r="M6" i="304" s="1"/>
  <c r="E13" i="304" s="1"/>
  <c r="B15" i="303"/>
  <c r="F13" i="303"/>
  <c r="F12" i="303"/>
  <c r="F11" i="303"/>
  <c r="A8" i="303"/>
  <c r="CV6" i="303"/>
  <c r="CU6" i="303"/>
  <c r="CT6" i="303"/>
  <c r="CS6" i="303"/>
  <c r="CR6" i="303"/>
  <c r="CQ6" i="303"/>
  <c r="CP6" i="303"/>
  <c r="CO6" i="303"/>
  <c r="CN6" i="303"/>
  <c r="CM6" i="303"/>
  <c r="CL6" i="303"/>
  <c r="CK6" i="303"/>
  <c r="CJ6" i="303"/>
  <c r="CI6" i="303"/>
  <c r="CH6" i="303"/>
  <c r="CG6" i="303"/>
  <c r="CF6" i="303"/>
  <c r="CE6" i="303"/>
  <c r="CD6" i="303"/>
  <c r="CC6" i="303"/>
  <c r="CB6" i="303"/>
  <c r="CA6" i="303"/>
  <c r="BZ6" i="303"/>
  <c r="BY6" i="303"/>
  <c r="BX6" i="303"/>
  <c r="BW6" i="303"/>
  <c r="BV6" i="303"/>
  <c r="BU6" i="303"/>
  <c r="BT6" i="303"/>
  <c r="BS6" i="303"/>
  <c r="BR6" i="303"/>
  <c r="BQ6" i="303"/>
  <c r="BP6" i="303"/>
  <c r="BO6" i="303"/>
  <c r="BN6" i="303"/>
  <c r="BM6" i="303"/>
  <c r="BL6" i="303"/>
  <c r="BK6" i="303"/>
  <c r="BJ6" i="303"/>
  <c r="BI6" i="303"/>
  <c r="BH6" i="303"/>
  <c r="BG6" i="303"/>
  <c r="BF6" i="303"/>
  <c r="BE6" i="303"/>
  <c r="BD6" i="303"/>
  <c r="BC6" i="303"/>
  <c r="AZ6" i="303"/>
  <c r="AY6" i="303"/>
  <c r="AX6" i="303"/>
  <c r="AW6" i="303"/>
  <c r="AV6" i="303"/>
  <c r="AU6" i="303"/>
  <c r="AT6" i="303"/>
  <c r="AS6" i="303"/>
  <c r="AR6" i="303"/>
  <c r="AQ6" i="303"/>
  <c r="AP6" i="303"/>
  <c r="AO6" i="303"/>
  <c r="AN6" i="303"/>
  <c r="AM6" i="303"/>
  <c r="AL6" i="303"/>
  <c r="AK6" i="303"/>
  <c r="AJ6" i="303"/>
  <c r="AI6" i="303"/>
  <c r="AH6" i="303"/>
  <c r="AF6" i="303"/>
  <c r="AD6" i="303"/>
  <c r="AC6" i="303"/>
  <c r="AB6" i="303"/>
  <c r="AA6" i="303"/>
  <c r="Z6" i="303"/>
  <c r="Y6" i="303"/>
  <c r="X6" i="303"/>
  <c r="W6" i="303"/>
  <c r="V6" i="303"/>
  <c r="U6" i="303"/>
  <c r="T6" i="303"/>
  <c r="S6" i="303"/>
  <c r="M5" i="303"/>
  <c r="B15" i="301"/>
  <c r="F13" i="301"/>
  <c r="F12" i="301"/>
  <c r="F11" i="301"/>
  <c r="A8" i="301"/>
  <c r="CV6" i="301"/>
  <c r="CU6" i="301"/>
  <c r="CT6" i="301"/>
  <c r="CS6" i="301"/>
  <c r="CR6" i="301"/>
  <c r="CQ6" i="301"/>
  <c r="CP6" i="301"/>
  <c r="CO6" i="301"/>
  <c r="CN6" i="301"/>
  <c r="CM6" i="301"/>
  <c r="CL6" i="301"/>
  <c r="CK6" i="301"/>
  <c r="CJ6" i="301"/>
  <c r="CI6" i="301"/>
  <c r="CH6" i="301"/>
  <c r="CG6" i="301"/>
  <c r="CF6" i="301"/>
  <c r="CE6" i="301"/>
  <c r="CD6" i="301"/>
  <c r="CC6" i="301"/>
  <c r="CB6" i="301"/>
  <c r="CA6" i="301"/>
  <c r="BZ6" i="301"/>
  <c r="BY6" i="301"/>
  <c r="BX6" i="301"/>
  <c r="BW6" i="301"/>
  <c r="BV6" i="301"/>
  <c r="BU6" i="301"/>
  <c r="BT6" i="301"/>
  <c r="BS6" i="301"/>
  <c r="BR6" i="301"/>
  <c r="BQ6" i="301"/>
  <c r="BP6" i="301"/>
  <c r="BO6" i="301"/>
  <c r="BN6" i="301"/>
  <c r="BM6" i="301"/>
  <c r="BL6" i="301"/>
  <c r="BK6" i="301"/>
  <c r="BJ6" i="301"/>
  <c r="BI6" i="301"/>
  <c r="BH6" i="301"/>
  <c r="BG6" i="301"/>
  <c r="BF6" i="301"/>
  <c r="BE6" i="301"/>
  <c r="BD6" i="301"/>
  <c r="BC6" i="301"/>
  <c r="BB6" i="301"/>
  <c r="AZ6" i="301"/>
  <c r="AY6" i="301"/>
  <c r="AX6" i="301"/>
  <c r="AW6" i="301"/>
  <c r="AV6" i="301"/>
  <c r="AU6" i="301"/>
  <c r="AT6" i="301"/>
  <c r="AS6" i="301"/>
  <c r="AR6" i="301"/>
  <c r="AQ6" i="301"/>
  <c r="AP6" i="301"/>
  <c r="AO6" i="301"/>
  <c r="AN6" i="301"/>
  <c r="AM6" i="301"/>
  <c r="AL6" i="301"/>
  <c r="AK6" i="301"/>
  <c r="AJ6" i="301"/>
  <c r="AI6" i="301"/>
  <c r="AH6" i="301"/>
  <c r="AF6" i="301"/>
  <c r="AD6" i="301"/>
  <c r="AC6" i="301"/>
  <c r="AB6" i="301"/>
  <c r="AA6" i="301"/>
  <c r="Z6" i="301"/>
  <c r="Y6" i="301"/>
  <c r="X6" i="301"/>
  <c r="W6" i="301"/>
  <c r="V6" i="301"/>
  <c r="U6" i="301"/>
  <c r="T6" i="301"/>
  <c r="S6" i="301"/>
  <c r="M5" i="301"/>
  <c r="B15" i="300"/>
  <c r="F13" i="300"/>
  <c r="F12" i="300"/>
  <c r="F11" i="300"/>
  <c r="A8" i="300"/>
  <c r="CV6" i="300"/>
  <c r="CU6" i="300"/>
  <c r="CT6" i="300"/>
  <c r="CS6" i="300"/>
  <c r="CR6" i="300"/>
  <c r="CQ6" i="300"/>
  <c r="CP6" i="300"/>
  <c r="CO6" i="300"/>
  <c r="CN6" i="300"/>
  <c r="CM6" i="300"/>
  <c r="CL6" i="300"/>
  <c r="CK6" i="300"/>
  <c r="CJ6" i="300"/>
  <c r="CI6" i="300"/>
  <c r="CH6" i="300"/>
  <c r="CG6" i="300"/>
  <c r="CF6" i="300"/>
  <c r="CE6" i="300"/>
  <c r="CD6" i="300"/>
  <c r="CC6" i="300"/>
  <c r="CB6" i="300"/>
  <c r="CA6" i="300"/>
  <c r="BZ6" i="300"/>
  <c r="BY6" i="300"/>
  <c r="BX6" i="300"/>
  <c r="BW6" i="300"/>
  <c r="BV6" i="300"/>
  <c r="BU6" i="300"/>
  <c r="BT6" i="300"/>
  <c r="BS6" i="300"/>
  <c r="BR6" i="300"/>
  <c r="BQ6" i="300"/>
  <c r="BP6" i="300"/>
  <c r="BO6" i="300"/>
  <c r="BN6" i="300"/>
  <c r="BM6" i="300"/>
  <c r="BL6" i="300"/>
  <c r="BK6" i="300"/>
  <c r="BJ6" i="300"/>
  <c r="BI6" i="300"/>
  <c r="BH6" i="300"/>
  <c r="BG6" i="300"/>
  <c r="BF6" i="300"/>
  <c r="BE6" i="300"/>
  <c r="BD6" i="300"/>
  <c r="BC6" i="300"/>
  <c r="BB6" i="300"/>
  <c r="AY6" i="300"/>
  <c r="AX6" i="300"/>
  <c r="AW6" i="300"/>
  <c r="AV6" i="300"/>
  <c r="AU6" i="300"/>
  <c r="AT6" i="300"/>
  <c r="AS6" i="300"/>
  <c r="AR6" i="300"/>
  <c r="AQ6" i="300"/>
  <c r="AP6" i="300"/>
  <c r="AO6" i="300"/>
  <c r="AN6" i="300"/>
  <c r="AM6" i="300"/>
  <c r="AL6" i="300"/>
  <c r="AK6" i="300"/>
  <c r="AJ6" i="300"/>
  <c r="AI6" i="300"/>
  <c r="AH6" i="300"/>
  <c r="AF6" i="300"/>
  <c r="AD6" i="300"/>
  <c r="AC6" i="300"/>
  <c r="AB6" i="300"/>
  <c r="AA6" i="300"/>
  <c r="Z6" i="300"/>
  <c r="Y6" i="300"/>
  <c r="X6" i="300"/>
  <c r="W6" i="300"/>
  <c r="V6" i="300"/>
  <c r="U6" i="300"/>
  <c r="T6" i="300"/>
  <c r="S6" i="300"/>
  <c r="M5" i="300"/>
  <c r="P5" i="300" s="1"/>
  <c r="B15" i="299"/>
  <c r="F13" i="299"/>
  <c r="F12" i="299"/>
  <c r="F11" i="299"/>
  <c r="A8" i="299"/>
  <c r="CV6" i="299"/>
  <c r="CU6" i="299"/>
  <c r="CT6" i="299"/>
  <c r="CS6" i="299"/>
  <c r="CR6" i="299"/>
  <c r="CQ6" i="299"/>
  <c r="CP6" i="299"/>
  <c r="CO6" i="299"/>
  <c r="CN6" i="299"/>
  <c r="CM6" i="299"/>
  <c r="CL6" i="299"/>
  <c r="CK6" i="299"/>
  <c r="CJ6" i="299"/>
  <c r="CI6" i="299"/>
  <c r="CH6" i="299"/>
  <c r="CG6" i="299"/>
  <c r="CF6" i="299"/>
  <c r="CE6" i="299"/>
  <c r="CD6" i="299"/>
  <c r="CC6" i="299"/>
  <c r="CB6" i="299"/>
  <c r="CA6" i="299"/>
  <c r="BZ6" i="299"/>
  <c r="BY6" i="299"/>
  <c r="BX6" i="299"/>
  <c r="BW6" i="299"/>
  <c r="BV6" i="299"/>
  <c r="BU6" i="299"/>
  <c r="BT6" i="299"/>
  <c r="BS6" i="299"/>
  <c r="BR6" i="299"/>
  <c r="BQ6" i="299"/>
  <c r="BP6" i="299"/>
  <c r="BO6" i="299"/>
  <c r="BN6" i="299"/>
  <c r="BM6" i="299"/>
  <c r="BL6" i="299"/>
  <c r="BK6" i="299"/>
  <c r="BJ6" i="299"/>
  <c r="BI6" i="299"/>
  <c r="BH6" i="299"/>
  <c r="BG6" i="299"/>
  <c r="BF6" i="299"/>
  <c r="BE6" i="299"/>
  <c r="BD6" i="299"/>
  <c r="BC6" i="299"/>
  <c r="BB6" i="299"/>
  <c r="AY6" i="299"/>
  <c r="AX6" i="299"/>
  <c r="AW6" i="299"/>
  <c r="AV6" i="299"/>
  <c r="AU6" i="299"/>
  <c r="AT6" i="299"/>
  <c r="AS6" i="299"/>
  <c r="AR6" i="299"/>
  <c r="AQ6" i="299"/>
  <c r="AP6" i="299"/>
  <c r="AO6" i="299"/>
  <c r="AN6" i="299"/>
  <c r="AM6" i="299"/>
  <c r="AL6" i="299"/>
  <c r="AK6" i="299"/>
  <c r="AJ6" i="299"/>
  <c r="AI6" i="299"/>
  <c r="AH6" i="299"/>
  <c r="AF6" i="299"/>
  <c r="AD6" i="299"/>
  <c r="AC6" i="299"/>
  <c r="AB6" i="299"/>
  <c r="AA6" i="299"/>
  <c r="Z6" i="299"/>
  <c r="Y6" i="299"/>
  <c r="X6" i="299"/>
  <c r="W6" i="299"/>
  <c r="V6" i="299"/>
  <c r="U6" i="299"/>
  <c r="T6" i="299"/>
  <c r="S6" i="299"/>
  <c r="M5" i="299"/>
  <c r="B15" i="298"/>
  <c r="F13" i="298"/>
  <c r="F12" i="298"/>
  <c r="F11" i="298"/>
  <c r="A8" i="298"/>
  <c r="CV6" i="298"/>
  <c r="CU6" i="298"/>
  <c r="CT6" i="298"/>
  <c r="CS6" i="298"/>
  <c r="CR6" i="298"/>
  <c r="CQ6" i="298"/>
  <c r="CP6" i="298"/>
  <c r="CO6" i="298"/>
  <c r="CN6" i="298"/>
  <c r="CM6" i="298"/>
  <c r="CL6" i="298"/>
  <c r="CK6" i="298"/>
  <c r="CJ6" i="298"/>
  <c r="CI6" i="298"/>
  <c r="CH6" i="298"/>
  <c r="CG6" i="298"/>
  <c r="CF6" i="298"/>
  <c r="CE6" i="298"/>
  <c r="CD6" i="298"/>
  <c r="CC6" i="298"/>
  <c r="CB6" i="298"/>
  <c r="CA6" i="298"/>
  <c r="BZ6" i="298"/>
  <c r="BY6" i="298"/>
  <c r="BX6" i="298"/>
  <c r="BW6" i="298"/>
  <c r="BV6" i="298"/>
  <c r="BU6" i="298"/>
  <c r="BT6" i="298"/>
  <c r="BS6" i="298"/>
  <c r="BR6" i="298"/>
  <c r="BQ6" i="298"/>
  <c r="BP6" i="298"/>
  <c r="BO6" i="298"/>
  <c r="BN6" i="298"/>
  <c r="BM6" i="298"/>
  <c r="BL6" i="298"/>
  <c r="BK6" i="298"/>
  <c r="BJ6" i="298"/>
  <c r="BI6" i="298"/>
  <c r="BH6" i="298"/>
  <c r="BG6" i="298"/>
  <c r="BF6" i="298"/>
  <c r="BE6" i="298"/>
  <c r="BD6" i="298"/>
  <c r="BC6" i="298"/>
  <c r="BB6" i="298"/>
  <c r="AY6" i="298"/>
  <c r="AX6" i="298"/>
  <c r="AW6" i="298"/>
  <c r="AV6" i="298"/>
  <c r="AU6" i="298"/>
  <c r="AT6" i="298"/>
  <c r="AS6" i="298"/>
  <c r="AR6" i="298"/>
  <c r="AQ6" i="298"/>
  <c r="AP6" i="298"/>
  <c r="AO6" i="298"/>
  <c r="AN6" i="298"/>
  <c r="AM6" i="298"/>
  <c r="AL6" i="298"/>
  <c r="AK6" i="298"/>
  <c r="AJ6" i="298"/>
  <c r="AI6" i="298"/>
  <c r="AH6" i="298"/>
  <c r="AF6" i="298"/>
  <c r="AD6" i="298"/>
  <c r="AC6" i="298"/>
  <c r="AB6" i="298"/>
  <c r="AA6" i="298"/>
  <c r="Z6" i="298"/>
  <c r="Y6" i="298"/>
  <c r="X6" i="298"/>
  <c r="W6" i="298"/>
  <c r="V6" i="298"/>
  <c r="U6" i="298"/>
  <c r="T6" i="298"/>
  <c r="S6" i="298"/>
  <c r="M5" i="298"/>
  <c r="B15" i="297"/>
  <c r="F13" i="297"/>
  <c r="F12" i="297"/>
  <c r="F11" i="297"/>
  <c r="A8" i="297"/>
  <c r="CV6" i="297"/>
  <c r="CU6" i="297"/>
  <c r="CT6" i="297"/>
  <c r="CS6" i="297"/>
  <c r="CR6" i="297"/>
  <c r="CQ6" i="297"/>
  <c r="CP6" i="297"/>
  <c r="CO6" i="297"/>
  <c r="CN6" i="297"/>
  <c r="CM6" i="297"/>
  <c r="CL6" i="297"/>
  <c r="CK6" i="297"/>
  <c r="CJ6" i="297"/>
  <c r="CI6" i="297"/>
  <c r="CH6" i="297"/>
  <c r="CG6" i="297"/>
  <c r="CF6" i="297"/>
  <c r="CE6" i="297"/>
  <c r="CD6" i="297"/>
  <c r="CC6" i="297"/>
  <c r="CB6" i="297"/>
  <c r="CA6" i="297"/>
  <c r="BZ6" i="297"/>
  <c r="BY6" i="297"/>
  <c r="BX6" i="297"/>
  <c r="BW6" i="297"/>
  <c r="BV6" i="297"/>
  <c r="BU6" i="297"/>
  <c r="BT6" i="297"/>
  <c r="BS6" i="297"/>
  <c r="BR6" i="297"/>
  <c r="BQ6" i="297"/>
  <c r="BP6" i="297"/>
  <c r="BO6" i="297"/>
  <c r="BN6" i="297"/>
  <c r="BM6" i="297"/>
  <c r="BL6" i="297"/>
  <c r="BK6" i="297"/>
  <c r="BJ6" i="297"/>
  <c r="BI6" i="297"/>
  <c r="BH6" i="297"/>
  <c r="BG6" i="297"/>
  <c r="BF6" i="297"/>
  <c r="BE6" i="297"/>
  <c r="BD6" i="297"/>
  <c r="BC6" i="297"/>
  <c r="BB6" i="297"/>
  <c r="AY6" i="297"/>
  <c r="AX6" i="297"/>
  <c r="AW6" i="297"/>
  <c r="AV6" i="297"/>
  <c r="AU6" i="297"/>
  <c r="AT6" i="297"/>
  <c r="AS6" i="297"/>
  <c r="AR6" i="297"/>
  <c r="AQ6" i="297"/>
  <c r="AP6" i="297"/>
  <c r="AO6" i="297"/>
  <c r="AN6" i="297"/>
  <c r="AM6" i="297"/>
  <c r="AL6" i="297"/>
  <c r="AK6" i="297"/>
  <c r="AJ6" i="297"/>
  <c r="AI6" i="297"/>
  <c r="AH6" i="297"/>
  <c r="AF6" i="297"/>
  <c r="AD6" i="297"/>
  <c r="AC6" i="297"/>
  <c r="AB6" i="297"/>
  <c r="AA6" i="297"/>
  <c r="Z6" i="297"/>
  <c r="Y6" i="297"/>
  <c r="X6" i="297"/>
  <c r="W6" i="297"/>
  <c r="V6" i="297"/>
  <c r="U6" i="297"/>
  <c r="T6" i="297"/>
  <c r="S6" i="297"/>
  <c r="M5" i="297"/>
  <c r="P5" i="297" s="1"/>
  <c r="B15" i="296"/>
  <c r="F13" i="296"/>
  <c r="F12" i="296"/>
  <c r="F11" i="296"/>
  <c r="A8" i="296"/>
  <c r="CV6" i="296"/>
  <c r="CU6" i="296"/>
  <c r="CT6" i="296"/>
  <c r="CS6" i="296"/>
  <c r="CR6" i="296"/>
  <c r="CQ6" i="296"/>
  <c r="CP6" i="296"/>
  <c r="CO6" i="296"/>
  <c r="CN6" i="296"/>
  <c r="CM6" i="296"/>
  <c r="CL6" i="296"/>
  <c r="CK6" i="296"/>
  <c r="CJ6" i="296"/>
  <c r="CI6" i="296"/>
  <c r="CH6" i="296"/>
  <c r="CG6" i="296"/>
  <c r="CF6" i="296"/>
  <c r="CE6" i="296"/>
  <c r="CD6" i="296"/>
  <c r="CC6" i="296"/>
  <c r="CB6" i="296"/>
  <c r="CA6" i="296"/>
  <c r="BZ6" i="296"/>
  <c r="BY6" i="296"/>
  <c r="BX6" i="296"/>
  <c r="BW6" i="296"/>
  <c r="BV6" i="296"/>
  <c r="BU6" i="296"/>
  <c r="BT6" i="296"/>
  <c r="BS6" i="296"/>
  <c r="BR6" i="296"/>
  <c r="BQ6" i="296"/>
  <c r="BP6" i="296"/>
  <c r="BO6" i="296"/>
  <c r="BN6" i="296"/>
  <c r="BM6" i="296"/>
  <c r="BL6" i="296"/>
  <c r="BK6" i="296"/>
  <c r="BJ6" i="296"/>
  <c r="BI6" i="296"/>
  <c r="BH6" i="296"/>
  <c r="BG6" i="296"/>
  <c r="BF6" i="296"/>
  <c r="BE6" i="296"/>
  <c r="BD6" i="296"/>
  <c r="BC6" i="296"/>
  <c r="BB6" i="296"/>
  <c r="AY6" i="296"/>
  <c r="AX6" i="296"/>
  <c r="AW6" i="296"/>
  <c r="AV6" i="296"/>
  <c r="AU6" i="296"/>
  <c r="AT6" i="296"/>
  <c r="AS6" i="296"/>
  <c r="AR6" i="296"/>
  <c r="AQ6" i="296"/>
  <c r="AP6" i="296"/>
  <c r="AO6" i="296"/>
  <c r="AN6" i="296"/>
  <c r="AM6" i="296"/>
  <c r="AL6" i="296"/>
  <c r="AK6" i="296"/>
  <c r="AJ6" i="296"/>
  <c r="AI6" i="296"/>
  <c r="AH6" i="296"/>
  <c r="AF6" i="296"/>
  <c r="AD6" i="296"/>
  <c r="AC6" i="296"/>
  <c r="AB6" i="296"/>
  <c r="AA6" i="296"/>
  <c r="Z6" i="296"/>
  <c r="Y6" i="296"/>
  <c r="X6" i="296"/>
  <c r="W6" i="296"/>
  <c r="V6" i="296"/>
  <c r="U6" i="296"/>
  <c r="T6" i="296"/>
  <c r="S6" i="296"/>
  <c r="M5" i="296"/>
  <c r="P5" i="296" s="1"/>
  <c r="B15" i="295"/>
  <c r="F13" i="295"/>
  <c r="F12" i="295"/>
  <c r="F11" i="295"/>
  <c r="A8" i="295"/>
  <c r="CV6" i="295"/>
  <c r="CU6" i="295"/>
  <c r="CT6" i="295"/>
  <c r="CS6" i="295"/>
  <c r="CR6" i="295"/>
  <c r="CQ6" i="295"/>
  <c r="CP6" i="295"/>
  <c r="CO6" i="295"/>
  <c r="CN6" i="295"/>
  <c r="CM6" i="295"/>
  <c r="CL6" i="295"/>
  <c r="CK6" i="295"/>
  <c r="CJ6" i="295"/>
  <c r="CI6" i="295"/>
  <c r="CH6" i="295"/>
  <c r="CG6" i="295"/>
  <c r="CF6" i="295"/>
  <c r="CE6" i="295"/>
  <c r="CD6" i="295"/>
  <c r="CC6" i="295"/>
  <c r="CB6" i="295"/>
  <c r="CA6" i="295"/>
  <c r="BZ6" i="295"/>
  <c r="BY6" i="295"/>
  <c r="BX6" i="295"/>
  <c r="BW6" i="295"/>
  <c r="BV6" i="295"/>
  <c r="BU6" i="295"/>
  <c r="BT6" i="295"/>
  <c r="BS6" i="295"/>
  <c r="BR6" i="295"/>
  <c r="BQ6" i="295"/>
  <c r="BP6" i="295"/>
  <c r="BO6" i="295"/>
  <c r="BN6" i="295"/>
  <c r="BM6" i="295"/>
  <c r="BL6" i="295"/>
  <c r="BK6" i="295"/>
  <c r="BJ6" i="295"/>
  <c r="BI6" i="295"/>
  <c r="BH6" i="295"/>
  <c r="BG6" i="295"/>
  <c r="BF6" i="295"/>
  <c r="BE6" i="295"/>
  <c r="BD6" i="295"/>
  <c r="BC6" i="295"/>
  <c r="BB6" i="295"/>
  <c r="AY6" i="295"/>
  <c r="AX6" i="295"/>
  <c r="AW6" i="295"/>
  <c r="AV6" i="295"/>
  <c r="AU6" i="295"/>
  <c r="AT6" i="295"/>
  <c r="AS6" i="295"/>
  <c r="AR6" i="295"/>
  <c r="AQ6" i="295"/>
  <c r="AP6" i="295"/>
  <c r="AO6" i="295"/>
  <c r="AN6" i="295"/>
  <c r="AM6" i="295"/>
  <c r="AL6" i="295"/>
  <c r="AK6" i="295"/>
  <c r="AJ6" i="295"/>
  <c r="AI6" i="295"/>
  <c r="AH6" i="295"/>
  <c r="AF6" i="295"/>
  <c r="AD6" i="295"/>
  <c r="AC6" i="295"/>
  <c r="AB6" i="295"/>
  <c r="AA6" i="295"/>
  <c r="Z6" i="295"/>
  <c r="Y6" i="295"/>
  <c r="X6" i="295"/>
  <c r="W6" i="295"/>
  <c r="V6" i="295"/>
  <c r="U6" i="295"/>
  <c r="T6" i="295"/>
  <c r="S6" i="295"/>
  <c r="M5" i="295"/>
  <c r="P5" i="295" s="1"/>
  <c r="B15" i="294"/>
  <c r="F13" i="294"/>
  <c r="F12" i="294"/>
  <c r="F11" i="294"/>
  <c r="A8" i="294"/>
  <c r="CV6" i="294"/>
  <c r="CU6" i="294"/>
  <c r="CT6" i="294"/>
  <c r="CS6" i="294"/>
  <c r="CR6" i="294"/>
  <c r="CQ6" i="294"/>
  <c r="CP6" i="294"/>
  <c r="CO6" i="294"/>
  <c r="CN6" i="294"/>
  <c r="CM6" i="294"/>
  <c r="CL6" i="294"/>
  <c r="CK6" i="294"/>
  <c r="CJ6" i="294"/>
  <c r="CI6" i="294"/>
  <c r="CH6" i="294"/>
  <c r="CG6" i="294"/>
  <c r="CF6" i="294"/>
  <c r="CE6" i="294"/>
  <c r="CD6" i="294"/>
  <c r="CC6" i="294"/>
  <c r="CB6" i="294"/>
  <c r="CA6" i="294"/>
  <c r="BZ6" i="294"/>
  <c r="BY6" i="294"/>
  <c r="BX6" i="294"/>
  <c r="BW6" i="294"/>
  <c r="BV6" i="294"/>
  <c r="BU6" i="294"/>
  <c r="BT6" i="294"/>
  <c r="BS6" i="294"/>
  <c r="BR6" i="294"/>
  <c r="BQ6" i="294"/>
  <c r="BP6" i="294"/>
  <c r="BO6" i="294"/>
  <c r="BN6" i="294"/>
  <c r="BM6" i="294"/>
  <c r="BL6" i="294"/>
  <c r="BK6" i="294"/>
  <c r="BJ6" i="294"/>
  <c r="BI6" i="294"/>
  <c r="BH6" i="294"/>
  <c r="BG6" i="294"/>
  <c r="BF6" i="294"/>
  <c r="BE6" i="294"/>
  <c r="BD6" i="294"/>
  <c r="BC6" i="294"/>
  <c r="BB6" i="294"/>
  <c r="AY6" i="294"/>
  <c r="AX6" i="294"/>
  <c r="AW6" i="294"/>
  <c r="AV6" i="294"/>
  <c r="AU6" i="294"/>
  <c r="AT6" i="294"/>
  <c r="AS6" i="294"/>
  <c r="AR6" i="294"/>
  <c r="AQ6" i="294"/>
  <c r="AP6" i="294"/>
  <c r="AO6" i="294"/>
  <c r="AN6" i="294"/>
  <c r="AM6" i="294"/>
  <c r="AL6" i="294"/>
  <c r="AK6" i="294"/>
  <c r="AJ6" i="294"/>
  <c r="AI6" i="294"/>
  <c r="AH6" i="294"/>
  <c r="AF6" i="294"/>
  <c r="AD6" i="294"/>
  <c r="AC6" i="294"/>
  <c r="AB6" i="294"/>
  <c r="AA6" i="294"/>
  <c r="Z6" i="294"/>
  <c r="Y6" i="294"/>
  <c r="X6" i="294"/>
  <c r="W6" i="294"/>
  <c r="V6" i="294"/>
  <c r="U6" i="294"/>
  <c r="T6" i="294"/>
  <c r="S6" i="294"/>
  <c r="M5" i="294"/>
  <c r="P5" i="294" s="1"/>
  <c r="B15" i="293"/>
  <c r="F13" i="293"/>
  <c r="F12" i="293"/>
  <c r="F11" i="293"/>
  <c r="A8" i="293"/>
  <c r="CV6" i="293"/>
  <c r="CU6" i="293"/>
  <c r="CT6" i="293"/>
  <c r="CS6" i="293"/>
  <c r="CR6" i="293"/>
  <c r="CQ6" i="293"/>
  <c r="CP6" i="293"/>
  <c r="CO6" i="293"/>
  <c r="CN6" i="293"/>
  <c r="CM6" i="293"/>
  <c r="CL6" i="293"/>
  <c r="CK6" i="293"/>
  <c r="CJ6" i="293"/>
  <c r="CI6" i="293"/>
  <c r="CH6" i="293"/>
  <c r="CG6" i="293"/>
  <c r="CF6" i="293"/>
  <c r="CE6" i="293"/>
  <c r="CD6" i="293"/>
  <c r="CC6" i="293"/>
  <c r="CB6" i="293"/>
  <c r="CA6" i="293"/>
  <c r="BZ6" i="293"/>
  <c r="BY6" i="293"/>
  <c r="BX6" i="293"/>
  <c r="BW6" i="293"/>
  <c r="BV6" i="293"/>
  <c r="BU6" i="293"/>
  <c r="BT6" i="293"/>
  <c r="BS6" i="293"/>
  <c r="BR6" i="293"/>
  <c r="BQ6" i="293"/>
  <c r="BP6" i="293"/>
  <c r="BO6" i="293"/>
  <c r="BN6" i="293"/>
  <c r="BM6" i="293"/>
  <c r="BL6" i="293"/>
  <c r="BK6" i="293"/>
  <c r="BJ6" i="293"/>
  <c r="BI6" i="293"/>
  <c r="BH6" i="293"/>
  <c r="BG6" i="293"/>
  <c r="BF6" i="293"/>
  <c r="BE6" i="293"/>
  <c r="BD6" i="293"/>
  <c r="BC6" i="293"/>
  <c r="BB6" i="293"/>
  <c r="AZ6" i="293"/>
  <c r="AY6" i="293"/>
  <c r="AX6" i="293"/>
  <c r="AW6" i="293"/>
  <c r="AV6" i="293"/>
  <c r="AU6" i="293"/>
  <c r="AT6" i="293"/>
  <c r="AS6" i="293"/>
  <c r="AR6" i="293"/>
  <c r="AQ6" i="293"/>
  <c r="AP6" i="293"/>
  <c r="AO6" i="293"/>
  <c r="AN6" i="293"/>
  <c r="AM6" i="293"/>
  <c r="AL6" i="293"/>
  <c r="AK6" i="293"/>
  <c r="AJ6" i="293"/>
  <c r="AI6" i="293"/>
  <c r="AH6" i="293"/>
  <c r="AF6" i="293"/>
  <c r="AD6" i="293"/>
  <c r="AC6" i="293"/>
  <c r="AB6" i="293"/>
  <c r="AA6" i="293"/>
  <c r="Z6" i="293"/>
  <c r="Y6" i="293"/>
  <c r="X6" i="293"/>
  <c r="W6" i="293"/>
  <c r="V6" i="293"/>
  <c r="U6" i="293"/>
  <c r="T6" i="293"/>
  <c r="S6" i="293"/>
  <c r="M5" i="293"/>
  <c r="P5" i="293" s="1"/>
  <c r="B15" i="292"/>
  <c r="F13" i="292"/>
  <c r="F12" i="292"/>
  <c r="F11" i="292"/>
  <c r="A8" i="292"/>
  <c r="CV6" i="292"/>
  <c r="CU6" i="292"/>
  <c r="CT6" i="292"/>
  <c r="CS6" i="292"/>
  <c r="CR6" i="292"/>
  <c r="CQ6" i="292"/>
  <c r="CP6" i="292"/>
  <c r="CO6" i="292"/>
  <c r="CN6" i="292"/>
  <c r="CM6" i="292"/>
  <c r="CL6" i="292"/>
  <c r="CK6" i="292"/>
  <c r="CJ6" i="292"/>
  <c r="CI6" i="292"/>
  <c r="CH6" i="292"/>
  <c r="CG6" i="292"/>
  <c r="CF6" i="292"/>
  <c r="CE6" i="292"/>
  <c r="CD6" i="292"/>
  <c r="CC6" i="292"/>
  <c r="CB6" i="292"/>
  <c r="CA6" i="292"/>
  <c r="BZ6" i="292"/>
  <c r="BY6" i="292"/>
  <c r="BX6" i="292"/>
  <c r="BW6" i="292"/>
  <c r="BV6" i="292"/>
  <c r="BU6" i="292"/>
  <c r="BT6" i="292"/>
  <c r="BS6" i="292"/>
  <c r="BR6" i="292"/>
  <c r="BQ6" i="292"/>
  <c r="BP6" i="292"/>
  <c r="BO6" i="292"/>
  <c r="BN6" i="292"/>
  <c r="BM6" i="292"/>
  <c r="BL6" i="292"/>
  <c r="BK6" i="292"/>
  <c r="BJ6" i="292"/>
  <c r="BI6" i="292"/>
  <c r="BH6" i="292"/>
  <c r="BG6" i="292"/>
  <c r="BF6" i="292"/>
  <c r="BE6" i="292"/>
  <c r="BD6" i="292"/>
  <c r="BC6" i="292"/>
  <c r="BB6" i="292"/>
  <c r="AY6" i="292"/>
  <c r="AX6" i="292"/>
  <c r="AW6" i="292"/>
  <c r="AV6" i="292"/>
  <c r="AU6" i="292"/>
  <c r="AT6" i="292"/>
  <c r="AS6" i="292"/>
  <c r="AR6" i="292"/>
  <c r="AQ6" i="292"/>
  <c r="AP6" i="292"/>
  <c r="AO6" i="292"/>
  <c r="AN6" i="292"/>
  <c r="AM6" i="292"/>
  <c r="AL6" i="292"/>
  <c r="AK6" i="292"/>
  <c r="AJ6" i="292"/>
  <c r="AI6" i="292"/>
  <c r="AH6" i="292"/>
  <c r="AF6" i="292"/>
  <c r="AD6" i="292"/>
  <c r="AC6" i="292"/>
  <c r="AB6" i="292"/>
  <c r="AA6" i="292"/>
  <c r="Z6" i="292"/>
  <c r="Y6" i="292"/>
  <c r="X6" i="292"/>
  <c r="W6" i="292"/>
  <c r="V6" i="292"/>
  <c r="U6" i="292"/>
  <c r="T6" i="292"/>
  <c r="S6" i="292"/>
  <c r="M5" i="292"/>
  <c r="P5" i="292" s="1"/>
  <c r="B15" i="291"/>
  <c r="F13" i="291"/>
  <c r="F12" i="291"/>
  <c r="F11" i="291"/>
  <c r="A8" i="291"/>
  <c r="CV6" i="291"/>
  <c r="CU6" i="291"/>
  <c r="CT6" i="291"/>
  <c r="CS6" i="291"/>
  <c r="CR6" i="291"/>
  <c r="CQ6" i="291"/>
  <c r="CP6" i="291"/>
  <c r="CO6" i="291"/>
  <c r="CN6" i="291"/>
  <c r="CM6" i="291"/>
  <c r="CL6" i="291"/>
  <c r="CK6" i="291"/>
  <c r="CJ6" i="291"/>
  <c r="CI6" i="291"/>
  <c r="CH6" i="291"/>
  <c r="CG6" i="291"/>
  <c r="CF6" i="291"/>
  <c r="CE6" i="291"/>
  <c r="CD6" i="291"/>
  <c r="CC6" i="291"/>
  <c r="CB6" i="291"/>
  <c r="CA6" i="291"/>
  <c r="BZ6" i="291"/>
  <c r="BY6" i="291"/>
  <c r="BX6" i="291"/>
  <c r="BW6" i="291"/>
  <c r="BV6" i="291"/>
  <c r="BU6" i="291"/>
  <c r="BT6" i="291"/>
  <c r="BS6" i="291"/>
  <c r="BR6" i="291"/>
  <c r="BQ6" i="291"/>
  <c r="BP6" i="291"/>
  <c r="BO6" i="291"/>
  <c r="BN6" i="291"/>
  <c r="BM6" i="291"/>
  <c r="BL6" i="291"/>
  <c r="BK6" i="291"/>
  <c r="BJ6" i="291"/>
  <c r="BI6" i="291"/>
  <c r="BH6" i="291"/>
  <c r="BG6" i="291"/>
  <c r="BF6" i="291"/>
  <c r="BE6" i="291"/>
  <c r="BD6" i="291"/>
  <c r="BC6" i="291"/>
  <c r="BB6" i="291"/>
  <c r="AY6" i="291"/>
  <c r="AX6" i="291"/>
  <c r="AW6" i="291"/>
  <c r="AV6" i="291"/>
  <c r="AU6" i="291"/>
  <c r="AT6" i="291"/>
  <c r="AS6" i="291"/>
  <c r="AR6" i="291"/>
  <c r="AQ6" i="291"/>
  <c r="AP6" i="291"/>
  <c r="AO6" i="291"/>
  <c r="AN6" i="291"/>
  <c r="AM6" i="291"/>
  <c r="AL6" i="291"/>
  <c r="AK6" i="291"/>
  <c r="AJ6" i="291"/>
  <c r="AI6" i="291"/>
  <c r="AH6" i="291"/>
  <c r="AF6" i="291"/>
  <c r="AD6" i="291"/>
  <c r="AC6" i="291"/>
  <c r="AB6" i="291"/>
  <c r="AA6" i="291"/>
  <c r="Z6" i="291"/>
  <c r="Y6" i="291"/>
  <c r="X6" i="291"/>
  <c r="W6" i="291"/>
  <c r="V6" i="291"/>
  <c r="U6" i="291"/>
  <c r="T6" i="291"/>
  <c r="S6" i="291"/>
  <c r="M5" i="291"/>
  <c r="P5" i="291" s="1"/>
  <c r="B15" i="290"/>
  <c r="F13" i="290"/>
  <c r="F12" i="290"/>
  <c r="F11" i="290"/>
  <c r="A8" i="290"/>
  <c r="CV6" i="290"/>
  <c r="CU6" i="290"/>
  <c r="CT6" i="290"/>
  <c r="CS6" i="290"/>
  <c r="CR6" i="290"/>
  <c r="CQ6" i="290"/>
  <c r="CP6" i="290"/>
  <c r="CO6" i="290"/>
  <c r="CN6" i="290"/>
  <c r="CM6" i="290"/>
  <c r="CL6" i="290"/>
  <c r="CK6" i="290"/>
  <c r="CJ6" i="290"/>
  <c r="CI6" i="290"/>
  <c r="CH6" i="290"/>
  <c r="CG6" i="290"/>
  <c r="CF6" i="290"/>
  <c r="CE6" i="290"/>
  <c r="CD6" i="290"/>
  <c r="CC6" i="290"/>
  <c r="CB6" i="290"/>
  <c r="CA6" i="290"/>
  <c r="BZ6" i="290"/>
  <c r="BY6" i="290"/>
  <c r="BX6" i="290"/>
  <c r="BW6" i="290"/>
  <c r="BV6" i="290"/>
  <c r="BU6" i="290"/>
  <c r="BT6" i="290"/>
  <c r="BS6" i="290"/>
  <c r="BR6" i="290"/>
  <c r="BQ6" i="290"/>
  <c r="BP6" i="290"/>
  <c r="BO6" i="290"/>
  <c r="BN6" i="290"/>
  <c r="BM6" i="290"/>
  <c r="BL6" i="290"/>
  <c r="BK6" i="290"/>
  <c r="BJ6" i="290"/>
  <c r="BI6" i="290"/>
  <c r="BH6" i="290"/>
  <c r="BG6" i="290"/>
  <c r="BF6" i="290"/>
  <c r="BE6" i="290"/>
  <c r="BD6" i="290"/>
  <c r="BC6" i="290"/>
  <c r="BB6" i="290"/>
  <c r="AZ6" i="290"/>
  <c r="AY6" i="290"/>
  <c r="AX6" i="290"/>
  <c r="AW6" i="290"/>
  <c r="AV6" i="290"/>
  <c r="AU6" i="290"/>
  <c r="AT6" i="290"/>
  <c r="AS6" i="290"/>
  <c r="AR6" i="290"/>
  <c r="AQ6" i="290"/>
  <c r="AP6" i="290"/>
  <c r="AO6" i="290"/>
  <c r="AN6" i="290"/>
  <c r="AM6" i="290"/>
  <c r="AL6" i="290"/>
  <c r="AJ6" i="290"/>
  <c r="AI6" i="290"/>
  <c r="AH6" i="290"/>
  <c r="AF6" i="290"/>
  <c r="AD6" i="290"/>
  <c r="AC6" i="290"/>
  <c r="AB6" i="290"/>
  <c r="AA6" i="290"/>
  <c r="Z6" i="290"/>
  <c r="Y6" i="290"/>
  <c r="X6" i="290"/>
  <c r="W6" i="290"/>
  <c r="V6" i="290"/>
  <c r="U6" i="290"/>
  <c r="T6" i="290"/>
  <c r="S6" i="290"/>
  <c r="M5" i="290"/>
  <c r="B15" i="288"/>
  <c r="F13" i="288"/>
  <c r="F12" i="288"/>
  <c r="F11" i="288"/>
  <c r="A8" i="288"/>
  <c r="CV6" i="288"/>
  <c r="CU6" i="288"/>
  <c r="CT6" i="288"/>
  <c r="CS6" i="288"/>
  <c r="CR6" i="288"/>
  <c r="CQ6" i="288"/>
  <c r="CP6" i="288"/>
  <c r="CO6" i="288"/>
  <c r="CN6" i="288"/>
  <c r="CM6" i="288"/>
  <c r="CL6" i="288"/>
  <c r="CK6" i="288"/>
  <c r="CJ6" i="288"/>
  <c r="CI6" i="288"/>
  <c r="CH6" i="288"/>
  <c r="CG6" i="288"/>
  <c r="CF6" i="288"/>
  <c r="CE6" i="288"/>
  <c r="CD6" i="288"/>
  <c r="CC6" i="288"/>
  <c r="CB6" i="288"/>
  <c r="CA6" i="288"/>
  <c r="BZ6" i="288"/>
  <c r="BY6" i="288"/>
  <c r="BX6" i="288"/>
  <c r="BW6" i="288"/>
  <c r="BV6" i="288"/>
  <c r="BU6" i="288"/>
  <c r="BT6" i="288"/>
  <c r="BS6" i="288"/>
  <c r="BR6" i="288"/>
  <c r="BQ6" i="288"/>
  <c r="BP6" i="288"/>
  <c r="BO6" i="288"/>
  <c r="BN6" i="288"/>
  <c r="BM6" i="288"/>
  <c r="BL6" i="288"/>
  <c r="BK6" i="288"/>
  <c r="BJ6" i="288"/>
  <c r="BI6" i="288"/>
  <c r="BH6" i="288"/>
  <c r="BG6" i="288"/>
  <c r="BF6" i="288"/>
  <c r="BE6" i="288"/>
  <c r="BD6" i="288"/>
  <c r="BC6" i="288"/>
  <c r="BB6" i="288"/>
  <c r="AZ6" i="288"/>
  <c r="AY6" i="288"/>
  <c r="AX6" i="288"/>
  <c r="AW6" i="288"/>
  <c r="AV6" i="288"/>
  <c r="AU6" i="288"/>
  <c r="AT6" i="288"/>
  <c r="AS6" i="288"/>
  <c r="AR6" i="288"/>
  <c r="AQ6" i="288"/>
  <c r="AP6" i="288"/>
  <c r="AO6" i="288"/>
  <c r="AN6" i="288"/>
  <c r="AM6" i="288"/>
  <c r="AL6" i="288"/>
  <c r="AK6" i="288"/>
  <c r="AJ6" i="288"/>
  <c r="AI6" i="288"/>
  <c r="AH6" i="288"/>
  <c r="AF6" i="288"/>
  <c r="AD6" i="288"/>
  <c r="AC6" i="288"/>
  <c r="AB6" i="288"/>
  <c r="AA6" i="288"/>
  <c r="Z6" i="288"/>
  <c r="Y6" i="288"/>
  <c r="X6" i="288"/>
  <c r="W6" i="288"/>
  <c r="U6" i="288"/>
  <c r="T6" i="288"/>
  <c r="S6" i="288"/>
  <c r="M5" i="288"/>
  <c r="B15" i="287"/>
  <c r="F13" i="287"/>
  <c r="F12" i="287"/>
  <c r="F11" i="287"/>
  <c r="A8" i="287"/>
  <c r="CV6" i="287"/>
  <c r="CU6" i="287"/>
  <c r="CT6" i="287"/>
  <c r="CS6" i="287"/>
  <c r="CR6" i="287"/>
  <c r="CQ6" i="287"/>
  <c r="CP6" i="287"/>
  <c r="CO6" i="287"/>
  <c r="CN6" i="287"/>
  <c r="CM6" i="287"/>
  <c r="CL6" i="287"/>
  <c r="CK6" i="287"/>
  <c r="CJ6" i="287"/>
  <c r="CI6" i="287"/>
  <c r="CH6" i="287"/>
  <c r="CG6" i="287"/>
  <c r="CF6" i="287"/>
  <c r="CE6" i="287"/>
  <c r="CD6" i="287"/>
  <c r="CC6" i="287"/>
  <c r="CB6" i="287"/>
  <c r="CA6" i="287"/>
  <c r="BZ6" i="287"/>
  <c r="BY6" i="287"/>
  <c r="BX6" i="287"/>
  <c r="BW6" i="287"/>
  <c r="BV6" i="287"/>
  <c r="BU6" i="287"/>
  <c r="BT6" i="287"/>
  <c r="BS6" i="287"/>
  <c r="BR6" i="287"/>
  <c r="BQ6" i="287"/>
  <c r="BP6" i="287"/>
  <c r="BO6" i="287"/>
  <c r="BN6" i="287"/>
  <c r="BM6" i="287"/>
  <c r="BL6" i="287"/>
  <c r="BK6" i="287"/>
  <c r="BJ6" i="287"/>
  <c r="BI6" i="287"/>
  <c r="BH6" i="287"/>
  <c r="BG6" i="287"/>
  <c r="BF6" i="287"/>
  <c r="BE6" i="287"/>
  <c r="BD6" i="287"/>
  <c r="BC6" i="287"/>
  <c r="BB6" i="287"/>
  <c r="AZ6" i="287"/>
  <c r="AY6" i="287"/>
  <c r="AX6" i="287"/>
  <c r="AW6" i="287"/>
  <c r="AV6" i="287"/>
  <c r="AU6" i="287"/>
  <c r="AT6" i="287"/>
  <c r="AS6" i="287"/>
  <c r="AR6" i="287"/>
  <c r="AQ6" i="287"/>
  <c r="AP6" i="287"/>
  <c r="AO6" i="287"/>
  <c r="AN6" i="287"/>
  <c r="AM6" i="287"/>
  <c r="AL6" i="287"/>
  <c r="AK6" i="287"/>
  <c r="AJ6" i="287"/>
  <c r="AI6" i="287"/>
  <c r="AH6" i="287"/>
  <c r="AF6" i="287"/>
  <c r="AD6" i="287"/>
  <c r="AC6" i="287"/>
  <c r="AB6" i="287"/>
  <c r="AA6" i="287"/>
  <c r="Z6" i="287"/>
  <c r="Y6" i="287"/>
  <c r="X6" i="287"/>
  <c r="V6" i="287"/>
  <c r="U6" i="287"/>
  <c r="T6" i="287"/>
  <c r="S6" i="287"/>
  <c r="M5" i="287"/>
  <c r="B15" i="284"/>
  <c r="F13" i="284"/>
  <c r="F12" i="284"/>
  <c r="F11" i="284"/>
  <c r="A8" i="284"/>
  <c r="CV6" i="284"/>
  <c r="CU6" i="284"/>
  <c r="CT6" i="284"/>
  <c r="CS6" i="284"/>
  <c r="CR6" i="284"/>
  <c r="CQ6" i="284"/>
  <c r="CP6" i="284"/>
  <c r="CO6" i="284"/>
  <c r="CN6" i="284"/>
  <c r="CM6" i="284"/>
  <c r="CL6" i="284"/>
  <c r="CK6" i="284"/>
  <c r="CJ6" i="284"/>
  <c r="CI6" i="284"/>
  <c r="CH6" i="284"/>
  <c r="CG6" i="284"/>
  <c r="CF6" i="284"/>
  <c r="CE6" i="284"/>
  <c r="CD6" i="284"/>
  <c r="CC6" i="284"/>
  <c r="CB6" i="284"/>
  <c r="CA6" i="284"/>
  <c r="BZ6" i="284"/>
  <c r="BY6" i="284"/>
  <c r="BX6" i="284"/>
  <c r="BW6" i="284"/>
  <c r="BV6" i="284"/>
  <c r="BU6" i="284"/>
  <c r="BT6" i="284"/>
  <c r="BS6" i="284"/>
  <c r="BR6" i="284"/>
  <c r="BQ6" i="284"/>
  <c r="BP6" i="284"/>
  <c r="BN6" i="284"/>
  <c r="BM6" i="284"/>
  <c r="BL6" i="284"/>
  <c r="BK6" i="284"/>
  <c r="BJ6" i="284"/>
  <c r="BI6" i="284"/>
  <c r="BH6" i="284"/>
  <c r="BG6" i="284"/>
  <c r="BF6" i="284"/>
  <c r="BE6" i="284"/>
  <c r="BD6" i="284"/>
  <c r="BC6" i="284"/>
  <c r="BB6" i="284"/>
  <c r="AZ6" i="284"/>
  <c r="AY6" i="284"/>
  <c r="AX6" i="284"/>
  <c r="AW6" i="284"/>
  <c r="AV6" i="284"/>
  <c r="AU6" i="284"/>
  <c r="AT6" i="284"/>
  <c r="AS6" i="284"/>
  <c r="AR6" i="284"/>
  <c r="AQ6" i="284"/>
  <c r="AP6" i="284"/>
  <c r="AO6" i="284"/>
  <c r="AN6" i="284"/>
  <c r="AM6" i="284"/>
  <c r="AL6" i="284"/>
  <c r="AK6" i="284"/>
  <c r="AJ6" i="284"/>
  <c r="AI6" i="284"/>
  <c r="AH6" i="284"/>
  <c r="AF6" i="284"/>
  <c r="AD6" i="284"/>
  <c r="AC6" i="284"/>
  <c r="AB6" i="284"/>
  <c r="AA6" i="284"/>
  <c r="Z6" i="284"/>
  <c r="Y6" i="284"/>
  <c r="X6" i="284"/>
  <c r="W6" i="284"/>
  <c r="V6" i="284"/>
  <c r="U6" i="284"/>
  <c r="T6" i="284"/>
  <c r="S6" i="284"/>
  <c r="M5" i="284"/>
  <c r="B15" i="283"/>
  <c r="F13" i="283"/>
  <c r="F12" i="283"/>
  <c r="F11" i="283"/>
  <c r="A8" i="283"/>
  <c r="CV6" i="283"/>
  <c r="CU6" i="283"/>
  <c r="CT6" i="283"/>
  <c r="CS6" i="283"/>
  <c r="CR6" i="283"/>
  <c r="CQ6" i="283"/>
  <c r="CP6" i="283"/>
  <c r="CO6" i="283"/>
  <c r="CN6" i="283"/>
  <c r="CM6" i="283"/>
  <c r="CL6" i="283"/>
  <c r="CK6" i="283"/>
  <c r="CJ6" i="283"/>
  <c r="CI6" i="283"/>
  <c r="CH6" i="283"/>
  <c r="CG6" i="283"/>
  <c r="CF6" i="283"/>
  <c r="CE6" i="283"/>
  <c r="CD6" i="283"/>
  <c r="CC6" i="283"/>
  <c r="CB6" i="283"/>
  <c r="CA6" i="283"/>
  <c r="BZ6" i="283"/>
  <c r="BY6" i="283"/>
  <c r="BX6" i="283"/>
  <c r="BW6" i="283"/>
  <c r="BV6" i="283"/>
  <c r="BU6" i="283"/>
  <c r="BT6" i="283"/>
  <c r="BS6" i="283"/>
  <c r="BR6" i="283"/>
  <c r="BQ6" i="283"/>
  <c r="BP6" i="283"/>
  <c r="BO6" i="283"/>
  <c r="BN6" i="283"/>
  <c r="BM6" i="283"/>
  <c r="BL6" i="283"/>
  <c r="BK6" i="283"/>
  <c r="BJ6" i="283"/>
  <c r="BI6" i="283"/>
  <c r="BH6" i="283"/>
  <c r="BG6" i="283"/>
  <c r="BF6" i="283"/>
  <c r="BE6" i="283"/>
  <c r="BD6" i="283"/>
  <c r="BC6" i="283"/>
  <c r="BB6" i="283"/>
  <c r="AY6" i="283"/>
  <c r="AX6" i="283"/>
  <c r="AW6" i="283"/>
  <c r="AV6" i="283"/>
  <c r="AU6" i="283"/>
  <c r="AT6" i="283"/>
  <c r="AS6" i="283"/>
  <c r="AR6" i="283"/>
  <c r="AQ6" i="283"/>
  <c r="AP6" i="283"/>
  <c r="AO6" i="283"/>
  <c r="AN6" i="283"/>
  <c r="AM6" i="283"/>
  <c r="AL6" i="283"/>
  <c r="AK6" i="283"/>
  <c r="AJ6" i="283"/>
  <c r="AI6" i="283"/>
  <c r="AH6" i="283"/>
  <c r="AF6" i="283"/>
  <c r="AD6" i="283"/>
  <c r="AC6" i="283"/>
  <c r="AB6" i="283"/>
  <c r="AA6" i="283"/>
  <c r="Z6" i="283"/>
  <c r="Y6" i="283"/>
  <c r="X6" i="283"/>
  <c r="W6" i="283"/>
  <c r="V6" i="283"/>
  <c r="U6" i="283"/>
  <c r="T6" i="283"/>
  <c r="S6" i="283"/>
  <c r="M5" i="283"/>
  <c r="P5" i="283" s="1"/>
  <c r="B15" i="282"/>
  <c r="F13" i="282"/>
  <c r="F12" i="282"/>
  <c r="F11" i="282"/>
  <c r="A8" i="282"/>
  <c r="CV6" i="282"/>
  <c r="CU6" i="282"/>
  <c r="CT6" i="282"/>
  <c r="CS6" i="282"/>
  <c r="CR6" i="282"/>
  <c r="CQ6" i="282"/>
  <c r="CP6" i="282"/>
  <c r="CO6" i="282"/>
  <c r="CN6" i="282"/>
  <c r="CM6" i="282"/>
  <c r="CL6" i="282"/>
  <c r="CK6" i="282"/>
  <c r="CJ6" i="282"/>
  <c r="CI6" i="282"/>
  <c r="CH6" i="282"/>
  <c r="CG6" i="282"/>
  <c r="CF6" i="282"/>
  <c r="CE6" i="282"/>
  <c r="CD6" i="282"/>
  <c r="CC6" i="282"/>
  <c r="CB6" i="282"/>
  <c r="CA6" i="282"/>
  <c r="BZ6" i="282"/>
  <c r="BY6" i="282"/>
  <c r="BX6" i="282"/>
  <c r="BW6" i="282"/>
  <c r="BV6" i="282"/>
  <c r="BU6" i="282"/>
  <c r="BT6" i="282"/>
  <c r="BS6" i="282"/>
  <c r="BR6" i="282"/>
  <c r="BQ6" i="282"/>
  <c r="BP6" i="282"/>
  <c r="BO6" i="282"/>
  <c r="BN6" i="282"/>
  <c r="BM6" i="282"/>
  <c r="BL6" i="282"/>
  <c r="BK6" i="282"/>
  <c r="BJ6" i="282"/>
  <c r="BI6" i="282"/>
  <c r="BH6" i="282"/>
  <c r="BG6" i="282"/>
  <c r="BF6" i="282"/>
  <c r="BE6" i="282"/>
  <c r="BD6" i="282"/>
  <c r="BC6" i="282"/>
  <c r="BB6" i="282"/>
  <c r="AY6" i="282"/>
  <c r="AX6" i="282"/>
  <c r="AW6" i="282"/>
  <c r="AV6" i="282"/>
  <c r="AU6" i="282"/>
  <c r="AT6" i="282"/>
  <c r="AS6" i="282"/>
  <c r="AR6" i="282"/>
  <c r="AQ6" i="282"/>
  <c r="AP6" i="282"/>
  <c r="AO6" i="282"/>
  <c r="AN6" i="282"/>
  <c r="AM6" i="282"/>
  <c r="AL6" i="282"/>
  <c r="AK6" i="282"/>
  <c r="AJ6" i="282"/>
  <c r="AI6" i="282"/>
  <c r="AH6" i="282"/>
  <c r="AF6" i="282"/>
  <c r="AD6" i="282"/>
  <c r="AC6" i="282"/>
  <c r="AB6" i="282"/>
  <c r="AA6" i="282"/>
  <c r="Z6" i="282"/>
  <c r="Y6" i="282"/>
  <c r="X6" i="282"/>
  <c r="W6" i="282"/>
  <c r="V6" i="282"/>
  <c r="U6" i="282"/>
  <c r="T6" i="282"/>
  <c r="S6" i="282"/>
  <c r="M5" i="282"/>
  <c r="P5" i="282" s="1"/>
  <c r="B15" i="281"/>
  <c r="F13" i="281"/>
  <c r="F12" i="281"/>
  <c r="F11" i="281"/>
  <c r="A8" i="281"/>
  <c r="CV6" i="281"/>
  <c r="CU6" i="281"/>
  <c r="CT6" i="281"/>
  <c r="CS6" i="281"/>
  <c r="CR6" i="281"/>
  <c r="CQ6" i="281"/>
  <c r="CP6" i="281"/>
  <c r="CO6" i="281"/>
  <c r="CN6" i="281"/>
  <c r="CM6" i="281"/>
  <c r="CL6" i="281"/>
  <c r="CK6" i="281"/>
  <c r="CJ6" i="281"/>
  <c r="CI6" i="281"/>
  <c r="CH6" i="281"/>
  <c r="CG6" i="281"/>
  <c r="CF6" i="281"/>
  <c r="CE6" i="281"/>
  <c r="CD6" i="281"/>
  <c r="CC6" i="281"/>
  <c r="CB6" i="281"/>
  <c r="CA6" i="281"/>
  <c r="BZ6" i="281"/>
  <c r="BY6" i="281"/>
  <c r="BX6" i="281"/>
  <c r="BW6" i="281"/>
  <c r="BV6" i="281"/>
  <c r="BU6" i="281"/>
  <c r="BT6" i="281"/>
  <c r="BS6" i="281"/>
  <c r="BR6" i="281"/>
  <c r="BQ6" i="281"/>
  <c r="BP6" i="281"/>
  <c r="BO6" i="281"/>
  <c r="BN6" i="281"/>
  <c r="BM6" i="281"/>
  <c r="BL6" i="281"/>
  <c r="BK6" i="281"/>
  <c r="BJ6" i="281"/>
  <c r="BI6" i="281"/>
  <c r="BH6" i="281"/>
  <c r="BG6" i="281"/>
  <c r="BF6" i="281"/>
  <c r="BE6" i="281"/>
  <c r="BD6" i="281"/>
  <c r="BC6" i="281"/>
  <c r="BB6" i="281"/>
  <c r="AY6" i="281"/>
  <c r="AX6" i="281"/>
  <c r="AW6" i="281"/>
  <c r="AV6" i="281"/>
  <c r="AU6" i="281"/>
  <c r="AT6" i="281"/>
  <c r="AS6" i="281"/>
  <c r="AR6" i="281"/>
  <c r="AQ6" i="281"/>
  <c r="AP6" i="281"/>
  <c r="AO6" i="281"/>
  <c r="AN6" i="281"/>
  <c r="AM6" i="281"/>
  <c r="AL6" i="281"/>
  <c r="AK6" i="281"/>
  <c r="AJ6" i="281"/>
  <c r="AI6" i="281"/>
  <c r="AH6" i="281"/>
  <c r="AF6" i="281"/>
  <c r="AD6" i="281"/>
  <c r="AC6" i="281"/>
  <c r="AB6" i="281"/>
  <c r="AA6" i="281"/>
  <c r="Z6" i="281"/>
  <c r="Y6" i="281"/>
  <c r="X6" i="281"/>
  <c r="W6" i="281"/>
  <c r="V6" i="281"/>
  <c r="U6" i="281"/>
  <c r="T6" i="281"/>
  <c r="S6" i="281"/>
  <c r="M5" i="281"/>
  <c r="P5" i="281" s="1"/>
  <c r="B15" i="280"/>
  <c r="F13" i="280"/>
  <c r="F12" i="280"/>
  <c r="F11" i="280"/>
  <c r="A8" i="280"/>
  <c r="CV6" i="280"/>
  <c r="CU6" i="280"/>
  <c r="CT6" i="280"/>
  <c r="CS6" i="280"/>
  <c r="CR6" i="280"/>
  <c r="CQ6" i="280"/>
  <c r="CP6" i="280"/>
  <c r="CO6" i="280"/>
  <c r="CN6" i="280"/>
  <c r="CM6" i="280"/>
  <c r="CL6" i="280"/>
  <c r="CK6" i="280"/>
  <c r="CJ6" i="280"/>
  <c r="CI6" i="280"/>
  <c r="CH6" i="280"/>
  <c r="CG6" i="280"/>
  <c r="CF6" i="280"/>
  <c r="CE6" i="280"/>
  <c r="CD6" i="280"/>
  <c r="CC6" i="280"/>
  <c r="CB6" i="280"/>
  <c r="CA6" i="280"/>
  <c r="BZ6" i="280"/>
  <c r="BY6" i="280"/>
  <c r="BX6" i="280"/>
  <c r="BW6" i="280"/>
  <c r="BV6" i="280"/>
  <c r="BU6" i="280"/>
  <c r="BT6" i="280"/>
  <c r="BR6" i="280"/>
  <c r="BQ6" i="280"/>
  <c r="BP6" i="280"/>
  <c r="BO6" i="280"/>
  <c r="BN6" i="280"/>
  <c r="BM6" i="280"/>
  <c r="BL6" i="280"/>
  <c r="BK6" i="280"/>
  <c r="BJ6" i="280"/>
  <c r="BI6" i="280"/>
  <c r="BH6" i="280"/>
  <c r="BG6" i="280"/>
  <c r="BF6" i="280"/>
  <c r="BE6" i="280"/>
  <c r="BD6" i="280"/>
  <c r="BC6" i="280"/>
  <c r="BB6" i="280"/>
  <c r="AZ6" i="280"/>
  <c r="AY6" i="280"/>
  <c r="AX6" i="280"/>
  <c r="AW6" i="280"/>
  <c r="AV6" i="280"/>
  <c r="AU6" i="280"/>
  <c r="AT6" i="280"/>
  <c r="AS6" i="280"/>
  <c r="AR6" i="280"/>
  <c r="AQ6" i="280"/>
  <c r="AP6" i="280"/>
  <c r="AO6" i="280"/>
  <c r="AN6" i="280"/>
  <c r="AM6" i="280"/>
  <c r="AL6" i="280"/>
  <c r="AK6" i="280"/>
  <c r="AJ6" i="280"/>
  <c r="AI6" i="280"/>
  <c r="AH6" i="280"/>
  <c r="AF6" i="280"/>
  <c r="AD6" i="280"/>
  <c r="AC6" i="280"/>
  <c r="AB6" i="280"/>
  <c r="AA6" i="280"/>
  <c r="Z6" i="280"/>
  <c r="Y6" i="280"/>
  <c r="X6" i="280"/>
  <c r="W6" i="280"/>
  <c r="V6" i="280"/>
  <c r="U6" i="280"/>
  <c r="T6" i="280"/>
  <c r="S6" i="280"/>
  <c r="M5" i="280"/>
  <c r="B15" i="279"/>
  <c r="F13" i="279"/>
  <c r="F12" i="279"/>
  <c r="F11" i="279"/>
  <c r="A8" i="279"/>
  <c r="CV6" i="279"/>
  <c r="CU6" i="279"/>
  <c r="CT6" i="279"/>
  <c r="CS6" i="279"/>
  <c r="CR6" i="279"/>
  <c r="CQ6" i="279"/>
  <c r="CP6" i="279"/>
  <c r="CO6" i="279"/>
  <c r="CN6" i="279"/>
  <c r="CM6" i="279"/>
  <c r="CL6" i="279"/>
  <c r="CK6" i="279"/>
  <c r="CJ6" i="279"/>
  <c r="CI6" i="279"/>
  <c r="CH6" i="279"/>
  <c r="CG6" i="279"/>
  <c r="CF6" i="279"/>
  <c r="CE6" i="279"/>
  <c r="CD6" i="279"/>
  <c r="CC6" i="279"/>
  <c r="CB6" i="279"/>
  <c r="CA6" i="279"/>
  <c r="BZ6" i="279"/>
  <c r="BY6" i="279"/>
  <c r="BX6" i="279"/>
  <c r="BW6" i="279"/>
  <c r="BV6" i="279"/>
  <c r="BU6" i="279"/>
  <c r="BT6" i="279"/>
  <c r="BR6" i="279"/>
  <c r="BQ6" i="279"/>
  <c r="BP6" i="279"/>
  <c r="BO6" i="279"/>
  <c r="BN6" i="279"/>
  <c r="BM6" i="279"/>
  <c r="BL6" i="279"/>
  <c r="BK6" i="279"/>
  <c r="BJ6" i="279"/>
  <c r="BI6" i="279"/>
  <c r="BH6" i="279"/>
  <c r="BG6" i="279"/>
  <c r="BF6" i="279"/>
  <c r="BE6" i="279"/>
  <c r="BD6" i="279"/>
  <c r="BC6" i="279"/>
  <c r="BB6" i="279"/>
  <c r="AZ6" i="279"/>
  <c r="AY6" i="279"/>
  <c r="AX6" i="279"/>
  <c r="AW6" i="279"/>
  <c r="AV6" i="279"/>
  <c r="AU6" i="279"/>
  <c r="AT6" i="279"/>
  <c r="AS6" i="279"/>
  <c r="AR6" i="279"/>
  <c r="AQ6" i="279"/>
  <c r="AP6" i="279"/>
  <c r="AO6" i="279"/>
  <c r="AN6" i="279"/>
  <c r="AM6" i="279"/>
  <c r="AL6" i="279"/>
  <c r="AK6" i="279"/>
  <c r="AJ6" i="279"/>
  <c r="AI6" i="279"/>
  <c r="AH6" i="279"/>
  <c r="AF6" i="279"/>
  <c r="AD6" i="279"/>
  <c r="AC6" i="279"/>
  <c r="AB6" i="279"/>
  <c r="AA6" i="279"/>
  <c r="Z6" i="279"/>
  <c r="Y6" i="279"/>
  <c r="X6" i="279"/>
  <c r="W6" i="279"/>
  <c r="V6" i="279"/>
  <c r="U6" i="279"/>
  <c r="T6" i="279"/>
  <c r="S6" i="279"/>
  <c r="B15" i="278"/>
  <c r="F13" i="278"/>
  <c r="F12" i="278"/>
  <c r="F11" i="278"/>
  <c r="A8" i="278"/>
  <c r="CV6" i="278"/>
  <c r="CU6" i="278"/>
  <c r="CT6" i="278"/>
  <c r="CS6" i="278"/>
  <c r="CR6" i="278"/>
  <c r="CQ6" i="278"/>
  <c r="CP6" i="278"/>
  <c r="CO6" i="278"/>
  <c r="CN6" i="278"/>
  <c r="CM6" i="278"/>
  <c r="CL6" i="278"/>
  <c r="CK6" i="278"/>
  <c r="CJ6" i="278"/>
  <c r="CI6" i="278"/>
  <c r="CH6" i="278"/>
  <c r="CG6" i="278"/>
  <c r="CF6" i="278"/>
  <c r="CE6" i="278"/>
  <c r="CD6" i="278"/>
  <c r="CC6" i="278"/>
  <c r="CB6" i="278"/>
  <c r="CA6" i="278"/>
  <c r="BZ6" i="278"/>
  <c r="BY6" i="278"/>
  <c r="BX6" i="278"/>
  <c r="BW6" i="278"/>
  <c r="BV6" i="278"/>
  <c r="BU6" i="278"/>
  <c r="BT6" i="278"/>
  <c r="BR6" i="278"/>
  <c r="BQ6" i="278"/>
  <c r="BP6" i="278"/>
  <c r="BO6" i="278"/>
  <c r="BN6" i="278"/>
  <c r="BM6" i="278"/>
  <c r="BL6" i="278"/>
  <c r="BK6" i="278"/>
  <c r="BJ6" i="278"/>
  <c r="BI6" i="278"/>
  <c r="BH6" i="278"/>
  <c r="BG6" i="278"/>
  <c r="BF6" i="278"/>
  <c r="BE6" i="278"/>
  <c r="BD6" i="278"/>
  <c r="BC6" i="278"/>
  <c r="BB6" i="278"/>
  <c r="AZ6" i="278"/>
  <c r="AY6" i="278"/>
  <c r="AX6" i="278"/>
  <c r="AW6" i="278"/>
  <c r="AV6" i="278"/>
  <c r="AU6" i="278"/>
  <c r="AT6" i="278"/>
  <c r="AS6" i="278"/>
  <c r="AR6" i="278"/>
  <c r="AQ6" i="278"/>
  <c r="AP6" i="278"/>
  <c r="AO6" i="278"/>
  <c r="AN6" i="278"/>
  <c r="AM6" i="278"/>
  <c r="AL6" i="278"/>
  <c r="AK6" i="278"/>
  <c r="AJ6" i="278"/>
  <c r="AI6" i="278"/>
  <c r="AH6" i="278"/>
  <c r="AF6" i="278"/>
  <c r="AD6" i="278"/>
  <c r="AC6" i="278"/>
  <c r="AB6" i="278"/>
  <c r="AA6" i="278"/>
  <c r="Z6" i="278"/>
  <c r="Y6" i="278"/>
  <c r="X6" i="278"/>
  <c r="W6" i="278"/>
  <c r="V6" i="278"/>
  <c r="U6" i="278"/>
  <c r="T6" i="278"/>
  <c r="S6" i="278"/>
  <c r="M5" i="278"/>
  <c r="P5" i="278" s="1"/>
  <c r="B15" i="277"/>
  <c r="F13" i="277"/>
  <c r="F12" i="277"/>
  <c r="A8" i="277"/>
  <c r="CV6" i="277"/>
  <c r="CU6" i="277"/>
  <c r="CT6" i="277"/>
  <c r="CS6" i="277"/>
  <c r="CR6" i="277"/>
  <c r="CQ6" i="277"/>
  <c r="CP6" i="277"/>
  <c r="CO6" i="277"/>
  <c r="CN6" i="277"/>
  <c r="CM6" i="277"/>
  <c r="CL6" i="277"/>
  <c r="CK6" i="277"/>
  <c r="CJ6" i="277"/>
  <c r="CI6" i="277"/>
  <c r="CH6" i="277"/>
  <c r="CG6" i="277"/>
  <c r="CF6" i="277"/>
  <c r="CE6" i="277"/>
  <c r="CD6" i="277"/>
  <c r="CC6" i="277"/>
  <c r="CB6" i="277"/>
  <c r="CA6" i="277"/>
  <c r="BZ6" i="277"/>
  <c r="BY6" i="277"/>
  <c r="BX6" i="277"/>
  <c r="BW6" i="277"/>
  <c r="BV6" i="277"/>
  <c r="BU6" i="277"/>
  <c r="BT6" i="277"/>
  <c r="BS6" i="277"/>
  <c r="BR6" i="277"/>
  <c r="BQ6" i="277"/>
  <c r="BP6" i="277"/>
  <c r="BO6" i="277"/>
  <c r="BN6" i="277"/>
  <c r="BM6" i="277"/>
  <c r="BL6" i="277"/>
  <c r="BK6" i="277"/>
  <c r="BJ6" i="277"/>
  <c r="BI6" i="277"/>
  <c r="BH6" i="277"/>
  <c r="BG6" i="277"/>
  <c r="BF6" i="277"/>
  <c r="BE6" i="277"/>
  <c r="BD6" i="277"/>
  <c r="BC6" i="277"/>
  <c r="AZ6" i="277"/>
  <c r="AY6" i="277"/>
  <c r="AX6" i="277"/>
  <c r="AW6" i="277"/>
  <c r="AV6" i="277"/>
  <c r="AU6" i="277"/>
  <c r="AT6" i="277"/>
  <c r="AS6" i="277"/>
  <c r="AR6" i="277"/>
  <c r="AQ6" i="277"/>
  <c r="AP6" i="277"/>
  <c r="AO6" i="277"/>
  <c r="AN6" i="277"/>
  <c r="AM6" i="277"/>
  <c r="AL6" i="277"/>
  <c r="AK6" i="277"/>
  <c r="AJ6" i="277"/>
  <c r="AI6" i="277"/>
  <c r="AH6" i="277"/>
  <c r="AF6" i="277"/>
  <c r="AD6" i="277"/>
  <c r="AC6" i="277"/>
  <c r="AB6" i="277"/>
  <c r="AA6" i="277"/>
  <c r="Z6" i="277"/>
  <c r="Y6" i="277"/>
  <c r="X6" i="277"/>
  <c r="W6" i="277"/>
  <c r="V6" i="277"/>
  <c r="U6" i="277"/>
  <c r="T6" i="277"/>
  <c r="S6" i="277"/>
  <c r="M5" i="277"/>
  <c r="M6" i="277" s="1"/>
  <c r="E13" i="277" s="1"/>
  <c r="B15" i="276"/>
  <c r="F13" i="276"/>
  <c r="F12" i="276"/>
  <c r="F11" i="276"/>
  <c r="F10" i="276"/>
  <c r="A8" i="276"/>
  <c r="CV6" i="276"/>
  <c r="CU6" i="276"/>
  <c r="CT6" i="276"/>
  <c r="CS6" i="276"/>
  <c r="CR6" i="276"/>
  <c r="CQ6" i="276"/>
  <c r="CP6" i="276"/>
  <c r="CO6" i="276"/>
  <c r="CN6" i="276"/>
  <c r="CM6" i="276"/>
  <c r="CL6" i="276"/>
  <c r="CK6" i="276"/>
  <c r="CJ6" i="276"/>
  <c r="CI6" i="276"/>
  <c r="CH6" i="276"/>
  <c r="CG6" i="276"/>
  <c r="CF6" i="276"/>
  <c r="CE6" i="276"/>
  <c r="CD6" i="276"/>
  <c r="CC6" i="276"/>
  <c r="CB6" i="276"/>
  <c r="CA6" i="276"/>
  <c r="BZ6" i="276"/>
  <c r="BY6" i="276"/>
  <c r="BX6" i="276"/>
  <c r="BW6" i="276"/>
  <c r="BV6" i="276"/>
  <c r="BU6" i="276"/>
  <c r="BT6" i="276"/>
  <c r="BS6" i="276"/>
  <c r="BR6" i="276"/>
  <c r="BQ6" i="276"/>
  <c r="BP6" i="276"/>
  <c r="BO6" i="276"/>
  <c r="BN6" i="276"/>
  <c r="BM6" i="276"/>
  <c r="BL6" i="276"/>
  <c r="BK6" i="276"/>
  <c r="BJ6" i="276"/>
  <c r="BI6" i="276"/>
  <c r="BH6" i="276"/>
  <c r="BG6" i="276"/>
  <c r="BF6" i="276"/>
  <c r="BE6" i="276"/>
  <c r="BD6" i="276"/>
  <c r="BC6" i="276"/>
  <c r="BB6" i="276"/>
  <c r="AZ6" i="276"/>
  <c r="AY6" i="276"/>
  <c r="AX6" i="276"/>
  <c r="AW6" i="276"/>
  <c r="AV6" i="276"/>
  <c r="AU6" i="276"/>
  <c r="AT6" i="276"/>
  <c r="AS6" i="276"/>
  <c r="AR6" i="276"/>
  <c r="AQ6" i="276"/>
  <c r="AP6" i="276"/>
  <c r="AO6" i="276"/>
  <c r="AN6" i="276"/>
  <c r="AM6" i="276"/>
  <c r="AL6" i="276"/>
  <c r="AK6" i="276"/>
  <c r="AJ6" i="276"/>
  <c r="AI6" i="276"/>
  <c r="AH6" i="276"/>
  <c r="AF6" i="276"/>
  <c r="AD6" i="276"/>
  <c r="AC6" i="276"/>
  <c r="AB6" i="276"/>
  <c r="AA6" i="276"/>
  <c r="Z6" i="276"/>
  <c r="Y6" i="276"/>
  <c r="X6" i="276"/>
  <c r="W6" i="276"/>
  <c r="V6" i="276"/>
  <c r="U6" i="276"/>
  <c r="T6" i="276"/>
  <c r="S6" i="276"/>
  <c r="M5" i="276"/>
  <c r="P5" i="276" s="1"/>
  <c r="B15" i="275"/>
  <c r="F13" i="275"/>
  <c r="F12" i="275"/>
  <c r="F11" i="275"/>
  <c r="A8" i="275"/>
  <c r="CV6" i="275"/>
  <c r="CU6" i="275"/>
  <c r="CT6" i="275"/>
  <c r="CS6" i="275"/>
  <c r="CR6" i="275"/>
  <c r="CQ6" i="275"/>
  <c r="CP6" i="275"/>
  <c r="CO6" i="275"/>
  <c r="CN6" i="275"/>
  <c r="CM6" i="275"/>
  <c r="CL6" i="275"/>
  <c r="CK6" i="275"/>
  <c r="CJ6" i="275"/>
  <c r="CI6" i="275"/>
  <c r="CH6" i="275"/>
  <c r="CG6" i="275"/>
  <c r="CF6" i="275"/>
  <c r="CE6" i="275"/>
  <c r="CD6" i="275"/>
  <c r="CC6" i="275"/>
  <c r="CB6" i="275"/>
  <c r="CA6" i="275"/>
  <c r="BZ6" i="275"/>
  <c r="BY6" i="275"/>
  <c r="BX6" i="275"/>
  <c r="BW6" i="275"/>
  <c r="BV6" i="275"/>
  <c r="BU6" i="275"/>
  <c r="BT6" i="275"/>
  <c r="BS6" i="275"/>
  <c r="BR6" i="275"/>
  <c r="BQ6" i="275"/>
  <c r="BP6" i="275"/>
  <c r="BO6" i="275"/>
  <c r="BN6" i="275"/>
  <c r="BM6" i="275"/>
  <c r="BL6" i="275"/>
  <c r="BK6" i="275"/>
  <c r="BJ6" i="275"/>
  <c r="BI6" i="275"/>
  <c r="BH6" i="275"/>
  <c r="BG6" i="275"/>
  <c r="BF6" i="275"/>
  <c r="BE6" i="275"/>
  <c r="BD6" i="275"/>
  <c r="BC6" i="275"/>
  <c r="BB6" i="275"/>
  <c r="AZ6" i="275"/>
  <c r="AY6" i="275"/>
  <c r="AX6" i="275"/>
  <c r="AW6" i="275"/>
  <c r="AV6" i="275"/>
  <c r="AU6" i="275"/>
  <c r="AT6" i="275"/>
  <c r="AS6" i="275"/>
  <c r="AR6" i="275"/>
  <c r="AQ6" i="275"/>
  <c r="AP6" i="275"/>
  <c r="AO6" i="275"/>
  <c r="AN6" i="275"/>
  <c r="AM6" i="275"/>
  <c r="AL6" i="275"/>
  <c r="AK6" i="275"/>
  <c r="AJ6" i="275"/>
  <c r="AI6" i="275"/>
  <c r="AH6" i="275"/>
  <c r="AF6" i="275"/>
  <c r="AD6" i="275"/>
  <c r="AC6" i="275"/>
  <c r="AB6" i="275"/>
  <c r="AA6" i="275"/>
  <c r="Z6" i="275"/>
  <c r="Y6" i="275"/>
  <c r="X6" i="275"/>
  <c r="W6" i="275"/>
  <c r="V6" i="275"/>
  <c r="U6" i="275"/>
  <c r="T6" i="275"/>
  <c r="S6" i="275"/>
  <c r="M5" i="275"/>
  <c r="B15" i="274"/>
  <c r="F13" i="274"/>
  <c r="F12" i="274"/>
  <c r="F11" i="274"/>
  <c r="A8" i="274"/>
  <c r="CV6" i="274"/>
  <c r="CU6" i="274"/>
  <c r="CT6" i="274"/>
  <c r="CS6" i="274"/>
  <c r="CR6" i="274"/>
  <c r="CQ6" i="274"/>
  <c r="CP6" i="274"/>
  <c r="CO6" i="274"/>
  <c r="CN6" i="274"/>
  <c r="CM6" i="274"/>
  <c r="CL6" i="274"/>
  <c r="CK6" i="274"/>
  <c r="CJ6" i="274"/>
  <c r="CI6" i="274"/>
  <c r="CH6" i="274"/>
  <c r="CG6" i="274"/>
  <c r="CF6" i="274"/>
  <c r="CE6" i="274"/>
  <c r="CD6" i="274"/>
  <c r="CC6" i="274"/>
  <c r="CB6" i="274"/>
  <c r="CA6" i="274"/>
  <c r="BZ6" i="274"/>
  <c r="BY6" i="274"/>
  <c r="BX6" i="274"/>
  <c r="BW6" i="274"/>
  <c r="BV6" i="274"/>
  <c r="BU6" i="274"/>
  <c r="BT6" i="274"/>
  <c r="BS6" i="274"/>
  <c r="BR6" i="274"/>
  <c r="BQ6" i="274"/>
  <c r="BP6" i="274"/>
  <c r="BO6" i="274"/>
  <c r="BN6" i="274"/>
  <c r="BM6" i="274"/>
  <c r="BL6" i="274"/>
  <c r="BK6" i="274"/>
  <c r="BJ6" i="274"/>
  <c r="BI6" i="274"/>
  <c r="BH6" i="274"/>
  <c r="BG6" i="274"/>
  <c r="BF6" i="274"/>
  <c r="BE6" i="274"/>
  <c r="BD6" i="274"/>
  <c r="BC6" i="274"/>
  <c r="BB6" i="274"/>
  <c r="AZ6" i="274"/>
  <c r="AY6" i="274"/>
  <c r="AX6" i="274"/>
  <c r="AW6" i="274"/>
  <c r="AV6" i="274"/>
  <c r="AU6" i="274"/>
  <c r="AT6" i="274"/>
  <c r="AS6" i="274"/>
  <c r="AR6" i="274"/>
  <c r="AQ6" i="274"/>
  <c r="AP6" i="274"/>
  <c r="AO6" i="274"/>
  <c r="AN6" i="274"/>
  <c r="AM6" i="274"/>
  <c r="AL6" i="274"/>
  <c r="AK6" i="274"/>
  <c r="AJ6" i="274"/>
  <c r="AI6" i="274"/>
  <c r="AF6" i="274"/>
  <c r="AD6" i="274"/>
  <c r="AC6" i="274"/>
  <c r="AB6" i="274"/>
  <c r="AA6" i="274"/>
  <c r="Z6" i="274"/>
  <c r="Y6" i="274"/>
  <c r="X6" i="274"/>
  <c r="W6" i="274"/>
  <c r="V6" i="274"/>
  <c r="U6" i="274"/>
  <c r="T6" i="274"/>
  <c r="S6" i="274"/>
  <c r="M5" i="274"/>
  <c r="B15" i="273"/>
  <c r="F13" i="273"/>
  <c r="F12" i="273"/>
  <c r="F11" i="273"/>
  <c r="A8" i="273"/>
  <c r="CV6" i="273"/>
  <c r="CU6" i="273"/>
  <c r="CT6" i="273"/>
  <c r="CS6" i="273"/>
  <c r="CR6" i="273"/>
  <c r="CQ6" i="273"/>
  <c r="CP6" i="273"/>
  <c r="CO6" i="273"/>
  <c r="CN6" i="273"/>
  <c r="CM6" i="273"/>
  <c r="CL6" i="273"/>
  <c r="CK6" i="273"/>
  <c r="CJ6" i="273"/>
  <c r="CI6" i="273"/>
  <c r="CH6" i="273"/>
  <c r="CG6" i="273"/>
  <c r="CF6" i="273"/>
  <c r="CE6" i="273"/>
  <c r="CD6" i="273"/>
  <c r="CC6" i="273"/>
  <c r="CB6" i="273"/>
  <c r="CA6" i="273"/>
  <c r="BZ6" i="273"/>
  <c r="BY6" i="273"/>
  <c r="BX6" i="273"/>
  <c r="BW6" i="273"/>
  <c r="BV6" i="273"/>
  <c r="BU6" i="273"/>
  <c r="BT6" i="273"/>
  <c r="BS6" i="273"/>
  <c r="BR6" i="273"/>
  <c r="BQ6" i="273"/>
  <c r="BP6" i="273"/>
  <c r="BO6" i="273"/>
  <c r="BN6" i="273"/>
  <c r="BM6" i="273"/>
  <c r="BL6" i="273"/>
  <c r="BK6" i="273"/>
  <c r="BJ6" i="273"/>
  <c r="BI6" i="273"/>
  <c r="BH6" i="273"/>
  <c r="BG6" i="273"/>
  <c r="BF6" i="273"/>
  <c r="BE6" i="273"/>
  <c r="BD6" i="273"/>
  <c r="BC6" i="273"/>
  <c r="BB6" i="273"/>
  <c r="AZ6" i="273"/>
  <c r="AY6" i="273"/>
  <c r="AX6" i="273"/>
  <c r="AW6" i="273"/>
  <c r="AV6" i="273"/>
  <c r="AU6" i="273"/>
  <c r="AT6" i="273"/>
  <c r="AS6" i="273"/>
  <c r="AR6" i="273"/>
  <c r="AQ6" i="273"/>
  <c r="AP6" i="273"/>
  <c r="AO6" i="273"/>
  <c r="AN6" i="273"/>
  <c r="AM6" i="273"/>
  <c r="AK6" i="273"/>
  <c r="AJ6" i="273"/>
  <c r="AI6" i="273"/>
  <c r="AH6" i="273"/>
  <c r="AF6" i="273"/>
  <c r="AD6" i="273"/>
  <c r="AC6" i="273"/>
  <c r="AB6" i="273"/>
  <c r="AA6" i="273"/>
  <c r="Z6" i="273"/>
  <c r="Y6" i="273"/>
  <c r="X6" i="273"/>
  <c r="W6" i="273"/>
  <c r="V6" i="273"/>
  <c r="U6" i="273"/>
  <c r="T6" i="273"/>
  <c r="S6" i="273"/>
  <c r="M5" i="273"/>
  <c r="P5" i="273" s="1"/>
  <c r="B15" i="272"/>
  <c r="F13" i="272"/>
  <c r="F12" i="272"/>
  <c r="F11" i="272"/>
  <c r="A8" i="272"/>
  <c r="CV6" i="272"/>
  <c r="CU6" i="272"/>
  <c r="CT6" i="272"/>
  <c r="CS6" i="272"/>
  <c r="CR6" i="272"/>
  <c r="CQ6" i="272"/>
  <c r="CP6" i="272"/>
  <c r="CO6" i="272"/>
  <c r="CN6" i="272"/>
  <c r="CM6" i="272"/>
  <c r="CL6" i="272"/>
  <c r="CK6" i="272"/>
  <c r="CJ6" i="272"/>
  <c r="CI6" i="272"/>
  <c r="CH6" i="272"/>
  <c r="CG6" i="272"/>
  <c r="CF6" i="272"/>
  <c r="CE6" i="272"/>
  <c r="CD6" i="272"/>
  <c r="CC6" i="272"/>
  <c r="CB6" i="272"/>
  <c r="CA6" i="272"/>
  <c r="BZ6" i="272"/>
  <c r="BY6" i="272"/>
  <c r="BX6" i="272"/>
  <c r="BW6" i="272"/>
  <c r="BV6" i="272"/>
  <c r="BU6" i="272"/>
  <c r="BT6" i="272"/>
  <c r="BS6" i="272"/>
  <c r="BR6" i="272"/>
  <c r="BQ6" i="272"/>
  <c r="BP6" i="272"/>
  <c r="BO6" i="272"/>
  <c r="BN6" i="272"/>
  <c r="BM6" i="272"/>
  <c r="BL6" i="272"/>
  <c r="BK6" i="272"/>
  <c r="BJ6" i="272"/>
  <c r="BI6" i="272"/>
  <c r="BH6" i="272"/>
  <c r="BG6" i="272"/>
  <c r="BF6" i="272"/>
  <c r="BE6" i="272"/>
  <c r="BD6" i="272"/>
  <c r="BB6" i="272"/>
  <c r="AZ6" i="272"/>
  <c r="AY6" i="272"/>
  <c r="AX6" i="272"/>
  <c r="AW6" i="272"/>
  <c r="AV6" i="272"/>
  <c r="AU6" i="272"/>
  <c r="AT6" i="272"/>
  <c r="AS6" i="272"/>
  <c r="AR6" i="272"/>
  <c r="AQ6" i="272"/>
  <c r="AP6" i="272"/>
  <c r="AO6" i="272"/>
  <c r="AN6" i="272"/>
  <c r="AM6" i="272"/>
  <c r="AL6" i="272"/>
  <c r="AK6" i="272"/>
  <c r="AJ6" i="272"/>
  <c r="AI6" i="272"/>
  <c r="AH6" i="272"/>
  <c r="AF6" i="272"/>
  <c r="AD6" i="272"/>
  <c r="AC6" i="272"/>
  <c r="AB6" i="272"/>
  <c r="AA6" i="272"/>
  <c r="Z6" i="272"/>
  <c r="Y6" i="272"/>
  <c r="X6" i="272"/>
  <c r="W6" i="272"/>
  <c r="V6" i="272"/>
  <c r="U6" i="272"/>
  <c r="T6" i="272"/>
  <c r="S6" i="272"/>
  <c r="M5" i="272"/>
  <c r="P5" i="272" s="1"/>
  <c r="B15" i="271"/>
  <c r="F13" i="271"/>
  <c r="F12" i="271"/>
  <c r="F11" i="271"/>
  <c r="A8" i="271"/>
  <c r="CV6" i="271"/>
  <c r="CU6" i="271"/>
  <c r="CT6" i="271"/>
  <c r="CS6" i="271"/>
  <c r="CR6" i="271"/>
  <c r="CQ6" i="271"/>
  <c r="CP6" i="271"/>
  <c r="CO6" i="271"/>
  <c r="CN6" i="271"/>
  <c r="CM6" i="271"/>
  <c r="CL6" i="271"/>
  <c r="CK6" i="271"/>
  <c r="CJ6" i="271"/>
  <c r="CI6" i="271"/>
  <c r="CH6" i="271"/>
  <c r="CG6" i="271"/>
  <c r="CF6" i="271"/>
  <c r="CE6" i="271"/>
  <c r="CD6" i="271"/>
  <c r="CC6" i="271"/>
  <c r="CB6" i="271"/>
  <c r="CA6" i="271"/>
  <c r="BZ6" i="271"/>
  <c r="BY6" i="271"/>
  <c r="BX6" i="271"/>
  <c r="BW6" i="271"/>
  <c r="BV6" i="271"/>
  <c r="BU6" i="271"/>
  <c r="BT6" i="271"/>
  <c r="BR6" i="271"/>
  <c r="BQ6" i="271"/>
  <c r="BP6" i="271"/>
  <c r="BO6" i="271"/>
  <c r="BN6" i="271"/>
  <c r="BM6" i="271"/>
  <c r="BL6" i="271"/>
  <c r="BK6" i="271"/>
  <c r="BJ6" i="271"/>
  <c r="BI6" i="271"/>
  <c r="BH6" i="271"/>
  <c r="BG6" i="271"/>
  <c r="BF6" i="271"/>
  <c r="BE6" i="271"/>
  <c r="BD6" i="271"/>
  <c r="BC6" i="271"/>
  <c r="BB6" i="271"/>
  <c r="AZ6" i="271"/>
  <c r="AY6" i="271"/>
  <c r="AX6" i="271"/>
  <c r="AW6" i="271"/>
  <c r="AV6" i="271"/>
  <c r="AU6" i="271"/>
  <c r="AT6" i="271"/>
  <c r="AS6" i="271"/>
  <c r="AR6" i="271"/>
  <c r="AQ6" i="271"/>
  <c r="AP6" i="271"/>
  <c r="AO6" i="271"/>
  <c r="AN6" i="271"/>
  <c r="AM6" i="271"/>
  <c r="AL6" i="271"/>
  <c r="AK6" i="271"/>
  <c r="AJ6" i="271"/>
  <c r="AI6" i="271"/>
  <c r="AH6" i="271"/>
  <c r="AF6" i="271"/>
  <c r="AD6" i="271"/>
  <c r="AC6" i="271"/>
  <c r="AB6" i="271"/>
  <c r="AA6" i="271"/>
  <c r="Z6" i="271"/>
  <c r="Y6" i="271"/>
  <c r="X6" i="271"/>
  <c r="W6" i="271"/>
  <c r="V6" i="271"/>
  <c r="U6" i="271"/>
  <c r="T6" i="271"/>
  <c r="S6" i="271"/>
  <c r="M5" i="271"/>
  <c r="B15" i="270"/>
  <c r="F13" i="270"/>
  <c r="F12" i="270"/>
  <c r="F11" i="270"/>
  <c r="A8" i="270"/>
  <c r="CV6" i="270"/>
  <c r="CU6" i="270"/>
  <c r="CT6" i="270"/>
  <c r="CS6" i="270"/>
  <c r="CR6" i="270"/>
  <c r="CQ6" i="270"/>
  <c r="CP6" i="270"/>
  <c r="CO6" i="270"/>
  <c r="CN6" i="270"/>
  <c r="CM6" i="270"/>
  <c r="CL6" i="270"/>
  <c r="CK6" i="270"/>
  <c r="CJ6" i="270"/>
  <c r="CI6" i="270"/>
  <c r="CH6" i="270"/>
  <c r="CG6" i="270"/>
  <c r="CF6" i="270"/>
  <c r="CE6" i="270"/>
  <c r="CD6" i="270"/>
  <c r="CC6" i="270"/>
  <c r="CB6" i="270"/>
  <c r="CA6" i="270"/>
  <c r="BZ6" i="270"/>
  <c r="BY6" i="270"/>
  <c r="BX6" i="270"/>
  <c r="BW6" i="270"/>
  <c r="BV6" i="270"/>
  <c r="BU6" i="270"/>
  <c r="BT6" i="270"/>
  <c r="BS6" i="270"/>
  <c r="BR6" i="270"/>
  <c r="BQ6" i="270"/>
  <c r="BP6" i="270"/>
  <c r="BN6" i="270"/>
  <c r="BM6" i="270"/>
  <c r="BL6" i="270"/>
  <c r="BK6" i="270"/>
  <c r="BJ6" i="270"/>
  <c r="BI6" i="270"/>
  <c r="BH6" i="270"/>
  <c r="BG6" i="270"/>
  <c r="BF6" i="270"/>
  <c r="BE6" i="270"/>
  <c r="BD6" i="270"/>
  <c r="BC6" i="270"/>
  <c r="BB6" i="270"/>
  <c r="AZ6" i="270"/>
  <c r="AY6" i="270"/>
  <c r="AX6" i="270"/>
  <c r="AW6" i="270"/>
  <c r="AV6" i="270"/>
  <c r="AU6" i="270"/>
  <c r="AT6" i="270"/>
  <c r="AS6" i="270"/>
  <c r="AR6" i="270"/>
  <c r="AQ6" i="270"/>
  <c r="AP6" i="270"/>
  <c r="AO6" i="270"/>
  <c r="AN6" i="270"/>
  <c r="AM6" i="270"/>
  <c r="AL6" i="270"/>
  <c r="AK6" i="270"/>
  <c r="AJ6" i="270"/>
  <c r="AI6" i="270"/>
  <c r="AH6" i="270"/>
  <c r="AF6" i="270"/>
  <c r="AD6" i="270"/>
  <c r="AC6" i="270"/>
  <c r="AB6" i="270"/>
  <c r="AA6" i="270"/>
  <c r="Z6" i="270"/>
  <c r="Y6" i="270"/>
  <c r="X6" i="270"/>
  <c r="W6" i="270"/>
  <c r="V6" i="270"/>
  <c r="U6" i="270"/>
  <c r="T6" i="270"/>
  <c r="S6" i="270"/>
  <c r="M5" i="270"/>
  <c r="B15" i="269"/>
  <c r="F13" i="269"/>
  <c r="F12" i="269"/>
  <c r="F11" i="269"/>
  <c r="A8" i="269"/>
  <c r="CV6" i="269"/>
  <c r="CU6" i="269"/>
  <c r="CT6" i="269"/>
  <c r="CS6" i="269"/>
  <c r="CR6" i="269"/>
  <c r="CQ6" i="269"/>
  <c r="CP6" i="269"/>
  <c r="CO6" i="269"/>
  <c r="CN6" i="269"/>
  <c r="CM6" i="269"/>
  <c r="CL6" i="269"/>
  <c r="CK6" i="269"/>
  <c r="CJ6" i="269"/>
  <c r="CI6" i="269"/>
  <c r="CH6" i="269"/>
  <c r="CG6" i="269"/>
  <c r="CF6" i="269"/>
  <c r="CE6" i="269"/>
  <c r="CD6" i="269"/>
  <c r="CC6" i="269"/>
  <c r="CB6" i="269"/>
  <c r="CA6" i="269"/>
  <c r="BZ6" i="269"/>
  <c r="BY6" i="269"/>
  <c r="BX6" i="269"/>
  <c r="BW6" i="269"/>
  <c r="BV6" i="269"/>
  <c r="BU6" i="269"/>
  <c r="BT6" i="269"/>
  <c r="BS6" i="269"/>
  <c r="BR6" i="269"/>
  <c r="BQ6" i="269"/>
  <c r="BP6" i="269"/>
  <c r="BN6" i="269"/>
  <c r="BM6" i="269"/>
  <c r="BL6" i="269"/>
  <c r="BK6" i="269"/>
  <c r="BJ6" i="269"/>
  <c r="BI6" i="269"/>
  <c r="BH6" i="269"/>
  <c r="BG6" i="269"/>
  <c r="BF6" i="269"/>
  <c r="BE6" i="269"/>
  <c r="BD6" i="269"/>
  <c r="BC6" i="269"/>
  <c r="BB6" i="269"/>
  <c r="AZ6" i="269"/>
  <c r="AY6" i="269"/>
  <c r="AX6" i="269"/>
  <c r="AW6" i="269"/>
  <c r="AV6" i="269"/>
  <c r="AU6" i="269"/>
  <c r="AT6" i="269"/>
  <c r="AS6" i="269"/>
  <c r="AR6" i="269"/>
  <c r="AQ6" i="269"/>
  <c r="AP6" i="269"/>
  <c r="AO6" i="269"/>
  <c r="AN6" i="269"/>
  <c r="AM6" i="269"/>
  <c r="AL6" i="269"/>
  <c r="AK6" i="269"/>
  <c r="AJ6" i="269"/>
  <c r="AI6" i="269"/>
  <c r="AH6" i="269"/>
  <c r="AF6" i="269"/>
  <c r="AD6" i="269"/>
  <c r="AC6" i="269"/>
  <c r="AB6" i="269"/>
  <c r="AA6" i="269"/>
  <c r="Z6" i="269"/>
  <c r="Y6" i="269"/>
  <c r="X6" i="269"/>
  <c r="W6" i="269"/>
  <c r="V6" i="269"/>
  <c r="U6" i="269"/>
  <c r="T6" i="269"/>
  <c r="S6" i="269"/>
  <c r="M5" i="269"/>
  <c r="B15" i="252"/>
  <c r="F13" i="252"/>
  <c r="F12" i="252"/>
  <c r="F11" i="252"/>
  <c r="A8" i="252"/>
  <c r="CV6" i="252"/>
  <c r="CU6" i="252"/>
  <c r="CT6" i="252"/>
  <c r="CS6" i="252"/>
  <c r="CR6" i="252"/>
  <c r="CQ6" i="252"/>
  <c r="CP6" i="252"/>
  <c r="CO6" i="252"/>
  <c r="CN6" i="252"/>
  <c r="CM6" i="252"/>
  <c r="CL6" i="252"/>
  <c r="CK6" i="252"/>
  <c r="CJ6" i="252"/>
  <c r="CI6" i="252"/>
  <c r="CH6" i="252"/>
  <c r="CG6" i="252"/>
  <c r="CF6" i="252"/>
  <c r="CE6" i="252"/>
  <c r="CD6" i="252"/>
  <c r="CC6" i="252"/>
  <c r="CB6" i="252"/>
  <c r="CA6" i="252"/>
  <c r="BZ6" i="252"/>
  <c r="BY6" i="252"/>
  <c r="BX6" i="252"/>
  <c r="BW6" i="252"/>
  <c r="BV6" i="252"/>
  <c r="BU6" i="252"/>
  <c r="BT6" i="252"/>
  <c r="BS6" i="252"/>
  <c r="BR6" i="252"/>
  <c r="BQ6" i="252"/>
  <c r="BP6" i="252"/>
  <c r="BO6" i="252"/>
  <c r="BN6" i="252"/>
  <c r="BM6" i="252"/>
  <c r="BL6" i="252"/>
  <c r="BK6" i="252"/>
  <c r="BJ6" i="252"/>
  <c r="BI6" i="252"/>
  <c r="BH6" i="252"/>
  <c r="BG6" i="252"/>
  <c r="BF6" i="252"/>
  <c r="BE6" i="252"/>
  <c r="BD6" i="252"/>
  <c r="BC6" i="252"/>
  <c r="AZ6" i="252"/>
  <c r="AY6" i="252"/>
  <c r="AX6" i="252"/>
  <c r="AW6" i="252"/>
  <c r="AV6" i="252"/>
  <c r="AU6" i="252"/>
  <c r="AT6" i="252"/>
  <c r="AS6" i="252"/>
  <c r="AR6" i="252"/>
  <c r="AQ6" i="252"/>
  <c r="AP6" i="252"/>
  <c r="AO6" i="252"/>
  <c r="AN6" i="252"/>
  <c r="AM6" i="252"/>
  <c r="AL6" i="252"/>
  <c r="AK6" i="252"/>
  <c r="AJ6" i="252"/>
  <c r="AI6" i="252"/>
  <c r="AH6" i="252"/>
  <c r="AF6" i="252"/>
  <c r="AD6" i="252"/>
  <c r="AC6" i="252"/>
  <c r="AB6" i="252"/>
  <c r="AA6" i="252"/>
  <c r="Z6" i="252"/>
  <c r="Y6" i="252"/>
  <c r="X6" i="252"/>
  <c r="W6" i="252"/>
  <c r="V6" i="252"/>
  <c r="U6" i="252"/>
  <c r="T6" i="252"/>
  <c r="S6" i="252"/>
  <c r="M5" i="252"/>
  <c r="Q5" i="252" s="1"/>
  <c r="B15" i="251"/>
  <c r="F13" i="251"/>
  <c r="F12" i="251"/>
  <c r="F11" i="251"/>
  <c r="A8" i="251"/>
  <c r="CV6" i="251"/>
  <c r="CU6" i="251"/>
  <c r="CT6" i="251"/>
  <c r="CS6" i="251"/>
  <c r="CR6" i="251"/>
  <c r="CQ6" i="251"/>
  <c r="CP6" i="251"/>
  <c r="CO6" i="251"/>
  <c r="CN6" i="251"/>
  <c r="CM6" i="251"/>
  <c r="CL6" i="251"/>
  <c r="CK6" i="251"/>
  <c r="CJ6" i="251"/>
  <c r="CI6" i="251"/>
  <c r="CH6" i="251"/>
  <c r="CG6" i="251"/>
  <c r="CF6" i="251"/>
  <c r="CE6" i="251"/>
  <c r="CD6" i="251"/>
  <c r="CC6" i="251"/>
  <c r="CB6" i="251"/>
  <c r="CA6" i="251"/>
  <c r="BZ6" i="251"/>
  <c r="BY6" i="251"/>
  <c r="BX6" i="251"/>
  <c r="BW6" i="251"/>
  <c r="BV6" i="251"/>
  <c r="BU6" i="251"/>
  <c r="BT6" i="251"/>
  <c r="BS6" i="251"/>
  <c r="BR6" i="251"/>
  <c r="BQ6" i="251"/>
  <c r="BP6" i="251"/>
  <c r="BO6" i="251"/>
  <c r="BN6" i="251"/>
  <c r="BM6" i="251"/>
  <c r="BL6" i="251"/>
  <c r="BK6" i="251"/>
  <c r="BJ6" i="251"/>
  <c r="BI6" i="251"/>
  <c r="BH6" i="251"/>
  <c r="BG6" i="251"/>
  <c r="BF6" i="251"/>
  <c r="BE6" i="251"/>
  <c r="BD6" i="251"/>
  <c r="BC6" i="251"/>
  <c r="AZ6" i="251"/>
  <c r="AY6" i="251"/>
  <c r="AX6" i="251"/>
  <c r="AW6" i="251"/>
  <c r="AV6" i="251"/>
  <c r="AU6" i="251"/>
  <c r="AT6" i="251"/>
  <c r="AS6" i="251"/>
  <c r="AR6" i="251"/>
  <c r="AQ6" i="251"/>
  <c r="AP6" i="251"/>
  <c r="AO6" i="251"/>
  <c r="AN6" i="251"/>
  <c r="AM6" i="251"/>
  <c r="AL6" i="251"/>
  <c r="AK6" i="251"/>
  <c r="AJ6" i="251"/>
  <c r="AI6" i="251"/>
  <c r="AH6" i="251"/>
  <c r="AF6" i="251"/>
  <c r="AD6" i="251"/>
  <c r="AC6" i="251"/>
  <c r="AB6" i="251"/>
  <c r="AA6" i="251"/>
  <c r="Z6" i="251"/>
  <c r="Y6" i="251"/>
  <c r="X6" i="251"/>
  <c r="W6" i="251"/>
  <c r="V6" i="251"/>
  <c r="U6" i="251"/>
  <c r="T6" i="251"/>
  <c r="S6" i="251"/>
  <c r="M5" i="251"/>
  <c r="B20" i="250"/>
  <c r="F18" i="250"/>
  <c r="F17" i="250"/>
  <c r="F16" i="250"/>
  <c r="A12" i="250"/>
  <c r="CV10" i="250"/>
  <c r="CU10" i="250"/>
  <c r="CT10" i="250"/>
  <c r="CS10" i="250"/>
  <c r="CR10" i="250"/>
  <c r="CQ10" i="250"/>
  <c r="CP10" i="250"/>
  <c r="CO10" i="250"/>
  <c r="CN10" i="250"/>
  <c r="CM10" i="250"/>
  <c r="CL10" i="250"/>
  <c r="CK10" i="250"/>
  <c r="CJ10" i="250"/>
  <c r="CI10" i="250"/>
  <c r="CH10" i="250"/>
  <c r="CG10" i="250"/>
  <c r="CF10" i="250"/>
  <c r="CE10" i="250"/>
  <c r="CD10" i="250"/>
  <c r="CC10" i="250"/>
  <c r="CB10" i="250"/>
  <c r="CA10" i="250"/>
  <c r="BZ10" i="250"/>
  <c r="BY10" i="250"/>
  <c r="BX10" i="250"/>
  <c r="BW10" i="250"/>
  <c r="BR10" i="250"/>
  <c r="BQ10" i="250"/>
  <c r="BP10" i="250"/>
  <c r="BO10" i="250"/>
  <c r="BN10" i="250"/>
  <c r="BM10" i="250"/>
  <c r="BL10" i="250"/>
  <c r="BK10" i="250"/>
  <c r="BJ10" i="250"/>
  <c r="BI10" i="250"/>
  <c r="BH10" i="250"/>
  <c r="BG10" i="250"/>
  <c r="BF10" i="250"/>
  <c r="BE10" i="250"/>
  <c r="BD10" i="250"/>
  <c r="BC10" i="250"/>
  <c r="BB10" i="250"/>
  <c r="AZ10" i="250"/>
  <c r="AY10" i="250"/>
  <c r="AX10" i="250"/>
  <c r="AW10" i="250"/>
  <c r="AV10" i="250"/>
  <c r="AU10" i="250"/>
  <c r="AT10" i="250"/>
  <c r="AS10" i="250"/>
  <c r="AR10" i="250"/>
  <c r="AQ10" i="250"/>
  <c r="AP10" i="250"/>
  <c r="AO10" i="250"/>
  <c r="AN10" i="250"/>
  <c r="AM10" i="250"/>
  <c r="AL10" i="250"/>
  <c r="AK10" i="250"/>
  <c r="AJ10" i="250"/>
  <c r="AI10" i="250"/>
  <c r="AH10" i="250"/>
  <c r="AF10" i="250"/>
  <c r="AD10" i="250"/>
  <c r="AC10" i="250"/>
  <c r="AB10" i="250"/>
  <c r="AA10" i="250"/>
  <c r="Z10" i="250"/>
  <c r="Y10" i="250"/>
  <c r="X10" i="250"/>
  <c r="W10" i="250"/>
  <c r="V10" i="250"/>
  <c r="U10" i="250"/>
  <c r="T10" i="250"/>
  <c r="S10" i="250"/>
  <c r="M9" i="250"/>
  <c r="M8" i="250"/>
  <c r="M7" i="250"/>
  <c r="M6" i="250"/>
  <c r="M5" i="250"/>
  <c r="B15" i="248"/>
  <c r="F13" i="248"/>
  <c r="F12" i="248"/>
  <c r="F11" i="248"/>
  <c r="A8" i="248"/>
  <c r="CV6" i="248"/>
  <c r="CU6" i="248"/>
  <c r="CT6" i="248"/>
  <c r="CS6" i="248"/>
  <c r="CR6" i="248"/>
  <c r="CQ6" i="248"/>
  <c r="CP6" i="248"/>
  <c r="CO6" i="248"/>
  <c r="CN6" i="248"/>
  <c r="CM6" i="248"/>
  <c r="CL6" i="248"/>
  <c r="CK6" i="248"/>
  <c r="CJ6" i="248"/>
  <c r="CI6" i="248"/>
  <c r="CH6" i="248"/>
  <c r="CG6" i="248"/>
  <c r="CF6" i="248"/>
  <c r="CE6" i="248"/>
  <c r="CD6" i="248"/>
  <c r="CC6" i="248"/>
  <c r="CB6" i="248"/>
  <c r="CA6" i="248"/>
  <c r="BZ6" i="248"/>
  <c r="BY6" i="248"/>
  <c r="BX6" i="248"/>
  <c r="BW6" i="248"/>
  <c r="BV6" i="248"/>
  <c r="BU6" i="248"/>
  <c r="BT6" i="248"/>
  <c r="BS6" i="248"/>
  <c r="BR6" i="248"/>
  <c r="BQ6" i="248"/>
  <c r="BP6" i="248"/>
  <c r="BN6" i="248"/>
  <c r="BM6" i="248"/>
  <c r="BL6" i="248"/>
  <c r="BK6" i="248"/>
  <c r="BJ6" i="248"/>
  <c r="BI6" i="248"/>
  <c r="BH6" i="248"/>
  <c r="BG6" i="248"/>
  <c r="BF6" i="248"/>
  <c r="BE6" i="248"/>
  <c r="BD6" i="248"/>
  <c r="BC6" i="248"/>
  <c r="BB6" i="248"/>
  <c r="AZ6" i="248"/>
  <c r="AY6" i="248"/>
  <c r="AX6" i="248"/>
  <c r="AW6" i="248"/>
  <c r="AV6" i="248"/>
  <c r="AU6" i="248"/>
  <c r="AT6" i="248"/>
  <c r="AS6" i="248"/>
  <c r="AR6" i="248"/>
  <c r="AQ6" i="248"/>
  <c r="AP6" i="248"/>
  <c r="AO6" i="248"/>
  <c r="AN6" i="248"/>
  <c r="AM6" i="248"/>
  <c r="AL6" i="248"/>
  <c r="AK6" i="248"/>
  <c r="AJ6" i="248"/>
  <c r="AI6" i="248"/>
  <c r="AH6" i="248"/>
  <c r="AF6" i="248"/>
  <c r="AD6" i="248"/>
  <c r="AC6" i="248"/>
  <c r="AB6" i="248"/>
  <c r="AA6" i="248"/>
  <c r="Z6" i="248"/>
  <c r="Y6" i="248"/>
  <c r="X6" i="248"/>
  <c r="W6" i="248"/>
  <c r="V6" i="248"/>
  <c r="U6" i="248"/>
  <c r="T6" i="248"/>
  <c r="S6" i="248"/>
  <c r="M5" i="248"/>
  <c r="M6" i="248" s="1"/>
  <c r="E13" i="248" s="1"/>
  <c r="B16" i="247"/>
  <c r="F14" i="247"/>
  <c r="F13" i="247"/>
  <c r="F12" i="247"/>
  <c r="A9" i="247"/>
  <c r="CV7" i="247"/>
  <c r="CU7" i="247"/>
  <c r="CT7" i="247"/>
  <c r="CS7" i="247"/>
  <c r="CR7" i="247"/>
  <c r="CQ7" i="247"/>
  <c r="CP7" i="247"/>
  <c r="CO7" i="247"/>
  <c r="CN7" i="247"/>
  <c r="CM7" i="247"/>
  <c r="CL7" i="247"/>
  <c r="CK7" i="247"/>
  <c r="CJ7" i="247"/>
  <c r="CI7" i="247"/>
  <c r="CH7" i="247"/>
  <c r="CG7" i="247"/>
  <c r="CF7" i="247"/>
  <c r="CE7" i="247"/>
  <c r="CD7" i="247"/>
  <c r="CC7" i="247"/>
  <c r="CB7" i="247"/>
  <c r="CA7" i="247"/>
  <c r="BZ7" i="247"/>
  <c r="BY7" i="247"/>
  <c r="BX7" i="247"/>
  <c r="BW7" i="247"/>
  <c r="BV7" i="247"/>
  <c r="BU7" i="247"/>
  <c r="BT7" i="247"/>
  <c r="BS7" i="247"/>
  <c r="BR7" i="247"/>
  <c r="BQ7" i="247"/>
  <c r="BP7" i="247"/>
  <c r="BO7" i="247"/>
  <c r="BN7" i="247"/>
  <c r="BM7" i="247"/>
  <c r="BL7" i="247"/>
  <c r="BK7" i="247"/>
  <c r="BJ7" i="247"/>
  <c r="BI7" i="247"/>
  <c r="BH7" i="247"/>
  <c r="BG7" i="247"/>
  <c r="BF7" i="247"/>
  <c r="BE7" i="247"/>
  <c r="BD7" i="247"/>
  <c r="BC7" i="247"/>
  <c r="BB7" i="247"/>
  <c r="AZ7" i="247"/>
  <c r="AY7" i="247"/>
  <c r="AX7" i="247"/>
  <c r="AW7" i="247"/>
  <c r="AV7" i="247"/>
  <c r="AU7" i="247"/>
  <c r="AT7" i="247"/>
  <c r="AS7" i="247"/>
  <c r="AR7" i="247"/>
  <c r="AQ7" i="247"/>
  <c r="AP7" i="247"/>
  <c r="AO7" i="247"/>
  <c r="AN7" i="247"/>
  <c r="AM7" i="247"/>
  <c r="AL7" i="247"/>
  <c r="AK7" i="247"/>
  <c r="AJ7" i="247"/>
  <c r="AI7" i="247"/>
  <c r="AH7" i="247"/>
  <c r="AF7" i="247"/>
  <c r="AD7" i="247"/>
  <c r="AC7" i="247"/>
  <c r="AB7" i="247"/>
  <c r="AA7" i="247"/>
  <c r="Z7" i="247"/>
  <c r="Y7" i="247"/>
  <c r="X7" i="247"/>
  <c r="W7" i="247"/>
  <c r="V7" i="247"/>
  <c r="U7" i="247"/>
  <c r="T7" i="247"/>
  <c r="S7" i="247"/>
  <c r="B15" i="246"/>
  <c r="F13" i="246"/>
  <c r="F12" i="246"/>
  <c r="F11" i="246"/>
  <c r="A8" i="246"/>
  <c r="CV6" i="246"/>
  <c r="CU6" i="246"/>
  <c r="CT6" i="246"/>
  <c r="CS6" i="246"/>
  <c r="CR6" i="246"/>
  <c r="CQ6" i="246"/>
  <c r="CP6" i="246"/>
  <c r="CO6" i="246"/>
  <c r="CN6" i="246"/>
  <c r="CM6" i="246"/>
  <c r="CL6" i="246"/>
  <c r="CK6" i="246"/>
  <c r="CJ6" i="246"/>
  <c r="CI6" i="246"/>
  <c r="CH6" i="246"/>
  <c r="CG6" i="246"/>
  <c r="CF6" i="246"/>
  <c r="CE6" i="246"/>
  <c r="CD6" i="246"/>
  <c r="CC6" i="246"/>
  <c r="CB6" i="246"/>
  <c r="CA6" i="246"/>
  <c r="BZ6" i="246"/>
  <c r="BY6" i="246"/>
  <c r="BX6" i="246"/>
  <c r="BW6" i="246"/>
  <c r="BV6" i="246"/>
  <c r="BU6" i="246"/>
  <c r="BT6" i="246"/>
  <c r="BS6" i="246"/>
  <c r="BR6" i="246"/>
  <c r="BQ6" i="246"/>
  <c r="BP6" i="246"/>
  <c r="BO6" i="246"/>
  <c r="BN6" i="246"/>
  <c r="BM6" i="246"/>
  <c r="BL6" i="246"/>
  <c r="BK6" i="246"/>
  <c r="BJ6" i="246"/>
  <c r="BI6" i="246"/>
  <c r="BH6" i="246"/>
  <c r="BG6" i="246"/>
  <c r="BF6" i="246"/>
  <c r="BE6" i="246"/>
  <c r="BD6" i="246"/>
  <c r="BC6" i="246"/>
  <c r="BB6" i="246"/>
  <c r="AZ6" i="246"/>
  <c r="AY6" i="246"/>
  <c r="AX6" i="246"/>
  <c r="AW6" i="246"/>
  <c r="AV6" i="246"/>
  <c r="AU6" i="246"/>
  <c r="AT6" i="246"/>
  <c r="AS6" i="246"/>
  <c r="AR6" i="246"/>
  <c r="AQ6" i="246"/>
  <c r="AP6" i="246"/>
  <c r="AO6" i="246"/>
  <c r="AN6" i="246"/>
  <c r="AM6" i="246"/>
  <c r="AL6" i="246"/>
  <c r="AK6" i="246"/>
  <c r="AJ6" i="246"/>
  <c r="AI6" i="246"/>
  <c r="AH6" i="246"/>
  <c r="AF6" i="246"/>
  <c r="AD6" i="246"/>
  <c r="AC6" i="246"/>
  <c r="AB6" i="246"/>
  <c r="AA6" i="246"/>
  <c r="Z6" i="246"/>
  <c r="Y6" i="246"/>
  <c r="X6" i="246"/>
  <c r="W6" i="246"/>
  <c r="V6" i="246"/>
  <c r="U6" i="246"/>
  <c r="T6" i="246"/>
  <c r="S6" i="246"/>
  <c r="M5" i="246"/>
  <c r="B17" i="245"/>
  <c r="F15" i="245"/>
  <c r="F14" i="245"/>
  <c r="F13" i="245"/>
  <c r="A10" i="245"/>
  <c r="CV8" i="245"/>
  <c r="CU8" i="245"/>
  <c r="CT8" i="245"/>
  <c r="CS8" i="245"/>
  <c r="CR8" i="245"/>
  <c r="CQ8" i="245"/>
  <c r="CP8" i="245"/>
  <c r="CO8" i="245"/>
  <c r="CN8" i="245"/>
  <c r="CM8" i="245"/>
  <c r="CL8" i="245"/>
  <c r="CK8" i="245"/>
  <c r="CJ8" i="245"/>
  <c r="CI8" i="245"/>
  <c r="CH8" i="245"/>
  <c r="CG8" i="245"/>
  <c r="CF8" i="245"/>
  <c r="CE8" i="245"/>
  <c r="CD8" i="245"/>
  <c r="CC8" i="245"/>
  <c r="CB8" i="245"/>
  <c r="CA8" i="245"/>
  <c r="BZ8" i="245"/>
  <c r="BY8" i="245"/>
  <c r="BX8" i="245"/>
  <c r="BW8" i="245"/>
  <c r="BV8" i="245"/>
  <c r="BU8" i="245"/>
  <c r="BT8" i="245"/>
  <c r="BS8" i="245"/>
  <c r="BR8" i="245"/>
  <c r="BQ8" i="245"/>
  <c r="BP8" i="245"/>
  <c r="BO8" i="245"/>
  <c r="BN8" i="245"/>
  <c r="BM8" i="245"/>
  <c r="BL8" i="245"/>
  <c r="BK8" i="245"/>
  <c r="BJ8" i="245"/>
  <c r="BI8" i="245"/>
  <c r="BH8" i="245"/>
  <c r="BG8" i="245"/>
  <c r="BF8" i="245"/>
  <c r="BE8" i="245"/>
  <c r="BD8" i="245"/>
  <c r="BC8" i="245"/>
  <c r="BB8" i="245"/>
  <c r="AZ8" i="245"/>
  <c r="AY8" i="245"/>
  <c r="AX8" i="245"/>
  <c r="AW8" i="245"/>
  <c r="AV8" i="245"/>
  <c r="AU8" i="245"/>
  <c r="AT8" i="245"/>
  <c r="AS8" i="245"/>
  <c r="AR8" i="245"/>
  <c r="AQ8" i="245"/>
  <c r="AP8" i="245"/>
  <c r="AO8" i="245"/>
  <c r="AN8" i="245"/>
  <c r="AM8" i="245"/>
  <c r="AL8" i="245"/>
  <c r="AK8" i="245"/>
  <c r="AJ8" i="245"/>
  <c r="AI8" i="245"/>
  <c r="AH8" i="245"/>
  <c r="AF8" i="245"/>
  <c r="AD8" i="245"/>
  <c r="AC8" i="245"/>
  <c r="AB8" i="245"/>
  <c r="AA8" i="245"/>
  <c r="Z8" i="245"/>
  <c r="Y8" i="245"/>
  <c r="X8" i="245"/>
  <c r="W8" i="245"/>
  <c r="V8" i="245"/>
  <c r="U8" i="245"/>
  <c r="T8" i="245"/>
  <c r="S8" i="245"/>
  <c r="M7" i="245"/>
  <c r="P7" i="245" s="1"/>
  <c r="M6" i="245"/>
  <c r="P6" i="245" s="1"/>
  <c r="M5" i="245"/>
  <c r="P5" i="245" s="1"/>
  <c r="B15" i="244"/>
  <c r="F13" i="244"/>
  <c r="F12" i="244"/>
  <c r="F11" i="244"/>
  <c r="A8" i="244"/>
  <c r="CV6" i="244"/>
  <c r="CU6" i="244"/>
  <c r="CT6" i="244"/>
  <c r="CS6" i="244"/>
  <c r="CR6" i="244"/>
  <c r="CQ6" i="244"/>
  <c r="CP6" i="244"/>
  <c r="CO6" i="244"/>
  <c r="CN6" i="244"/>
  <c r="CM6" i="244"/>
  <c r="CL6" i="244"/>
  <c r="CK6" i="244"/>
  <c r="CJ6" i="244"/>
  <c r="CI6" i="244"/>
  <c r="CH6" i="244"/>
  <c r="CG6" i="244"/>
  <c r="CF6" i="244"/>
  <c r="CE6" i="244"/>
  <c r="CD6" i="244"/>
  <c r="CC6" i="244"/>
  <c r="CB6" i="244"/>
  <c r="CA6" i="244"/>
  <c r="BZ6" i="244"/>
  <c r="BY6" i="244"/>
  <c r="BX6" i="244"/>
  <c r="BW6" i="244"/>
  <c r="BV6" i="244"/>
  <c r="BU6" i="244"/>
  <c r="BT6" i="244"/>
  <c r="BS6" i="244"/>
  <c r="BR6" i="244"/>
  <c r="BQ6" i="244"/>
  <c r="BP6" i="244"/>
  <c r="BO6" i="244"/>
  <c r="BN6" i="244"/>
  <c r="BM6" i="244"/>
  <c r="BL6" i="244"/>
  <c r="BK6" i="244"/>
  <c r="BJ6" i="244"/>
  <c r="BI6" i="244"/>
  <c r="BH6" i="244"/>
  <c r="BG6" i="244"/>
  <c r="BF6" i="244"/>
  <c r="BE6" i="244"/>
  <c r="BD6" i="244"/>
  <c r="BC6" i="244"/>
  <c r="BB6" i="244"/>
  <c r="AZ6" i="244"/>
  <c r="AY6" i="244"/>
  <c r="AX6" i="244"/>
  <c r="AW6" i="244"/>
  <c r="AV6" i="244"/>
  <c r="AU6" i="244"/>
  <c r="AT6" i="244"/>
  <c r="AS6" i="244"/>
  <c r="AR6" i="244"/>
  <c r="AQ6" i="244"/>
  <c r="AP6" i="244"/>
  <c r="AO6" i="244"/>
  <c r="AN6" i="244"/>
  <c r="AM6" i="244"/>
  <c r="AL6" i="244"/>
  <c r="AK6" i="244"/>
  <c r="AJ6" i="244"/>
  <c r="AI6" i="244"/>
  <c r="AH6" i="244"/>
  <c r="AF6" i="244"/>
  <c r="AD6" i="244"/>
  <c r="AC6" i="244"/>
  <c r="AB6" i="244"/>
  <c r="AA6" i="244"/>
  <c r="Z6" i="244"/>
  <c r="Y6" i="244"/>
  <c r="X6" i="244"/>
  <c r="W6" i="244"/>
  <c r="V6" i="244"/>
  <c r="U6" i="244"/>
  <c r="T6" i="244"/>
  <c r="S6" i="244"/>
  <c r="M5" i="244"/>
  <c r="P5" i="244" s="1"/>
  <c r="B15" i="243"/>
  <c r="F13" i="243"/>
  <c r="F12" i="243"/>
  <c r="F11" i="243"/>
  <c r="A8" i="243"/>
  <c r="CV6" i="243"/>
  <c r="CU6" i="243"/>
  <c r="CT6" i="243"/>
  <c r="CS6" i="243"/>
  <c r="CR6" i="243"/>
  <c r="CQ6" i="243"/>
  <c r="CP6" i="243"/>
  <c r="CO6" i="243"/>
  <c r="CN6" i="243"/>
  <c r="CM6" i="243"/>
  <c r="CL6" i="243"/>
  <c r="CK6" i="243"/>
  <c r="CJ6" i="243"/>
  <c r="CI6" i="243"/>
  <c r="CH6" i="243"/>
  <c r="CG6" i="243"/>
  <c r="CF6" i="243"/>
  <c r="CE6" i="243"/>
  <c r="CD6" i="243"/>
  <c r="CC6" i="243"/>
  <c r="CB6" i="243"/>
  <c r="CA6" i="243"/>
  <c r="BZ6" i="243"/>
  <c r="BY6" i="243"/>
  <c r="BX6" i="243"/>
  <c r="BW6" i="243"/>
  <c r="BV6" i="243"/>
  <c r="BU6" i="243"/>
  <c r="BT6" i="243"/>
  <c r="BS6" i="243"/>
  <c r="BR6" i="243"/>
  <c r="BQ6" i="243"/>
  <c r="BP6" i="243"/>
  <c r="BO6" i="243"/>
  <c r="BN6" i="243"/>
  <c r="BM6" i="243"/>
  <c r="BL6" i="243"/>
  <c r="BK6" i="243"/>
  <c r="BJ6" i="243"/>
  <c r="BI6" i="243"/>
  <c r="BH6" i="243"/>
  <c r="BG6" i="243"/>
  <c r="BF6" i="243"/>
  <c r="BE6" i="243"/>
  <c r="BD6" i="243"/>
  <c r="BB6" i="243"/>
  <c r="AZ6" i="243"/>
  <c r="AY6" i="243"/>
  <c r="AX6" i="243"/>
  <c r="AW6" i="243"/>
  <c r="AV6" i="243"/>
  <c r="AU6" i="243"/>
  <c r="AT6" i="243"/>
  <c r="AS6" i="243"/>
  <c r="AR6" i="243"/>
  <c r="AQ6" i="243"/>
  <c r="AP6" i="243"/>
  <c r="AO6" i="243"/>
  <c r="AN6" i="243"/>
  <c r="AM6" i="243"/>
  <c r="AL6" i="243"/>
  <c r="AK6" i="243"/>
  <c r="AJ6" i="243"/>
  <c r="AI6" i="243"/>
  <c r="AH6" i="243"/>
  <c r="AF6" i="243"/>
  <c r="AD6" i="243"/>
  <c r="AC6" i="243"/>
  <c r="AB6" i="243"/>
  <c r="AA6" i="243"/>
  <c r="Z6" i="243"/>
  <c r="Y6" i="243"/>
  <c r="X6" i="243"/>
  <c r="W6" i="243"/>
  <c r="V6" i="243"/>
  <c r="U6" i="243"/>
  <c r="T6" i="243"/>
  <c r="S6" i="243"/>
  <c r="M5" i="243"/>
  <c r="B16" i="242"/>
  <c r="F14" i="242"/>
  <c r="F13" i="242"/>
  <c r="F12" i="242"/>
  <c r="A9" i="242"/>
  <c r="CV7" i="242"/>
  <c r="CU7" i="242"/>
  <c r="CT7" i="242"/>
  <c r="CS7" i="242"/>
  <c r="CR7" i="242"/>
  <c r="CQ7" i="242"/>
  <c r="CP7" i="242"/>
  <c r="CO7" i="242"/>
  <c r="CN7" i="242"/>
  <c r="CM7" i="242"/>
  <c r="CL7" i="242"/>
  <c r="CK7" i="242"/>
  <c r="CJ7" i="242"/>
  <c r="CI7" i="242"/>
  <c r="CH7" i="242"/>
  <c r="CG7" i="242"/>
  <c r="CF7" i="242"/>
  <c r="CE7" i="242"/>
  <c r="CD7" i="242"/>
  <c r="CC7" i="242"/>
  <c r="CB7" i="242"/>
  <c r="CA7" i="242"/>
  <c r="BZ7" i="242"/>
  <c r="BY7" i="242"/>
  <c r="BX7" i="242"/>
  <c r="BW7" i="242"/>
  <c r="BV7" i="242"/>
  <c r="BU7" i="242"/>
  <c r="BT7" i="242"/>
  <c r="BS7" i="242"/>
  <c r="BR7" i="242"/>
  <c r="BQ7" i="242"/>
  <c r="BP7" i="242"/>
  <c r="BO7" i="242"/>
  <c r="BN7" i="242"/>
  <c r="BM7" i="242"/>
  <c r="BL7" i="242"/>
  <c r="BK7" i="242"/>
  <c r="BJ7" i="242"/>
  <c r="BI7" i="242"/>
  <c r="BH7" i="242"/>
  <c r="BG7" i="242"/>
  <c r="BF7" i="242"/>
  <c r="BE7" i="242"/>
  <c r="BD7" i="242"/>
  <c r="BC7" i="242"/>
  <c r="BB7" i="242"/>
  <c r="AZ7" i="242"/>
  <c r="AY7" i="242"/>
  <c r="AX7" i="242"/>
  <c r="AW7" i="242"/>
  <c r="AV7" i="242"/>
  <c r="AU7" i="242"/>
  <c r="AT7" i="242"/>
  <c r="AS7" i="242"/>
  <c r="AR7" i="242"/>
  <c r="AQ7" i="242"/>
  <c r="AP7" i="242"/>
  <c r="AO7" i="242"/>
  <c r="AN7" i="242"/>
  <c r="AM7" i="242"/>
  <c r="AL7" i="242"/>
  <c r="AK7" i="242"/>
  <c r="AJ7" i="242"/>
  <c r="AI7" i="242"/>
  <c r="AH7" i="242"/>
  <c r="AF7" i="242"/>
  <c r="AD7" i="242"/>
  <c r="AC7" i="242"/>
  <c r="AB7" i="242"/>
  <c r="AA7" i="242"/>
  <c r="Z7" i="242"/>
  <c r="Y7" i="242"/>
  <c r="X7" i="242"/>
  <c r="W7" i="242"/>
  <c r="V7" i="242"/>
  <c r="U7" i="242"/>
  <c r="T7" i="242"/>
  <c r="S7" i="242"/>
  <c r="M6" i="242"/>
  <c r="P6" i="242" s="1"/>
  <c r="M5" i="242"/>
  <c r="B24" i="241"/>
  <c r="F22" i="241"/>
  <c r="F21" i="241"/>
  <c r="F20" i="241"/>
  <c r="A17" i="241"/>
  <c r="CV15" i="241"/>
  <c r="CU15" i="241"/>
  <c r="CT15" i="241"/>
  <c r="CS15" i="241"/>
  <c r="CR15" i="241"/>
  <c r="CQ15" i="241"/>
  <c r="CP15" i="241"/>
  <c r="CO15" i="241"/>
  <c r="CN15" i="241"/>
  <c r="CM15" i="241"/>
  <c r="CL15" i="241"/>
  <c r="CK15" i="241"/>
  <c r="CJ15" i="241"/>
  <c r="CI15" i="241"/>
  <c r="CH15" i="241"/>
  <c r="CG15" i="241"/>
  <c r="CF15" i="241"/>
  <c r="CE15" i="241"/>
  <c r="CD15" i="241"/>
  <c r="CC15" i="241"/>
  <c r="CB15" i="241"/>
  <c r="CA15" i="241"/>
  <c r="BZ15" i="241"/>
  <c r="BY15" i="241"/>
  <c r="BX15" i="241"/>
  <c r="BW15" i="241"/>
  <c r="BV15" i="241"/>
  <c r="BU15" i="241"/>
  <c r="BT15" i="241"/>
  <c r="BS15" i="241"/>
  <c r="BR15" i="241"/>
  <c r="BQ15" i="241"/>
  <c r="BP15" i="241"/>
  <c r="BO15" i="241"/>
  <c r="BN15" i="241"/>
  <c r="BM15" i="241"/>
  <c r="BL15" i="241"/>
  <c r="BK15" i="241"/>
  <c r="BJ15" i="241"/>
  <c r="BI15" i="241"/>
  <c r="BH15" i="241"/>
  <c r="BG15" i="241"/>
  <c r="BF15" i="241"/>
  <c r="BE15" i="241"/>
  <c r="BD15" i="241"/>
  <c r="BC15" i="241"/>
  <c r="BB15" i="241"/>
  <c r="AZ15" i="241"/>
  <c r="AY15" i="241"/>
  <c r="AX15" i="241"/>
  <c r="AW15" i="241"/>
  <c r="AV15" i="241"/>
  <c r="AU15" i="241"/>
  <c r="AT15" i="241"/>
  <c r="AS15" i="241"/>
  <c r="AR15" i="241"/>
  <c r="AQ15" i="241"/>
  <c r="AP15" i="241"/>
  <c r="AO15" i="241"/>
  <c r="AN15" i="241"/>
  <c r="AM15" i="241"/>
  <c r="AL15" i="241"/>
  <c r="AK15" i="241"/>
  <c r="AJ15" i="241"/>
  <c r="AI15" i="241"/>
  <c r="AH15" i="241"/>
  <c r="AF15" i="241"/>
  <c r="AD15" i="241"/>
  <c r="AC15" i="241"/>
  <c r="AB15" i="241"/>
  <c r="AA15" i="241"/>
  <c r="Z15" i="241"/>
  <c r="Y15" i="241"/>
  <c r="X15" i="241"/>
  <c r="W15" i="241"/>
  <c r="V15" i="241"/>
  <c r="U15" i="241"/>
  <c r="T15" i="241"/>
  <c r="S15" i="241"/>
  <c r="M10" i="241"/>
  <c r="Q10" i="241" s="1"/>
  <c r="M9" i="241"/>
  <c r="M8" i="241"/>
  <c r="M7" i="241"/>
  <c r="Q7" i="241" s="1"/>
  <c r="M6" i="241"/>
  <c r="M5" i="241"/>
  <c r="B20" i="240"/>
  <c r="F18" i="240"/>
  <c r="F17" i="240"/>
  <c r="F16" i="240"/>
  <c r="A12" i="240"/>
  <c r="CV10" i="240"/>
  <c r="CU10" i="240"/>
  <c r="CT10" i="240"/>
  <c r="CS10" i="240"/>
  <c r="CR10" i="240"/>
  <c r="CQ10" i="240"/>
  <c r="CP10" i="240"/>
  <c r="CO10" i="240"/>
  <c r="CN10" i="240"/>
  <c r="CM10" i="240"/>
  <c r="CL10" i="240"/>
  <c r="CK10" i="240"/>
  <c r="CJ10" i="240"/>
  <c r="CI10" i="240"/>
  <c r="CH10" i="240"/>
  <c r="CG10" i="240"/>
  <c r="CF10" i="240"/>
  <c r="CE10" i="240"/>
  <c r="CD10" i="240"/>
  <c r="CC10" i="240"/>
  <c r="CB10" i="240"/>
  <c r="CA10" i="240"/>
  <c r="BZ10" i="240"/>
  <c r="BY10" i="240"/>
  <c r="BX10" i="240"/>
  <c r="BW10" i="240"/>
  <c r="BV10" i="240"/>
  <c r="BU10" i="240"/>
  <c r="BT10" i="240"/>
  <c r="BS10" i="240"/>
  <c r="BR10" i="240"/>
  <c r="BQ10" i="240"/>
  <c r="BP10" i="240"/>
  <c r="BO10" i="240"/>
  <c r="BN10" i="240"/>
  <c r="BM10" i="240"/>
  <c r="BL10" i="240"/>
  <c r="BK10" i="240"/>
  <c r="BJ10" i="240"/>
  <c r="BI10" i="240"/>
  <c r="BH10" i="240"/>
  <c r="BG10" i="240"/>
  <c r="BF10" i="240"/>
  <c r="BE10" i="240"/>
  <c r="BD10" i="240"/>
  <c r="BC10" i="240"/>
  <c r="BB10" i="240"/>
  <c r="AZ10" i="240"/>
  <c r="AY10" i="240"/>
  <c r="AX10" i="240"/>
  <c r="AW10" i="240"/>
  <c r="AV10" i="240"/>
  <c r="AU10" i="240"/>
  <c r="AT10" i="240"/>
  <c r="AS10" i="240"/>
  <c r="AR10" i="240"/>
  <c r="AQ10" i="240"/>
  <c r="AP10" i="240"/>
  <c r="AO10" i="240"/>
  <c r="AN10" i="240"/>
  <c r="AM10" i="240"/>
  <c r="AL10" i="240"/>
  <c r="AK10" i="240"/>
  <c r="AJ10" i="240"/>
  <c r="AI10" i="240"/>
  <c r="AH10" i="240"/>
  <c r="AF10" i="240"/>
  <c r="AD10" i="240"/>
  <c r="AC10" i="240"/>
  <c r="AB10" i="240"/>
  <c r="AA10" i="240"/>
  <c r="Z10" i="240"/>
  <c r="Y10" i="240"/>
  <c r="X10" i="240"/>
  <c r="M9" i="240"/>
  <c r="M8" i="240"/>
  <c r="M7" i="240"/>
  <c r="M6" i="240"/>
  <c r="M5" i="240"/>
  <c r="B15" i="239"/>
  <c r="F13" i="239"/>
  <c r="F12" i="239"/>
  <c r="F11" i="239"/>
  <c r="A8" i="239"/>
  <c r="CV6" i="239"/>
  <c r="CU6" i="239"/>
  <c r="CT6" i="239"/>
  <c r="CS6" i="239"/>
  <c r="CR6" i="239"/>
  <c r="CQ6" i="239"/>
  <c r="CP6" i="239"/>
  <c r="CO6" i="239"/>
  <c r="CN6" i="239"/>
  <c r="CM6" i="239"/>
  <c r="CL6" i="239"/>
  <c r="CK6" i="239"/>
  <c r="CJ6" i="239"/>
  <c r="CI6" i="239"/>
  <c r="CH6" i="239"/>
  <c r="CG6" i="239"/>
  <c r="CF6" i="239"/>
  <c r="CE6" i="239"/>
  <c r="CD6" i="239"/>
  <c r="CC6" i="239"/>
  <c r="CB6" i="239"/>
  <c r="CA6" i="239"/>
  <c r="BZ6" i="239"/>
  <c r="BY6" i="239"/>
  <c r="BX6" i="239"/>
  <c r="BW6" i="239"/>
  <c r="BV6" i="239"/>
  <c r="BU6" i="239"/>
  <c r="BT6" i="239"/>
  <c r="BS6" i="239"/>
  <c r="BR6" i="239"/>
  <c r="BQ6" i="239"/>
  <c r="BP6" i="239"/>
  <c r="BO6" i="239"/>
  <c r="BN6" i="239"/>
  <c r="BM6" i="239"/>
  <c r="BL6" i="239"/>
  <c r="BK6" i="239"/>
  <c r="BJ6" i="239"/>
  <c r="BI6" i="239"/>
  <c r="BH6" i="239"/>
  <c r="BG6" i="239"/>
  <c r="BF6" i="239"/>
  <c r="BE6" i="239"/>
  <c r="BD6" i="239"/>
  <c r="BC6" i="239"/>
  <c r="BB6" i="239"/>
  <c r="AZ6" i="239"/>
  <c r="AY6" i="239"/>
  <c r="AX6" i="239"/>
  <c r="AW6" i="239"/>
  <c r="AV6" i="239"/>
  <c r="AU6" i="239"/>
  <c r="AT6" i="239"/>
  <c r="AS6" i="239"/>
  <c r="AR6" i="239"/>
  <c r="AQ6" i="239"/>
  <c r="AP6" i="239"/>
  <c r="AO6" i="239"/>
  <c r="AN6" i="239"/>
  <c r="AM6" i="239"/>
  <c r="AL6" i="239"/>
  <c r="AK6" i="239"/>
  <c r="AJ6" i="239"/>
  <c r="AI6" i="239"/>
  <c r="AH6" i="239"/>
  <c r="AF6" i="239"/>
  <c r="AD6" i="239"/>
  <c r="AC6" i="239"/>
  <c r="AB6" i="239"/>
  <c r="AA6" i="239"/>
  <c r="Z6" i="239"/>
  <c r="Y6" i="239"/>
  <c r="X6" i="239"/>
  <c r="W6" i="239"/>
  <c r="V6" i="239"/>
  <c r="U6" i="239"/>
  <c r="T6" i="239"/>
  <c r="S6" i="239"/>
  <c r="M5" i="239"/>
  <c r="B15" i="238"/>
  <c r="F13" i="238"/>
  <c r="F12" i="238"/>
  <c r="F11" i="238"/>
  <c r="A8" i="238"/>
  <c r="CV6" i="238"/>
  <c r="CU6" i="238"/>
  <c r="CT6" i="238"/>
  <c r="CS6" i="238"/>
  <c r="CR6" i="238"/>
  <c r="CQ6" i="238"/>
  <c r="CP6" i="238"/>
  <c r="CO6" i="238"/>
  <c r="CN6" i="238"/>
  <c r="CM6" i="238"/>
  <c r="CL6" i="238"/>
  <c r="CK6" i="238"/>
  <c r="CJ6" i="238"/>
  <c r="CI6" i="238"/>
  <c r="CH6" i="238"/>
  <c r="CG6" i="238"/>
  <c r="CF6" i="238"/>
  <c r="CE6" i="238"/>
  <c r="CD6" i="238"/>
  <c r="CC6" i="238"/>
  <c r="CB6" i="238"/>
  <c r="CA6" i="238"/>
  <c r="BZ6" i="238"/>
  <c r="BY6" i="238"/>
  <c r="BX6" i="238"/>
  <c r="BW6" i="238"/>
  <c r="BV6" i="238"/>
  <c r="BU6" i="238"/>
  <c r="BT6" i="238"/>
  <c r="BS6" i="238"/>
  <c r="BR6" i="238"/>
  <c r="BQ6" i="238"/>
  <c r="BP6" i="238"/>
  <c r="BO6" i="238"/>
  <c r="BN6" i="238"/>
  <c r="BM6" i="238"/>
  <c r="BL6" i="238"/>
  <c r="BK6" i="238"/>
  <c r="BJ6" i="238"/>
  <c r="BI6" i="238"/>
  <c r="BH6" i="238"/>
  <c r="BG6" i="238"/>
  <c r="BF6" i="238"/>
  <c r="BE6" i="238"/>
  <c r="BD6" i="238"/>
  <c r="BC6" i="238"/>
  <c r="BB6" i="238"/>
  <c r="AZ6" i="238"/>
  <c r="AY6" i="238"/>
  <c r="AX6" i="238"/>
  <c r="AW6" i="238"/>
  <c r="AV6" i="238"/>
  <c r="AU6" i="238"/>
  <c r="AT6" i="238"/>
  <c r="AS6" i="238"/>
  <c r="AR6" i="238"/>
  <c r="AQ6" i="238"/>
  <c r="AP6" i="238"/>
  <c r="AO6" i="238"/>
  <c r="AN6" i="238"/>
  <c r="AM6" i="238"/>
  <c r="AL6" i="238"/>
  <c r="AK6" i="238"/>
  <c r="AJ6" i="238"/>
  <c r="AH6" i="238"/>
  <c r="AF6" i="238"/>
  <c r="AD6" i="238"/>
  <c r="AC6" i="238"/>
  <c r="AB6" i="238"/>
  <c r="AA6" i="238"/>
  <c r="Z6" i="238"/>
  <c r="Y6" i="238"/>
  <c r="X6" i="238"/>
  <c r="W6" i="238"/>
  <c r="V6" i="238"/>
  <c r="U6" i="238"/>
  <c r="T6" i="238"/>
  <c r="S6" i="238"/>
  <c r="M5" i="238"/>
  <c r="P5" i="238" s="1"/>
  <c r="B15" i="237"/>
  <c r="F13" i="237"/>
  <c r="F12" i="237"/>
  <c r="F11" i="237"/>
  <c r="A8" i="237"/>
  <c r="CV6" i="237"/>
  <c r="CU6" i="237"/>
  <c r="CT6" i="237"/>
  <c r="CS6" i="237"/>
  <c r="CR6" i="237"/>
  <c r="CQ6" i="237"/>
  <c r="CP6" i="237"/>
  <c r="CO6" i="237"/>
  <c r="CN6" i="237"/>
  <c r="CM6" i="237"/>
  <c r="CL6" i="237"/>
  <c r="CK6" i="237"/>
  <c r="CJ6" i="237"/>
  <c r="CI6" i="237"/>
  <c r="CH6" i="237"/>
  <c r="CG6" i="237"/>
  <c r="CF6" i="237"/>
  <c r="CE6" i="237"/>
  <c r="CD6" i="237"/>
  <c r="CC6" i="237"/>
  <c r="CB6" i="237"/>
  <c r="CA6" i="237"/>
  <c r="BZ6" i="237"/>
  <c r="BY6" i="237"/>
  <c r="BX6" i="237"/>
  <c r="BW6" i="237"/>
  <c r="BV6" i="237"/>
  <c r="BU6" i="237"/>
  <c r="BT6" i="237"/>
  <c r="BS6" i="237"/>
  <c r="BR6" i="237"/>
  <c r="BQ6" i="237"/>
  <c r="BP6" i="237"/>
  <c r="BN6" i="237"/>
  <c r="BM6" i="237"/>
  <c r="BL6" i="237"/>
  <c r="BK6" i="237"/>
  <c r="BJ6" i="237"/>
  <c r="BI6" i="237"/>
  <c r="BH6" i="237"/>
  <c r="BG6" i="237"/>
  <c r="BF6" i="237"/>
  <c r="BE6" i="237"/>
  <c r="BD6" i="237"/>
  <c r="BC6" i="237"/>
  <c r="BB6" i="237"/>
  <c r="AZ6" i="237"/>
  <c r="AY6" i="237"/>
  <c r="AX6" i="237"/>
  <c r="AW6" i="237"/>
  <c r="AV6" i="237"/>
  <c r="AU6" i="237"/>
  <c r="AT6" i="237"/>
  <c r="AS6" i="237"/>
  <c r="AR6" i="237"/>
  <c r="AQ6" i="237"/>
  <c r="AP6" i="237"/>
  <c r="AO6" i="237"/>
  <c r="AN6" i="237"/>
  <c r="AM6" i="237"/>
  <c r="AL6" i="237"/>
  <c r="AK6" i="237"/>
  <c r="AJ6" i="237"/>
  <c r="AI6" i="237"/>
  <c r="AH6" i="237"/>
  <c r="AF6" i="237"/>
  <c r="AD6" i="237"/>
  <c r="AC6" i="237"/>
  <c r="AB6" i="237"/>
  <c r="AA6" i="237"/>
  <c r="Z6" i="237"/>
  <c r="Y6" i="237"/>
  <c r="X6" i="237"/>
  <c r="W6" i="237"/>
  <c r="V6" i="237"/>
  <c r="U6" i="237"/>
  <c r="T6" i="237"/>
  <c r="S6" i="237"/>
  <c r="M5" i="237"/>
  <c r="B15" i="236"/>
  <c r="F13" i="236"/>
  <c r="F12" i="236"/>
  <c r="F11" i="236"/>
  <c r="A8" i="236"/>
  <c r="CV6" i="236"/>
  <c r="CU6" i="236"/>
  <c r="CT6" i="236"/>
  <c r="CS6" i="236"/>
  <c r="CR6" i="236"/>
  <c r="CQ6" i="236"/>
  <c r="CP6" i="236"/>
  <c r="CO6" i="236"/>
  <c r="CN6" i="236"/>
  <c r="CM6" i="236"/>
  <c r="CL6" i="236"/>
  <c r="CK6" i="236"/>
  <c r="CJ6" i="236"/>
  <c r="CI6" i="236"/>
  <c r="CH6" i="236"/>
  <c r="CG6" i="236"/>
  <c r="CF6" i="236"/>
  <c r="CE6" i="236"/>
  <c r="CD6" i="236"/>
  <c r="CC6" i="236"/>
  <c r="CB6" i="236"/>
  <c r="CA6" i="236"/>
  <c r="BZ6" i="236"/>
  <c r="BY6" i="236"/>
  <c r="BX6" i="236"/>
  <c r="BW6" i="236"/>
  <c r="BV6" i="236"/>
  <c r="BU6" i="236"/>
  <c r="BT6" i="236"/>
  <c r="BR6" i="236"/>
  <c r="BQ6" i="236"/>
  <c r="BP6" i="236"/>
  <c r="BO6" i="236"/>
  <c r="BN6" i="236"/>
  <c r="BM6" i="236"/>
  <c r="BL6" i="236"/>
  <c r="BK6" i="236"/>
  <c r="BJ6" i="236"/>
  <c r="BI6" i="236"/>
  <c r="BH6" i="236"/>
  <c r="BG6" i="236"/>
  <c r="BF6" i="236"/>
  <c r="BE6" i="236"/>
  <c r="BD6" i="236"/>
  <c r="BC6" i="236"/>
  <c r="BB6" i="236"/>
  <c r="AZ6" i="236"/>
  <c r="AY6" i="236"/>
  <c r="AX6" i="236"/>
  <c r="AW6" i="236"/>
  <c r="AV6" i="236"/>
  <c r="AU6" i="236"/>
  <c r="AT6" i="236"/>
  <c r="AS6" i="236"/>
  <c r="AR6" i="236"/>
  <c r="AQ6" i="236"/>
  <c r="AP6" i="236"/>
  <c r="AO6" i="236"/>
  <c r="AN6" i="236"/>
  <c r="AM6" i="236"/>
  <c r="AL6" i="236"/>
  <c r="AK6" i="236"/>
  <c r="AJ6" i="236"/>
  <c r="AI6" i="236"/>
  <c r="AH6" i="236"/>
  <c r="AF6" i="236"/>
  <c r="AD6" i="236"/>
  <c r="AC6" i="236"/>
  <c r="AB6" i="236"/>
  <c r="AA6" i="236"/>
  <c r="Z6" i="236"/>
  <c r="Y6" i="236"/>
  <c r="X6" i="236"/>
  <c r="W6" i="236"/>
  <c r="V6" i="236"/>
  <c r="U6" i="236"/>
  <c r="T6" i="236"/>
  <c r="S6" i="236"/>
  <c r="B15" i="235"/>
  <c r="F13" i="235"/>
  <c r="F12" i="235"/>
  <c r="F11" i="235"/>
  <c r="A8" i="235"/>
  <c r="CV6" i="235"/>
  <c r="CU6" i="235"/>
  <c r="CT6" i="235"/>
  <c r="CS6" i="235"/>
  <c r="CR6" i="235"/>
  <c r="CQ6" i="235"/>
  <c r="CP6" i="235"/>
  <c r="CO6" i="235"/>
  <c r="CN6" i="235"/>
  <c r="CM6" i="235"/>
  <c r="CL6" i="235"/>
  <c r="CK6" i="235"/>
  <c r="CJ6" i="235"/>
  <c r="CI6" i="235"/>
  <c r="CH6" i="235"/>
  <c r="CG6" i="235"/>
  <c r="CF6" i="235"/>
  <c r="CE6" i="235"/>
  <c r="CD6" i="235"/>
  <c r="CC6" i="235"/>
  <c r="CB6" i="235"/>
  <c r="CA6" i="235"/>
  <c r="BZ6" i="235"/>
  <c r="BY6" i="235"/>
  <c r="BX6" i="235"/>
  <c r="BW6" i="235"/>
  <c r="BV6" i="235"/>
  <c r="BU6" i="235"/>
  <c r="BT6" i="235"/>
  <c r="BR6" i="235"/>
  <c r="BQ6" i="235"/>
  <c r="BP6" i="235"/>
  <c r="BO6" i="235"/>
  <c r="BN6" i="235"/>
  <c r="BM6" i="235"/>
  <c r="BL6" i="235"/>
  <c r="BK6" i="235"/>
  <c r="BJ6" i="235"/>
  <c r="BI6" i="235"/>
  <c r="BH6" i="235"/>
  <c r="BG6" i="235"/>
  <c r="BF6" i="235"/>
  <c r="BE6" i="235"/>
  <c r="BD6" i="235"/>
  <c r="BC6" i="235"/>
  <c r="BB6" i="235"/>
  <c r="AZ6" i="235"/>
  <c r="AY6" i="235"/>
  <c r="AX6" i="235"/>
  <c r="AW6" i="235"/>
  <c r="AV6" i="235"/>
  <c r="AU6" i="235"/>
  <c r="AT6" i="235"/>
  <c r="AS6" i="235"/>
  <c r="AR6" i="235"/>
  <c r="AQ6" i="235"/>
  <c r="AP6" i="235"/>
  <c r="AO6" i="235"/>
  <c r="AN6" i="235"/>
  <c r="AM6" i="235"/>
  <c r="AL6" i="235"/>
  <c r="AK6" i="235"/>
  <c r="AJ6" i="235"/>
  <c r="AI6" i="235"/>
  <c r="AH6" i="235"/>
  <c r="AF6" i="235"/>
  <c r="AD6" i="235"/>
  <c r="AC6" i="235"/>
  <c r="AB6" i="235"/>
  <c r="AA6" i="235"/>
  <c r="Z6" i="235"/>
  <c r="Y6" i="235"/>
  <c r="X6" i="235"/>
  <c r="W6" i="235"/>
  <c r="V6" i="235"/>
  <c r="U6" i="235"/>
  <c r="T6" i="235"/>
  <c r="S6" i="235"/>
  <c r="B15" i="234"/>
  <c r="F13" i="234"/>
  <c r="F12" i="234"/>
  <c r="F11" i="234"/>
  <c r="A8" i="234"/>
  <c r="CV6" i="234"/>
  <c r="CU6" i="234"/>
  <c r="CT6" i="234"/>
  <c r="CS6" i="234"/>
  <c r="CR6" i="234"/>
  <c r="CQ6" i="234"/>
  <c r="CP6" i="234"/>
  <c r="CO6" i="234"/>
  <c r="CN6" i="234"/>
  <c r="CM6" i="234"/>
  <c r="CL6" i="234"/>
  <c r="CK6" i="234"/>
  <c r="CJ6" i="234"/>
  <c r="CI6" i="234"/>
  <c r="CH6" i="234"/>
  <c r="CG6" i="234"/>
  <c r="CF6" i="234"/>
  <c r="CE6" i="234"/>
  <c r="CD6" i="234"/>
  <c r="CC6" i="234"/>
  <c r="CB6" i="234"/>
  <c r="CA6" i="234"/>
  <c r="BZ6" i="234"/>
  <c r="BY6" i="234"/>
  <c r="BX6" i="234"/>
  <c r="BW6" i="234"/>
  <c r="BV6" i="234"/>
  <c r="BU6" i="234"/>
  <c r="BT6" i="234"/>
  <c r="BR6" i="234"/>
  <c r="BQ6" i="234"/>
  <c r="BP6" i="234"/>
  <c r="BO6" i="234"/>
  <c r="BN6" i="234"/>
  <c r="BM6" i="234"/>
  <c r="BL6" i="234"/>
  <c r="BK6" i="234"/>
  <c r="BJ6" i="234"/>
  <c r="BI6" i="234"/>
  <c r="BH6" i="234"/>
  <c r="BG6" i="234"/>
  <c r="BF6" i="234"/>
  <c r="BE6" i="234"/>
  <c r="BD6" i="234"/>
  <c r="BC6" i="234"/>
  <c r="BB6" i="234"/>
  <c r="AZ6" i="234"/>
  <c r="AY6" i="234"/>
  <c r="AX6" i="234"/>
  <c r="AW6" i="234"/>
  <c r="AV6" i="234"/>
  <c r="AU6" i="234"/>
  <c r="AT6" i="234"/>
  <c r="AS6" i="234"/>
  <c r="AR6" i="234"/>
  <c r="AQ6" i="234"/>
  <c r="AP6" i="234"/>
  <c r="AO6" i="234"/>
  <c r="AN6" i="234"/>
  <c r="AM6" i="234"/>
  <c r="AL6" i="234"/>
  <c r="AK6" i="234"/>
  <c r="AJ6" i="234"/>
  <c r="AI6" i="234"/>
  <c r="AH6" i="234"/>
  <c r="AF6" i="234"/>
  <c r="AD6" i="234"/>
  <c r="AC6" i="234"/>
  <c r="AB6" i="234"/>
  <c r="AA6" i="234"/>
  <c r="Z6" i="234"/>
  <c r="Y6" i="234"/>
  <c r="X6" i="234"/>
  <c r="W6" i="234"/>
  <c r="V6" i="234"/>
  <c r="U6" i="234"/>
  <c r="T6" i="234"/>
  <c r="S6" i="234"/>
  <c r="B15" i="233"/>
  <c r="F13" i="233"/>
  <c r="F12" i="233"/>
  <c r="F11" i="233"/>
  <c r="A8" i="233"/>
  <c r="CV6" i="233"/>
  <c r="CU6" i="233"/>
  <c r="CT6" i="233"/>
  <c r="CS6" i="233"/>
  <c r="CR6" i="233"/>
  <c r="CQ6" i="233"/>
  <c r="CP6" i="233"/>
  <c r="CO6" i="233"/>
  <c r="CN6" i="233"/>
  <c r="CM6" i="233"/>
  <c r="CL6" i="233"/>
  <c r="CK6" i="233"/>
  <c r="CJ6" i="233"/>
  <c r="CI6" i="233"/>
  <c r="CH6" i="233"/>
  <c r="CG6" i="233"/>
  <c r="CF6" i="233"/>
  <c r="CE6" i="233"/>
  <c r="CD6" i="233"/>
  <c r="CC6" i="233"/>
  <c r="CB6" i="233"/>
  <c r="CA6" i="233"/>
  <c r="BZ6" i="233"/>
  <c r="BY6" i="233"/>
  <c r="BX6" i="233"/>
  <c r="BW6" i="233"/>
  <c r="BV6" i="233"/>
  <c r="BU6" i="233"/>
  <c r="BT6" i="233"/>
  <c r="BR6" i="233"/>
  <c r="BQ6" i="233"/>
  <c r="BP6" i="233"/>
  <c r="BO6" i="233"/>
  <c r="BN6" i="233"/>
  <c r="BM6" i="233"/>
  <c r="BL6" i="233"/>
  <c r="BK6" i="233"/>
  <c r="BJ6" i="233"/>
  <c r="BI6" i="233"/>
  <c r="BH6" i="233"/>
  <c r="BG6" i="233"/>
  <c r="BF6" i="233"/>
  <c r="BE6" i="233"/>
  <c r="BD6" i="233"/>
  <c r="BC6" i="233"/>
  <c r="BB6" i="233"/>
  <c r="AZ6" i="233"/>
  <c r="AY6" i="233"/>
  <c r="AX6" i="233"/>
  <c r="AW6" i="233"/>
  <c r="AV6" i="233"/>
  <c r="AU6" i="233"/>
  <c r="AT6" i="233"/>
  <c r="AS6" i="233"/>
  <c r="AR6" i="233"/>
  <c r="AQ6" i="233"/>
  <c r="AP6" i="233"/>
  <c r="AO6" i="233"/>
  <c r="AN6" i="233"/>
  <c r="AM6" i="233"/>
  <c r="AL6" i="233"/>
  <c r="AK6" i="233"/>
  <c r="AJ6" i="233"/>
  <c r="AI6" i="233"/>
  <c r="AH6" i="233"/>
  <c r="AF6" i="233"/>
  <c r="AD6" i="233"/>
  <c r="AC6" i="233"/>
  <c r="AB6" i="233"/>
  <c r="AA6" i="233"/>
  <c r="Z6" i="233"/>
  <c r="Y6" i="233"/>
  <c r="X6" i="233"/>
  <c r="W6" i="233"/>
  <c r="V6" i="233"/>
  <c r="U6" i="233"/>
  <c r="T6" i="233"/>
  <c r="S6" i="233"/>
  <c r="A8" i="232"/>
  <c r="B15" i="232"/>
  <c r="F13" i="232"/>
  <c r="F12" i="232"/>
  <c r="F11" i="232"/>
  <c r="CV6" i="232"/>
  <c r="CU6" i="232"/>
  <c r="CT6" i="232"/>
  <c r="CS6" i="232"/>
  <c r="CR6" i="232"/>
  <c r="CQ6" i="232"/>
  <c r="CP6" i="232"/>
  <c r="CO6" i="232"/>
  <c r="CN6" i="232"/>
  <c r="CM6" i="232"/>
  <c r="CL6" i="232"/>
  <c r="CK6" i="232"/>
  <c r="CJ6" i="232"/>
  <c r="CI6" i="232"/>
  <c r="CH6" i="232"/>
  <c r="CG6" i="232"/>
  <c r="CF6" i="232"/>
  <c r="CE6" i="232"/>
  <c r="CD6" i="232"/>
  <c r="CC6" i="232"/>
  <c r="CB6" i="232"/>
  <c r="CA6" i="232"/>
  <c r="BZ6" i="232"/>
  <c r="BY6" i="232"/>
  <c r="BX6" i="232"/>
  <c r="BW6" i="232"/>
  <c r="BV6" i="232"/>
  <c r="BU6" i="232"/>
  <c r="BT6" i="232"/>
  <c r="BR6" i="232"/>
  <c r="BQ6" i="232"/>
  <c r="BP6" i="232"/>
  <c r="BO6" i="232"/>
  <c r="BN6" i="232"/>
  <c r="BM6" i="232"/>
  <c r="BL6" i="232"/>
  <c r="BK6" i="232"/>
  <c r="BJ6" i="232"/>
  <c r="BI6" i="232"/>
  <c r="BH6" i="232"/>
  <c r="BG6" i="232"/>
  <c r="BF6" i="232"/>
  <c r="BE6" i="232"/>
  <c r="BD6" i="232"/>
  <c r="BC6" i="232"/>
  <c r="BB6" i="232"/>
  <c r="AZ6" i="232"/>
  <c r="AY6" i="232"/>
  <c r="AX6" i="232"/>
  <c r="AW6" i="232"/>
  <c r="AV6" i="232"/>
  <c r="AU6" i="232"/>
  <c r="AT6" i="232"/>
  <c r="AS6" i="232"/>
  <c r="AR6" i="232"/>
  <c r="AQ6" i="232"/>
  <c r="AP6" i="232"/>
  <c r="AO6" i="232"/>
  <c r="AN6" i="232"/>
  <c r="AM6" i="232"/>
  <c r="AL6" i="232"/>
  <c r="AK6" i="232"/>
  <c r="AJ6" i="232"/>
  <c r="AI6" i="232"/>
  <c r="AH6" i="232"/>
  <c r="AF6" i="232"/>
  <c r="AD6" i="232"/>
  <c r="AC6" i="232"/>
  <c r="AB6" i="232"/>
  <c r="AA6" i="232"/>
  <c r="Z6" i="232"/>
  <c r="Y6" i="232"/>
  <c r="X6" i="232"/>
  <c r="W6" i="232"/>
  <c r="V6" i="232"/>
  <c r="U6" i="232"/>
  <c r="T6" i="232"/>
  <c r="S6" i="232"/>
  <c r="M5" i="232"/>
  <c r="P5" i="232" s="1"/>
  <c r="Q5" i="274" l="1"/>
  <c r="Q6" i="274" s="1"/>
  <c r="D11" i="274" s="1"/>
  <c r="P5" i="274"/>
  <c r="P8" i="266"/>
  <c r="M6" i="290"/>
  <c r="E13" i="290" s="1"/>
  <c r="P5" i="290"/>
  <c r="Q5" i="246"/>
  <c r="P5" i="246"/>
  <c r="M6" i="298"/>
  <c r="E13" i="298" s="1"/>
  <c r="P5" i="298"/>
  <c r="P5" i="299"/>
  <c r="AZ5" i="299" s="1"/>
  <c r="D11" i="326"/>
  <c r="P5" i="326"/>
  <c r="P5" i="261"/>
  <c r="CI5" i="261" s="1"/>
  <c r="Q5" i="261"/>
  <c r="R7" i="260"/>
  <c r="M6" i="259"/>
  <c r="E13" i="259" s="1"/>
  <c r="M6" i="254"/>
  <c r="M6" i="253"/>
  <c r="E13" i="253" s="1"/>
  <c r="AZ5" i="322"/>
  <c r="AZ6" i="322" s="1"/>
  <c r="M6" i="321"/>
  <c r="M7" i="247"/>
  <c r="M6" i="300"/>
  <c r="E13" i="300" s="1"/>
  <c r="M6" i="296"/>
  <c r="E13" i="296" s="1"/>
  <c r="Q5" i="280"/>
  <c r="Q6" i="280" s="1"/>
  <c r="D11" i="280" s="1"/>
  <c r="P5" i="280"/>
  <c r="P5" i="248"/>
  <c r="P11" i="241"/>
  <c r="R11" i="241" s="1"/>
  <c r="Q5" i="235"/>
  <c r="BS5" i="235" s="1"/>
  <c r="BS6" i="235" s="1"/>
  <c r="D10" i="235" s="1"/>
  <c r="Q5" i="232"/>
  <c r="Q6" i="232" s="1"/>
  <c r="D11" i="232" s="1"/>
  <c r="M6" i="252"/>
  <c r="BS7" i="250"/>
  <c r="R7" i="245"/>
  <c r="Q12" i="241"/>
  <c r="Q14" i="241"/>
  <c r="R14" i="241" s="1"/>
  <c r="Q13" i="241"/>
  <c r="R13" i="241" s="1"/>
  <c r="R12" i="241"/>
  <c r="P10" i="241"/>
  <c r="R10" i="241" s="1"/>
  <c r="P7" i="241"/>
  <c r="R7" i="241" s="1"/>
  <c r="P7" i="240"/>
  <c r="Q7" i="240"/>
  <c r="M6" i="238"/>
  <c r="N6" i="238" s="1"/>
  <c r="P5" i="236"/>
  <c r="BS5" i="236" s="1"/>
  <c r="BS6" i="236" s="1"/>
  <c r="D10" i="236" s="1"/>
  <c r="P5" i="234"/>
  <c r="BS5" i="234" s="1"/>
  <c r="BS6" i="234" s="1"/>
  <c r="D10" i="234" s="1"/>
  <c r="Q5" i="234"/>
  <c r="P5" i="233"/>
  <c r="Q5" i="233"/>
  <c r="Q6" i="233" s="1"/>
  <c r="D11" i="233" s="1"/>
  <c r="M8" i="266"/>
  <c r="AW5" i="265"/>
  <c r="M6" i="265"/>
  <c r="M6" i="263"/>
  <c r="Q5" i="263"/>
  <c r="CI5" i="263" s="1"/>
  <c r="M6" i="262"/>
  <c r="P6" i="262"/>
  <c r="E12" i="262" s="1"/>
  <c r="Q5" i="262"/>
  <c r="M6" i="261"/>
  <c r="M8" i="260"/>
  <c r="R6" i="260"/>
  <c r="P5" i="259"/>
  <c r="Q5" i="259"/>
  <c r="M6" i="257"/>
  <c r="Q5" i="257"/>
  <c r="M6" i="256"/>
  <c r="M6" i="255"/>
  <c r="D11" i="255"/>
  <c r="E13" i="254"/>
  <c r="N6" i="254"/>
  <c r="AW5" i="254"/>
  <c r="AW6" i="254" s="1"/>
  <c r="D10" i="254" s="1"/>
  <c r="D11" i="254"/>
  <c r="N6" i="253"/>
  <c r="AW5" i="329"/>
  <c r="D11" i="329"/>
  <c r="M6" i="329"/>
  <c r="M6" i="328"/>
  <c r="AW5" i="328"/>
  <c r="AW5" i="327"/>
  <c r="D11" i="327"/>
  <c r="M6" i="327"/>
  <c r="M6" i="326"/>
  <c r="M6" i="325"/>
  <c r="D11" i="325"/>
  <c r="M6" i="324"/>
  <c r="M6" i="323"/>
  <c r="Q5" i="323"/>
  <c r="M6" i="322"/>
  <c r="D11" i="322"/>
  <c r="N6" i="321"/>
  <c r="E13" i="321"/>
  <c r="P6" i="321"/>
  <c r="E12" i="321" s="1"/>
  <c r="E14" i="321" s="1"/>
  <c r="M6" i="318"/>
  <c r="P5" i="318"/>
  <c r="Q5" i="318"/>
  <c r="M6" i="305"/>
  <c r="D11" i="305"/>
  <c r="N6" i="304"/>
  <c r="E12" i="304"/>
  <c r="E14" i="304" s="1"/>
  <c r="M6" i="303"/>
  <c r="P5" i="303"/>
  <c r="P6" i="303" s="1"/>
  <c r="E12" i="303" s="1"/>
  <c r="Q5" i="303"/>
  <c r="Q6" i="303" s="1"/>
  <c r="D11" i="303" s="1"/>
  <c r="M6" i="301"/>
  <c r="P5" i="301"/>
  <c r="Q5" i="301"/>
  <c r="D11" i="300"/>
  <c r="AZ5" i="300"/>
  <c r="M6" i="299"/>
  <c r="P6" i="299"/>
  <c r="E12" i="299" s="1"/>
  <c r="D11" i="299"/>
  <c r="N6" i="298"/>
  <c r="AZ5" i="298"/>
  <c r="M6" i="297"/>
  <c r="D11" i="297"/>
  <c r="N6" i="296"/>
  <c r="D11" i="295"/>
  <c r="M6" i="295"/>
  <c r="AZ5" i="295"/>
  <c r="M6" i="294"/>
  <c r="AZ5" i="294"/>
  <c r="D11" i="294"/>
  <c r="M6" i="293"/>
  <c r="M6" i="292"/>
  <c r="M6" i="291"/>
  <c r="Q5" i="290"/>
  <c r="M6" i="288"/>
  <c r="P5" i="288"/>
  <c r="Q5" i="288"/>
  <c r="M6" i="287"/>
  <c r="P5" i="287"/>
  <c r="Q5" i="287"/>
  <c r="M6" i="284"/>
  <c r="BO5" i="284"/>
  <c r="Q6" i="284"/>
  <c r="D11" i="284" s="1"/>
  <c r="M6" i="283"/>
  <c r="M6" i="282"/>
  <c r="AZ5" i="282"/>
  <c r="M6" i="281"/>
  <c r="M6" i="280"/>
  <c r="P6" i="280"/>
  <c r="E12" i="280" s="1"/>
  <c r="Q6" i="279"/>
  <c r="D11" i="279" s="1"/>
  <c r="M6" i="279"/>
  <c r="M6" i="278"/>
  <c r="Q5" i="278"/>
  <c r="N6" i="277"/>
  <c r="M6" i="276"/>
  <c r="Q5" i="276"/>
  <c r="M6" i="275"/>
  <c r="P5" i="275"/>
  <c r="Q5" i="275"/>
  <c r="M6" i="274"/>
  <c r="AH5" i="274"/>
  <c r="M6" i="273"/>
  <c r="Q5" i="273"/>
  <c r="M6" i="272"/>
  <c r="M6" i="271"/>
  <c r="Q6" i="271"/>
  <c r="D11" i="271" s="1"/>
  <c r="M6" i="270"/>
  <c r="BO5" i="270"/>
  <c r="M6" i="269"/>
  <c r="E13" i="252"/>
  <c r="N6" i="252"/>
  <c r="P5" i="252"/>
  <c r="P6" i="252" s="1"/>
  <c r="E12" i="252" s="1"/>
  <c r="Q6" i="252"/>
  <c r="D11" i="252" s="1"/>
  <c r="M6" i="251"/>
  <c r="P5" i="251"/>
  <c r="Q5" i="251"/>
  <c r="M10" i="250"/>
  <c r="BS6" i="250"/>
  <c r="N6" i="248"/>
  <c r="Q5" i="248"/>
  <c r="P5" i="247"/>
  <c r="Q5" i="247"/>
  <c r="P6" i="247"/>
  <c r="Q6" i="247"/>
  <c r="Q6" i="246"/>
  <c r="D11" i="246" s="1"/>
  <c r="M6" i="246"/>
  <c r="R5" i="246"/>
  <c r="M8" i="245"/>
  <c r="M6" i="244"/>
  <c r="Q5" i="244"/>
  <c r="Q6" i="244" s="1"/>
  <c r="D11" i="244" s="1"/>
  <c r="M6" i="243"/>
  <c r="P6" i="243"/>
  <c r="E12" i="243" s="1"/>
  <c r="Q6" i="243"/>
  <c r="D11" i="243" s="1"/>
  <c r="M7" i="242"/>
  <c r="P5" i="242"/>
  <c r="Q5" i="242"/>
  <c r="Q6" i="242"/>
  <c r="R6" i="242" s="1"/>
  <c r="M15" i="241"/>
  <c r="P5" i="241"/>
  <c r="P8" i="241"/>
  <c r="Q5" i="241"/>
  <c r="Q8" i="241"/>
  <c r="P6" i="241"/>
  <c r="P9" i="241"/>
  <c r="Q6" i="241"/>
  <c r="Q9" i="241"/>
  <c r="M10" i="240"/>
  <c r="P5" i="240"/>
  <c r="P8" i="240"/>
  <c r="Q5" i="240"/>
  <c r="Q8" i="240"/>
  <c r="P6" i="240"/>
  <c r="P9" i="240"/>
  <c r="Q6" i="240"/>
  <c r="Q9" i="240"/>
  <c r="M6" i="239"/>
  <c r="P5" i="239"/>
  <c r="Q5" i="239"/>
  <c r="Q6" i="239" s="1"/>
  <c r="D11" i="239" s="1"/>
  <c r="E13" i="238"/>
  <c r="Q5" i="238"/>
  <c r="M6" i="237"/>
  <c r="M6" i="236"/>
  <c r="M6" i="235"/>
  <c r="M6" i="234"/>
  <c r="M6" i="233"/>
  <c r="M6" i="232"/>
  <c r="N6" i="300" l="1"/>
  <c r="BS5" i="233"/>
  <c r="BS6" i="233" s="1"/>
  <c r="D10" i="233" s="1"/>
  <c r="N6" i="290"/>
  <c r="BW6" i="266"/>
  <c r="BW7" i="266"/>
  <c r="D13" i="266"/>
  <c r="R5" i="259"/>
  <c r="N6" i="259"/>
  <c r="D14" i="254"/>
  <c r="AW5" i="253"/>
  <c r="AW6" i="253" s="1"/>
  <c r="D10" i="253" s="1"/>
  <c r="Q6" i="323"/>
  <c r="D11" i="323" s="1"/>
  <c r="BB5" i="304"/>
  <c r="BB6" i="304" s="1"/>
  <c r="D10" i="304" s="1"/>
  <c r="R5" i="301"/>
  <c r="AZ5" i="291"/>
  <c r="AZ6" i="291" s="1"/>
  <c r="D10" i="291" s="1"/>
  <c r="V5" i="288"/>
  <c r="D11" i="281"/>
  <c r="R6" i="247"/>
  <c r="R9" i="241"/>
  <c r="E14" i="252"/>
  <c r="BB5" i="251"/>
  <c r="BV9" i="250"/>
  <c r="BV10" i="250" s="1"/>
  <c r="D15" i="250" s="1"/>
  <c r="BS8" i="250"/>
  <c r="BS5" i="250"/>
  <c r="R6" i="245"/>
  <c r="Q8" i="245"/>
  <c r="D13" i="245" s="1"/>
  <c r="R5" i="242"/>
  <c r="R8" i="241"/>
  <c r="R6" i="241"/>
  <c r="Q15" i="241"/>
  <c r="D20" i="241" s="1"/>
  <c r="R8" i="240"/>
  <c r="R7" i="240"/>
  <c r="R9" i="240"/>
  <c r="R6" i="240"/>
  <c r="E14" i="266"/>
  <c r="E15" i="266"/>
  <c r="N8" i="266"/>
  <c r="BW5" i="266"/>
  <c r="BW8" i="266" s="1"/>
  <c r="D12" i="266" s="1"/>
  <c r="D16" i="266" s="1"/>
  <c r="D11" i="265"/>
  <c r="P6" i="265"/>
  <c r="E12" i="265" s="1"/>
  <c r="E13" i="265"/>
  <c r="N6" i="265"/>
  <c r="AW6" i="265"/>
  <c r="D10" i="265" s="1"/>
  <c r="CI6" i="263"/>
  <c r="D10" i="263" s="1"/>
  <c r="P6" i="263"/>
  <c r="E12" i="263" s="1"/>
  <c r="E13" i="263"/>
  <c r="N6" i="263"/>
  <c r="Q6" i="263"/>
  <c r="D11" i="263" s="1"/>
  <c r="Q6" i="262"/>
  <c r="D11" i="262" s="1"/>
  <c r="N6" i="262"/>
  <c r="E13" i="262"/>
  <c r="E14" i="262" s="1"/>
  <c r="BS5" i="262"/>
  <c r="BS6" i="262" s="1"/>
  <c r="D10" i="262" s="1"/>
  <c r="Q6" i="261"/>
  <c r="D17" i="261" s="1"/>
  <c r="P6" i="261"/>
  <c r="E18" i="261" s="1"/>
  <c r="E20" i="261" s="1"/>
  <c r="CI6" i="261"/>
  <c r="D10" i="261" s="1"/>
  <c r="D20" i="261" s="1"/>
  <c r="E19" i="261"/>
  <c r="N6" i="261"/>
  <c r="D13" i="260"/>
  <c r="P8" i="260"/>
  <c r="E14" i="260" s="1"/>
  <c r="E15" i="260"/>
  <c r="N8" i="260"/>
  <c r="R5" i="260"/>
  <c r="R8" i="260" s="1"/>
  <c r="D12" i="260" s="1"/>
  <c r="D16" i="260" s="1"/>
  <c r="R6" i="259"/>
  <c r="D10" i="259" s="1"/>
  <c r="Q6" i="259"/>
  <c r="D11" i="259" s="1"/>
  <c r="P6" i="259"/>
  <c r="E12" i="259" s="1"/>
  <c r="E14" i="259" s="1"/>
  <c r="Q6" i="257"/>
  <c r="D11" i="257" s="1"/>
  <c r="P6" i="257"/>
  <c r="E12" i="257" s="1"/>
  <c r="N6" i="257"/>
  <c r="E13" i="257"/>
  <c r="R5" i="257"/>
  <c r="R6" i="257" s="1"/>
  <c r="D10" i="257" s="1"/>
  <c r="E13" i="256"/>
  <c r="N6" i="256"/>
  <c r="D11" i="256"/>
  <c r="P6" i="256"/>
  <c r="E12" i="256" s="1"/>
  <c r="E14" i="256" s="1"/>
  <c r="AW5" i="256"/>
  <c r="AW6" i="256" s="1"/>
  <c r="D10" i="256" s="1"/>
  <c r="P6" i="255"/>
  <c r="E12" i="255" s="1"/>
  <c r="E13" i="255"/>
  <c r="N6" i="255"/>
  <c r="AW5" i="255"/>
  <c r="AW6" i="255" s="1"/>
  <c r="D10" i="255" s="1"/>
  <c r="D14" i="255" s="1"/>
  <c r="P6" i="254"/>
  <c r="E12" i="254" s="1"/>
  <c r="E14" i="254" s="1"/>
  <c r="D11" i="253"/>
  <c r="E12" i="253"/>
  <c r="E14" i="253" s="1"/>
  <c r="P6" i="329"/>
  <c r="E12" i="329" s="1"/>
  <c r="E13" i="329"/>
  <c r="N6" i="329"/>
  <c r="AW6" i="329"/>
  <c r="D10" i="329" s="1"/>
  <c r="D14" i="329" s="1"/>
  <c r="D11" i="328"/>
  <c r="P6" i="328"/>
  <c r="E12" i="328" s="1"/>
  <c r="E14" i="328" s="1"/>
  <c r="E13" i="328"/>
  <c r="N6" i="328"/>
  <c r="AW6" i="328"/>
  <c r="D10" i="328" s="1"/>
  <c r="AW6" i="327"/>
  <c r="D10" i="327" s="1"/>
  <c r="D14" i="327" s="1"/>
  <c r="P6" i="327"/>
  <c r="E12" i="327" s="1"/>
  <c r="E13" i="327"/>
  <c r="N6" i="327"/>
  <c r="P6" i="326"/>
  <c r="E12" i="326" s="1"/>
  <c r="N6" i="326"/>
  <c r="E13" i="326"/>
  <c r="AW5" i="326"/>
  <c r="AW6" i="326" s="1"/>
  <c r="D10" i="326" s="1"/>
  <c r="D14" i="326" s="1"/>
  <c r="AW5" i="325"/>
  <c r="AW6" i="325" s="1"/>
  <c r="D10" i="325" s="1"/>
  <c r="D14" i="325" s="1"/>
  <c r="P6" i="325"/>
  <c r="E12" i="325" s="1"/>
  <c r="E13" i="325"/>
  <c r="N6" i="325"/>
  <c r="D11" i="324"/>
  <c r="P6" i="324"/>
  <c r="E12" i="324" s="1"/>
  <c r="E13" i="324"/>
  <c r="N6" i="324"/>
  <c r="AW5" i="324"/>
  <c r="AW6" i="324" s="1"/>
  <c r="D10" i="324" s="1"/>
  <c r="BQ5" i="323"/>
  <c r="BQ6" i="323" s="1"/>
  <c r="D10" i="323" s="1"/>
  <c r="D14" i="323" s="1"/>
  <c r="P6" i="323"/>
  <c r="E12" i="323" s="1"/>
  <c r="E13" i="323"/>
  <c r="N6" i="323"/>
  <c r="P6" i="322"/>
  <c r="E12" i="322" s="1"/>
  <c r="E13" i="322"/>
  <c r="N6" i="322"/>
  <c r="D10" i="322"/>
  <c r="D14" i="322" s="1"/>
  <c r="AZ5" i="321"/>
  <c r="AZ6" i="321" s="1"/>
  <c r="D10" i="321" s="1"/>
  <c r="D11" i="321"/>
  <c r="Q6" i="318"/>
  <c r="D11" i="318" s="1"/>
  <c r="P6" i="318"/>
  <c r="E12" i="318" s="1"/>
  <c r="E13" i="318"/>
  <c r="N6" i="318"/>
  <c r="AH5" i="318"/>
  <c r="AH6" i="318" s="1"/>
  <c r="D10" i="318" s="1"/>
  <c r="D14" i="318" s="1"/>
  <c r="BO5" i="305"/>
  <c r="BO6" i="305" s="1"/>
  <c r="D10" i="305" s="1"/>
  <c r="D14" i="305" s="1"/>
  <c r="E12" i="305"/>
  <c r="E13" i="305"/>
  <c r="N6" i="305"/>
  <c r="D11" i="304"/>
  <c r="E13" i="303"/>
  <c r="E14" i="303" s="1"/>
  <c r="N6" i="303"/>
  <c r="BB5" i="303"/>
  <c r="BB6" i="303" s="1"/>
  <c r="D10" i="303" s="1"/>
  <c r="D14" i="303" s="1"/>
  <c r="E13" i="301"/>
  <c r="N6" i="301"/>
  <c r="Q6" i="301"/>
  <c r="D11" i="301" s="1"/>
  <c r="P6" i="301"/>
  <c r="E12" i="301" s="1"/>
  <c r="R6" i="301"/>
  <c r="D10" i="301" s="1"/>
  <c r="AZ6" i="300"/>
  <c r="D10" i="300" s="1"/>
  <c r="D14" i="300" s="1"/>
  <c r="P6" i="300"/>
  <c r="E12" i="300" s="1"/>
  <c r="E14" i="300" s="1"/>
  <c r="E13" i="299"/>
  <c r="E14" i="299" s="1"/>
  <c r="N6" i="299"/>
  <c r="AZ6" i="299"/>
  <c r="D10" i="299" s="1"/>
  <c r="D14" i="299" s="1"/>
  <c r="D11" i="298"/>
  <c r="P6" i="298"/>
  <c r="E12" i="298" s="1"/>
  <c r="E14" i="298" s="1"/>
  <c r="AZ6" i="298"/>
  <c r="D10" i="298" s="1"/>
  <c r="P6" i="297"/>
  <c r="E12" i="297" s="1"/>
  <c r="AZ5" i="297"/>
  <c r="AZ6" i="297" s="1"/>
  <c r="D10" i="297" s="1"/>
  <c r="D14" i="297" s="1"/>
  <c r="E13" i="297"/>
  <c r="N6" i="297"/>
  <c r="D11" i="296"/>
  <c r="P6" i="296"/>
  <c r="E12" i="296" s="1"/>
  <c r="E14" i="296" s="1"/>
  <c r="AZ5" i="296"/>
  <c r="AZ6" i="296" s="1"/>
  <c r="D10" i="296" s="1"/>
  <c r="D14" i="296" s="1"/>
  <c r="P6" i="295"/>
  <c r="E12" i="295" s="1"/>
  <c r="E13" i="295"/>
  <c r="N6" i="295"/>
  <c r="AZ6" i="295"/>
  <c r="D10" i="295" s="1"/>
  <c r="D14" i="295" s="1"/>
  <c r="P6" i="294"/>
  <c r="E12" i="294" s="1"/>
  <c r="N6" i="294"/>
  <c r="E13" i="294"/>
  <c r="AZ6" i="294"/>
  <c r="D10" i="294" s="1"/>
  <c r="D14" i="294" s="1"/>
  <c r="D11" i="293"/>
  <c r="P6" i="293"/>
  <c r="E12" i="293" s="1"/>
  <c r="E13" i="293"/>
  <c r="N6" i="293"/>
  <c r="R5" i="293"/>
  <c r="R6" i="293" s="1"/>
  <c r="D10" i="293" s="1"/>
  <c r="D11" i="292"/>
  <c r="P6" i="292"/>
  <c r="E12" i="292" s="1"/>
  <c r="E13" i="292"/>
  <c r="N6" i="292"/>
  <c r="AZ5" i="292"/>
  <c r="AZ6" i="292" s="1"/>
  <c r="D10" i="292" s="1"/>
  <c r="P6" i="291"/>
  <c r="E12" i="291" s="1"/>
  <c r="E13" i="291"/>
  <c r="N6" i="291"/>
  <c r="D11" i="291"/>
  <c r="Q6" i="290"/>
  <c r="D11" i="290" s="1"/>
  <c r="P6" i="290"/>
  <c r="E12" i="290" s="1"/>
  <c r="E14" i="290" s="1"/>
  <c r="AK5" i="290"/>
  <c r="AK6" i="290" s="1"/>
  <c r="D10" i="290" s="1"/>
  <c r="Q6" i="288"/>
  <c r="D11" i="288" s="1"/>
  <c r="P6" i="288"/>
  <c r="E12" i="288" s="1"/>
  <c r="N6" i="288"/>
  <c r="E13" i="288"/>
  <c r="V6" i="288"/>
  <c r="D10" i="288" s="1"/>
  <c r="Q6" i="287"/>
  <c r="D11" i="287" s="1"/>
  <c r="P6" i="287"/>
  <c r="E12" i="287" s="1"/>
  <c r="E13" i="287"/>
  <c r="N6" i="287"/>
  <c r="W5" i="287"/>
  <c r="W6" i="287" s="1"/>
  <c r="D10" i="287" s="1"/>
  <c r="BO6" i="284"/>
  <c r="D10" i="284" s="1"/>
  <c r="D14" i="284" s="1"/>
  <c r="E13" i="284"/>
  <c r="N6" i="284"/>
  <c r="P6" i="284"/>
  <c r="E12" i="284" s="1"/>
  <c r="P6" i="283"/>
  <c r="E12" i="283" s="1"/>
  <c r="D11" i="283"/>
  <c r="E13" i="283"/>
  <c r="N6" i="283"/>
  <c r="AZ5" i="283"/>
  <c r="AZ6" i="283" s="1"/>
  <c r="D10" i="283" s="1"/>
  <c r="D11" i="282"/>
  <c r="P6" i="282"/>
  <c r="E12" i="282" s="1"/>
  <c r="E13" i="282"/>
  <c r="N6" i="282"/>
  <c r="AZ6" i="282"/>
  <c r="D10" i="282" s="1"/>
  <c r="E13" i="281"/>
  <c r="N6" i="281"/>
  <c r="P6" i="281"/>
  <c r="E12" i="281" s="1"/>
  <c r="AZ5" i="281"/>
  <c r="AZ6" i="281" s="1"/>
  <c r="D10" i="281" s="1"/>
  <c r="D14" i="281" s="1"/>
  <c r="E13" i="280"/>
  <c r="E14" i="280" s="1"/>
  <c r="N6" i="280"/>
  <c r="BS5" i="280"/>
  <c r="BS6" i="280" s="1"/>
  <c r="D10" i="280" s="1"/>
  <c r="D14" i="280" s="1"/>
  <c r="P6" i="279"/>
  <c r="E12" i="279" s="1"/>
  <c r="BS6" i="279"/>
  <c r="D10" i="279" s="1"/>
  <c r="D14" i="279" s="1"/>
  <c r="E13" i="279"/>
  <c r="N6" i="279"/>
  <c r="P6" i="278"/>
  <c r="E12" i="278" s="1"/>
  <c r="N6" i="278"/>
  <c r="E13" i="278"/>
  <c r="BS5" i="278"/>
  <c r="BS6" i="278" s="1"/>
  <c r="D10" i="278" s="1"/>
  <c r="Q6" i="278"/>
  <c r="D11" i="278" s="1"/>
  <c r="D11" i="277"/>
  <c r="E12" i="277"/>
  <c r="E14" i="277" s="1"/>
  <c r="BB5" i="277"/>
  <c r="BB6" i="277" s="1"/>
  <c r="D10" i="277" s="1"/>
  <c r="Q6" i="276"/>
  <c r="D11" i="276" s="1"/>
  <c r="P6" i="276"/>
  <c r="E12" i="276" s="1"/>
  <c r="E13" i="276"/>
  <c r="N6" i="276"/>
  <c r="R5" i="276"/>
  <c r="R6" i="276" s="1"/>
  <c r="D10" i="276" s="1"/>
  <c r="D14" i="276" s="1"/>
  <c r="Q6" i="275"/>
  <c r="D11" i="275" s="1"/>
  <c r="P6" i="275"/>
  <c r="E12" i="275" s="1"/>
  <c r="E13" i="275"/>
  <c r="N6" i="275"/>
  <c r="R5" i="275"/>
  <c r="R6" i="275" s="1"/>
  <c r="D10" i="275" s="1"/>
  <c r="P6" i="274"/>
  <c r="E12" i="274" s="1"/>
  <c r="E13" i="274"/>
  <c r="N6" i="274"/>
  <c r="AH6" i="274"/>
  <c r="D10" i="274" s="1"/>
  <c r="D14" i="274" s="1"/>
  <c r="P6" i="273"/>
  <c r="E12" i="273" s="1"/>
  <c r="AL5" i="273"/>
  <c r="AL6" i="273" s="1"/>
  <c r="D10" i="273" s="1"/>
  <c r="E13" i="273"/>
  <c r="N6" i="273"/>
  <c r="Q6" i="273"/>
  <c r="D11" i="273" s="1"/>
  <c r="Q6" i="272"/>
  <c r="D11" i="272" s="1"/>
  <c r="P6" i="272"/>
  <c r="E12" i="272" s="1"/>
  <c r="E13" i="272"/>
  <c r="N6" i="272"/>
  <c r="BC5" i="272"/>
  <c r="BC6" i="272" s="1"/>
  <c r="D10" i="272" s="1"/>
  <c r="P6" i="271"/>
  <c r="E12" i="271" s="1"/>
  <c r="E13" i="271"/>
  <c r="N6" i="271"/>
  <c r="BS5" i="271"/>
  <c r="BS6" i="271" s="1"/>
  <c r="D10" i="271" s="1"/>
  <c r="D14" i="271" s="1"/>
  <c r="Q6" i="270"/>
  <c r="D11" i="270" s="1"/>
  <c r="P6" i="270"/>
  <c r="E12" i="270" s="1"/>
  <c r="E13" i="270"/>
  <c r="N6" i="270"/>
  <c r="BO6" i="270"/>
  <c r="D10" i="270" s="1"/>
  <c r="N6" i="269"/>
  <c r="E13" i="269"/>
  <c r="D11" i="269"/>
  <c r="E12" i="269"/>
  <c r="BO5" i="269"/>
  <c r="BO6" i="269" s="1"/>
  <c r="D10" i="269" s="1"/>
  <c r="BB5" i="252"/>
  <c r="BB6" i="252" s="1"/>
  <c r="E13" i="251"/>
  <c r="N6" i="251"/>
  <c r="Q6" i="251"/>
  <c r="D11" i="251" s="1"/>
  <c r="P6" i="251"/>
  <c r="E12" i="251" s="1"/>
  <c r="BB6" i="251"/>
  <c r="D10" i="251" s="1"/>
  <c r="Q10" i="250"/>
  <c r="D16" i="250" s="1"/>
  <c r="P10" i="250"/>
  <c r="E17" i="250" s="1"/>
  <c r="E18" i="250"/>
  <c r="N10" i="250"/>
  <c r="Q6" i="248"/>
  <c r="D11" i="248" s="1"/>
  <c r="P6" i="248"/>
  <c r="E12" i="248" s="1"/>
  <c r="E14" i="248" s="1"/>
  <c r="BO5" i="248"/>
  <c r="BO6" i="248" s="1"/>
  <c r="D10" i="248" s="1"/>
  <c r="D14" i="248" s="1"/>
  <c r="Q7" i="247"/>
  <c r="D12" i="247" s="1"/>
  <c r="P7" i="247"/>
  <c r="E13" i="247" s="1"/>
  <c r="E14" i="247"/>
  <c r="N7" i="247"/>
  <c r="R5" i="247"/>
  <c r="R6" i="246"/>
  <c r="D10" i="246" s="1"/>
  <c r="D14" i="246" s="1"/>
  <c r="P6" i="246"/>
  <c r="E12" i="246" s="1"/>
  <c r="E13" i="246"/>
  <c r="N6" i="246"/>
  <c r="P8" i="245"/>
  <c r="E14" i="245" s="1"/>
  <c r="E15" i="245"/>
  <c r="N8" i="245"/>
  <c r="R5" i="245"/>
  <c r="P6" i="244"/>
  <c r="E12" i="244" s="1"/>
  <c r="E13" i="244"/>
  <c r="N6" i="244"/>
  <c r="R5" i="244"/>
  <c r="R6" i="244" s="1"/>
  <c r="D10" i="244" s="1"/>
  <c r="D14" i="244" s="1"/>
  <c r="E13" i="243"/>
  <c r="E14" i="243" s="1"/>
  <c r="N6" i="243"/>
  <c r="BC5" i="243"/>
  <c r="BC6" i="243" s="1"/>
  <c r="D10" i="243" s="1"/>
  <c r="D14" i="243" s="1"/>
  <c r="R7" i="242"/>
  <c r="D11" i="242" s="1"/>
  <c r="E14" i="242"/>
  <c r="N7" i="242"/>
  <c r="Q7" i="242"/>
  <c r="D12" i="242" s="1"/>
  <c r="P7" i="242"/>
  <c r="E13" i="242" s="1"/>
  <c r="P15" i="241"/>
  <c r="E21" i="241" s="1"/>
  <c r="E22" i="241"/>
  <c r="N15" i="241"/>
  <c r="R5" i="241"/>
  <c r="Q10" i="240"/>
  <c r="D16" i="240" s="1"/>
  <c r="P10" i="240"/>
  <c r="E17" i="240" s="1"/>
  <c r="E18" i="240"/>
  <c r="N10" i="240"/>
  <c r="W5" i="240"/>
  <c r="W10" i="240" s="1"/>
  <c r="D15" i="240" s="1"/>
  <c r="P6" i="239"/>
  <c r="E12" i="239" s="1"/>
  <c r="E13" i="239"/>
  <c r="N6" i="239"/>
  <c r="R5" i="239"/>
  <c r="R6" i="239" s="1"/>
  <c r="D10" i="239" s="1"/>
  <c r="D14" i="239" s="1"/>
  <c r="Q6" i="238"/>
  <c r="D11" i="238" s="1"/>
  <c r="P6" i="238"/>
  <c r="E12" i="238" s="1"/>
  <c r="E14" i="238" s="1"/>
  <c r="AI5" i="238"/>
  <c r="AI6" i="238" s="1"/>
  <c r="D10" i="238" s="1"/>
  <c r="Q6" i="237"/>
  <c r="D11" i="237" s="1"/>
  <c r="P6" i="237"/>
  <c r="E12" i="237" s="1"/>
  <c r="E13" i="237"/>
  <c r="N6" i="237"/>
  <c r="BO5" i="237"/>
  <c r="BO6" i="237" s="1"/>
  <c r="D10" i="237" s="1"/>
  <c r="Q6" i="236"/>
  <c r="D11" i="236" s="1"/>
  <c r="P6" i="236"/>
  <c r="E12" i="236" s="1"/>
  <c r="E13" i="236"/>
  <c r="N6" i="236"/>
  <c r="R6" i="236"/>
  <c r="Q6" i="235"/>
  <c r="D11" i="235" s="1"/>
  <c r="P6" i="235"/>
  <c r="E12" i="235" s="1"/>
  <c r="N6" i="235"/>
  <c r="E13" i="235"/>
  <c r="R6" i="235"/>
  <c r="Q6" i="234"/>
  <c r="D11" i="234" s="1"/>
  <c r="P6" i="234"/>
  <c r="E12" i="234" s="1"/>
  <c r="N6" i="234"/>
  <c r="E13" i="234"/>
  <c r="R6" i="234"/>
  <c r="P6" i="233"/>
  <c r="E12" i="233" s="1"/>
  <c r="N6" i="233"/>
  <c r="E13" i="233"/>
  <c r="R6" i="233"/>
  <c r="D14" i="233" s="1"/>
  <c r="P6" i="232"/>
  <c r="E12" i="232" s="1"/>
  <c r="E13" i="232"/>
  <c r="N6" i="232"/>
  <c r="BS5" i="232"/>
  <c r="D14" i="269" l="1"/>
  <c r="E14" i="276"/>
  <c r="E14" i="282"/>
  <c r="D14" i="262"/>
  <c r="D14" i="263"/>
  <c r="E14" i="265"/>
  <c r="D14" i="257"/>
  <c r="D14" i="253"/>
  <c r="D14" i="324"/>
  <c r="E14" i="323"/>
  <c r="E14" i="322"/>
  <c r="D14" i="321"/>
  <c r="R7" i="247"/>
  <c r="D11" i="247" s="1"/>
  <c r="D15" i="247" s="1"/>
  <c r="D14" i="304"/>
  <c r="E14" i="301"/>
  <c r="D14" i="298"/>
  <c r="E14" i="297"/>
  <c r="E14" i="295"/>
  <c r="E14" i="294"/>
  <c r="D14" i="283"/>
  <c r="D14" i="290"/>
  <c r="E14" i="287"/>
  <c r="E14" i="284"/>
  <c r="E14" i="279"/>
  <c r="D14" i="278"/>
  <c r="E14" i="274"/>
  <c r="D14" i="273"/>
  <c r="D14" i="272"/>
  <c r="E14" i="272"/>
  <c r="D10" i="252"/>
  <c r="D14" i="252" s="1"/>
  <c r="D14" i="238"/>
  <c r="E14" i="233"/>
  <c r="BS10" i="250"/>
  <c r="D14" i="250" s="1"/>
  <c r="D19" i="250" s="1"/>
  <c r="R8" i="245"/>
  <c r="D12" i="245" s="1"/>
  <c r="D16" i="245" s="1"/>
  <c r="E16" i="245"/>
  <c r="E14" i="244"/>
  <c r="D15" i="242"/>
  <c r="R15" i="241"/>
  <c r="D19" i="241" s="1"/>
  <c r="D23" i="241" s="1"/>
  <c r="E23" i="241"/>
  <c r="R10" i="240"/>
  <c r="D14" i="240" s="1"/>
  <c r="D19" i="240" s="1"/>
  <c r="E14" i="235"/>
  <c r="D14" i="234"/>
  <c r="R6" i="232"/>
  <c r="BS6" i="232"/>
  <c r="D10" i="232" s="1"/>
  <c r="E16" i="266"/>
  <c r="D14" i="265"/>
  <c r="E14" i="263"/>
  <c r="E16" i="260"/>
  <c r="D14" i="259"/>
  <c r="E14" i="257"/>
  <c r="D14" i="256"/>
  <c r="E14" i="255"/>
  <c r="E14" i="329"/>
  <c r="D14" i="328"/>
  <c r="E14" i="327"/>
  <c r="E14" i="326"/>
  <c r="E14" i="325"/>
  <c r="E14" i="324"/>
  <c r="E14" i="318"/>
  <c r="E14" i="305"/>
  <c r="D14" i="301"/>
  <c r="E14" i="293"/>
  <c r="D14" i="293"/>
  <c r="D14" i="292"/>
  <c r="E14" i="292"/>
  <c r="D14" i="291"/>
  <c r="E14" i="291"/>
  <c r="D14" i="288"/>
  <c r="E14" i="288"/>
  <c r="D14" i="287"/>
  <c r="E14" i="283"/>
  <c r="D14" i="282"/>
  <c r="E14" i="281"/>
  <c r="E14" i="278"/>
  <c r="D14" i="277"/>
  <c r="D14" i="275"/>
  <c r="E14" i="275"/>
  <c r="E14" i="273"/>
  <c r="E14" i="271"/>
  <c r="E14" i="270"/>
  <c r="D14" i="270"/>
  <c r="E14" i="269"/>
  <c r="D14" i="251"/>
  <c r="E14" i="251"/>
  <c r="E19" i="250"/>
  <c r="E15" i="247"/>
  <c r="E14" i="246"/>
  <c r="E15" i="242"/>
  <c r="E19" i="240"/>
  <c r="E14" i="239"/>
  <c r="E14" i="237"/>
  <c r="D14" i="237"/>
  <c r="D14" i="236"/>
  <c r="E14" i="236"/>
  <c r="D14" i="235"/>
  <c r="E14" i="234"/>
  <c r="E14" i="232"/>
  <c r="D14" i="23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747E924A-4773-4AE6-B6AF-CE3F8077B90B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04F4CB75-A174-4450-A867-15C86E3143A7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4" authorId="0" shapeId="0" xr:uid="{2F74BD27-CAEC-4BEC-A4D5-15F136C18625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4" authorId="0" shapeId="0" xr:uid="{3D2F3675-19EA-4180-A4A5-A646D0E9F270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3E9E461E-C1A0-4FFE-BFF7-62000F5FEFD6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B7954850-B212-4F51-B979-E346FF2F4236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4C9F32CC-0890-4701-93CE-13FE709AF4F0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67BF0E9E-DC02-4070-8223-3E399997A53B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FDD9F25F-79E4-461C-A7D6-0343BB0D2D72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EDF85E8D-6B90-4694-A975-CBCF7A0AA652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CCA8160C-4895-4040-9E8B-99B6A6B3ECB1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E47BC386-0703-4A03-9D5B-52E5281F1336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9886D337-60E9-4C8D-AC2B-3A7737F16A73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950739E0-EBD7-4858-8CE0-EE1B9A899BCE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7B944E8A-1ADA-4F07-8655-92CC2F12E8B6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58A1DE4A-9425-42B8-B6E4-0AE58AB70576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BF94C341-B209-479F-841C-DEB37543CEB0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10EA41C3-B34E-4FBA-85BA-D4B9002A4E3F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A1106FF5-A771-42FD-9106-AC8D967A669C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10164E55-0DF6-4B42-9928-089174BE8CBB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C1BF7886-FC10-472C-8C1A-21EFF429290F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85EFC159-8B8D-4539-8915-C3012D15E527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BE5C1EF0-2CDC-4267-ADB9-751680C054E6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DDAA1EFF-F373-4079-B7F3-5B39B3DFFEA8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D14E0D8A-19A0-4496-BEBE-4BA9CC4B89DB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56BCF597-8601-4AE2-99A7-5665FACFC346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EAB191C8-3575-4A2F-9A7C-5F8FB3AC19E2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06504F46-26EB-46F7-B1A0-00BA7B8912C0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12AE997D-E696-4972-8FD3-04494039B4DB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DDB60B04-A170-4504-AA10-B2B035D33029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E0B486BC-130B-40FD-918A-D612301EF471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6291ECD9-2016-40E7-BEE5-2D5E025B87F5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C5295FD9-06E1-45E0-B098-100C23FC3C94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3C572EB8-04E9-4036-979B-668B29F10EE9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3395C7E7-9E90-4155-9F0E-8DF3D98D73CF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5679C93E-B5A8-458F-81FA-37773E48D732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D66607C4-E340-4F0F-AE2B-EEA038B01663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6D608EF8-1167-44D4-89FA-A8D3FA20C32B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0E2498BA-11B8-45FA-B79E-151DEE9489FA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1A263CC4-BE21-47D0-9818-3DE07491C154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BA03497D-6B1E-4FBA-BB70-B3F5E3A75E54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36969BE1-9CCE-4E10-BFB4-7543C2ABB5F7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DE257A3F-C938-4A3E-A716-8D0570F08408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5C57CC81-814F-4171-A7FC-3F1EE42C9848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EA864E1A-63B8-40B9-B0CB-C5F0ED6B7FED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95320DD4-67BB-4536-A20F-F3195090DBBD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D5079707-E643-40B7-87FA-405DC5AE5E5E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7D261954-AFC6-4F86-843B-165C6C576237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3AEEA135-565E-4106-A090-D2B918D022E7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80254958-2EFB-43CC-AD8B-6017460CE065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F90C1BC9-626A-4B12-A95F-2A09904BF3D3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B3FDEFC0-6151-409A-9A3E-D8D214DDC8BF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9339C2C9-7CFC-46EC-B0E9-7536DABB68EA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8E9B0100-55BA-4916-A4C6-414CA663FDB9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E6CD3009-05E7-4592-B4DC-B76DD326BD42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8A310B61-EB05-4F73-9EA4-E5ABD758AF98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E94EC95C-631B-4AB4-B127-A7219A6FF238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BF75F819-9588-4C59-8326-DB7D0D4A9981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E0D34A01-CDC9-45EA-91C9-879E93EE15F5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AAE4FF29-F314-48F3-A215-2504499E85AD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8BD6CF4D-443A-4541-9582-38BF23E3BA5D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5F2AF373-E8EF-4CCD-A43E-E02CADC43C90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2D53212F-AD67-4E02-89A2-6A7EE5FDFEAB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F2CBD947-CD7A-4A9C-B69A-093D2BE1C4D8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4B1D1217-30F7-43FE-A155-A04F2931E642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3BC641D0-BEE8-4859-9C52-467FCA2CA97E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3F816EE5-3792-4F9A-BD34-3155DAC006D2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CC8CE9B8-1990-4AB3-AA0F-C5DF8EA6E91A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0174F3FB-7A4E-4746-8018-A6D5D6F61D80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C2B5962E-5C88-4651-B17D-F2DAD3952DD8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0304E85D-6614-44CE-B591-78326106DB71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CD066C09-3B8B-49DF-875F-F2DF2E1255F0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5C640348-1AB1-4AFF-B1A0-365E25C416B0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0A6C53A1-60EB-4BDC-BE5F-E2CB4CB4BC34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D4E7AB4E-C319-4602-8292-0500F1B52C5A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C5136DDE-45BB-42CE-AB81-50B0BA3096C4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9598167F-5656-4975-AAAD-47CBBC28C2A4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27F793C3-8E3B-4EFA-8202-104A20E32C8D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F2F236BF-D6CC-483A-BD1B-87DECE32FB4D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E3906D33-E1F4-4D2E-B2B0-BDCA688DF677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22EFD315-5742-4F8C-BE16-C39FA26796CB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5DA2FFC8-75F0-43BC-BC16-400179162DEC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944B6526-0004-4D46-B876-706C819B2B11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03672982-1678-44C5-A7EB-B2BF786C166A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BC115211-D565-4F1B-9383-5527C9929FD3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9AE6566A-57B8-4444-84F1-0A3828893D86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4CA03DD0-0EC9-4366-A1A5-04695B6A979B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D5B435A6-A08C-4823-A306-927A25E6605F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CE22B02B-1F51-41D7-B725-7FF5976FF6F5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4F281BB8-D6E5-42C4-8159-08892F6142A3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CF23DB1E-7355-4EA9-A2DA-0FBEAA7EA8DE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1A0BD0D2-030E-4151-BB3E-CAFABD918863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DEEEE1AB-6419-416E-A8E7-9EF02B5541EE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709C7E10-ACB3-4411-A1F0-0EABE8166262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594DD4DB-9D26-4B50-BAEF-615F35BDF4AA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D35D62AC-4DB2-4B5E-BC0B-EE07E947751E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2AEBA55F-8BD1-4F29-8471-3F0F3FD72BE8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319D8B1B-6075-4C3E-9BDC-375FAD3262FC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5B865948-1C62-46C0-98BD-A8253C504FA0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E458ED87-0906-4887-B3F4-29647B67FD79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DE458CDA-EF95-4231-8930-EDBC5977E277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8430AB7E-00DC-4748-B0D8-8B7FFF2326AA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84149603-CC6E-4050-832E-F77E32CC0AAE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B4D90B48-99A6-410C-A670-8802FF57500E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EC9B812F-DDEB-41A5-B333-3C0CE5A42F93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C755B9DA-2CE4-494C-AEF7-F483FCC4DE50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AE68D24F-E113-487A-A250-9CEF28F3C498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3384D72A-FB46-47A7-A658-A9FE3B58A630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3FBD24D9-0A55-4A38-B2D4-71F4431C2994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999D12BE-8345-4D5F-9586-7CB079BCAD8C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21A5634B-46FB-4F00-B29F-715536AA6168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743125A3-37A4-4925-A14E-08C34F4F39B1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B4AC41A6-4DD8-4BEC-9A27-9AA74F1076DA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E79D4A60-8CB2-4400-9DFB-72455AFAE041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2EAA5AD1-09B0-426C-9738-18C419C048F7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DA4C9435-9175-4558-A146-0D170A4F1A17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A64A9FFB-401E-4FAE-9527-DF4566EE1C38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2A3FA186-651E-4778-9FD2-C669457157DA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A5759D50-A88D-41BE-B41B-8015D2612F93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40FAD0A3-CD6D-46AC-B8DA-94008C7DA550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6180CCBA-2D97-4F30-A347-72C81B07386F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AE9BBE9F-EE6B-4591-BE1B-866442B57C88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6AC3124D-EBAF-4745-8563-E98C807CB649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1B367856-BC29-4C16-9BDC-EAB318461EC5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3CD65036-95C8-4835-92ED-29B29801108C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72A9DA2C-09E5-4BFC-8A5B-542B6C90934B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BAF3E96C-EEE9-4772-9A9B-A08B36EF0FFD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CF95837C-7EAA-42BC-8AFF-1B9F5713ECA1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92405CFE-32FB-46FC-9F25-C9481FD76A64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83736F3C-254E-4273-8027-1D758B092CC9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1F152E88-D9B2-4304-BE76-213A2AE3670D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4FB124A8-93A7-401D-A4A1-3D8E7F7131BF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08ED1EA7-3597-4298-82E4-26E590986686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B7CA2934-0FF2-455B-A083-0F6D82B74361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8F699A5A-AA6E-47AB-BFD0-42DA410A6133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8DB19132-4685-4258-8FFF-F469FD3962D7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001F0E39-07EE-4D9C-B370-9C541B5AD667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2489C8B9-BFD1-4254-8544-64A451A3551A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B4A18D3B-77EE-4A08-B38B-EBF43740E5EC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7F0C2BCC-CBF3-476A-B14C-7446D3FE5A04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374DBA4F-7F77-4A46-910C-96EA49D659CB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ECE5352F-490F-4045-AEDC-DAF136CFCA37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FA73FE22-8149-4CE9-AB85-C1FDB007DC98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997B9700-6431-43EA-B559-8BD315E5B71A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EA8703F1-C28C-4BD8-9E1A-826AC732628A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2ECAB65B-9A99-4562-BF14-9A95811CF1CD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7CC023FE-0510-40B4-BAC5-81856E5A9C23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477679E3-481C-4B23-A350-7722ACDC8761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7880601F-5F10-46A7-9FAD-D6E123A9F296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106D53AE-8BF0-418F-94EE-B4D29D7ABC6C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51322BD2-7CEE-4FB3-93E9-F9B5CE131A6C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8E4D960D-115E-49C6-9A34-CB82DCCEDE24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F0B68EE3-F8D7-4AEA-B7CB-014FFBDDF1C7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591A4659-A42A-4A26-867F-B04F27B82988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B42683D2-5779-4EC7-91BC-45E32BD76E33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8DC1E0D1-BE48-4772-BE24-9313B5D113DB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347B9727-544C-47CE-A482-99FD78A0C70A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33DB1C8D-B937-4D9F-99A2-F333A756B532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EA5A44F1-AA0D-4225-9019-13A210BDC8F8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5896313C-5827-4797-A4D3-B0DE377D4D1D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FEE8F162-013F-4037-8633-741E43C3AD99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AF2F8172-5BB3-403E-B5FF-2EA7FB4BE8B0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4F2EEEFC-C6B2-4B28-9192-95EA2C88BF95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13AF233D-3041-408A-BE6D-C37FEF1A01F8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F4BA5087-52B7-4F7B-B124-6559D8659FC6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D5CC940C-ABF8-4320-A66A-A14364285A17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6C4E42D8-7911-4460-B0A7-1F0765EA777C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111F2FD9-282B-4B2E-B5C6-0CD299FD6C5A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38ABB567-CAF2-4801-903A-2E9CE206740E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9304A193-E7E1-4810-AF0E-EA5D1D682C12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48F2B0E4-6DA9-418D-A61E-76967CEFDA37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E05A7292-6C16-43D2-A98D-6DC0088C312E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F37F8ECE-04F2-4F73-AC6C-3C0DD942BFC1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0BCC01D7-B837-4431-81FF-C586F7B773B1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29234D1A-F305-41D8-91AC-642D06118EEF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C7496FF7-8252-44E7-9459-4E945A49DD03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F831C9BD-AAC8-4602-8E0E-DD642AD56BC1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02B12B67-E900-40F9-829A-22B2A14295AB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C1B5631C-BE41-4CC7-86E6-BC99B3B39558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86872D3F-F3AD-47D5-ACC3-5647E8DE7B8C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E002FE34-B48C-4FBF-A584-6312EEBA403C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A2795A2E-262C-471E-8E11-4C7ECC1302C4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D24B9290-BA39-4808-AB7F-631720BA4631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447BC96D-3521-4328-AD34-06E13E54BCC6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DDE50806-E30E-4D03-ADB5-2568F37AA2C6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9C829093-E9C8-4E7E-A5C6-E9C26BDDCDB0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30251BBA-BD9C-4208-A8B2-569F1A8CB006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D6A50DA2-0CBF-4192-A2EE-FAB7EB651022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99987BD2-7D71-4ADA-96D1-93C7A85D8233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9AE17943-2B9A-4E51-AA37-1E0859F76F5D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2952C397-E1F7-4F77-8D97-C2D572D6F0B2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31B03DC4-820D-4B55-99E8-5A37BBEF7EE5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747720F8-F1A9-42C8-A3DB-12ABD78E35E4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44D65DE7-1B36-4DC7-9872-AE11D05B9278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1AB2802B-5BE9-4DCE-96F6-9E6F993E7961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592FD868-AFB7-4226-95C8-359FA44EFF2F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346EACAB-D64B-4E29-924D-3FEEA608F2BC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E15BFA75-C59E-416E-82FB-63B8AE9CA4A9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4CC3221F-7762-44B1-A8CE-4DA364FBF853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5DBF7BA4-6A94-4D8C-9331-0FEF75179A51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F91DA14F-1C6F-40C3-9D65-48B611FD6D98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EDA212F7-EB96-4EE1-BEC7-3A15C1E7D2FA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73B5B714-1EE6-4CAB-AC31-7306DC1D4045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22DAE03D-DABB-41D2-8F3E-296267734563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7B29FFE3-F3C2-45DC-B5E6-FA1C1603291D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C6562A13-BE54-46A8-AE50-5F5BA45C9C04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7EE37C8C-5A8E-4119-85C8-AD746E84683C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A4C855A1-5447-4761-AB36-2300B5306BCC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9A2791B4-A5B8-4E13-89CD-EF175ED4AE6D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F27B68CC-8E23-4ED2-8C2E-B0F178C131E3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B8BD192C-F54C-4775-BDBC-E4647072488C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7D53D73A-9C9F-4A86-898F-63B4C255FB13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333F10DA-F6B3-4B65-90F5-F3E627D6AC05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5B9CD484-2DAF-477B-83F6-E36924E5F508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0C88BBAF-00C1-4C00-8512-1703D49DCFBD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22B96CCF-CFA0-409E-BD8A-4092BCC7FDA9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5C74B6B9-58E3-4369-9392-FAFDB16E6B57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486F1807-129E-411E-81BF-FCB9811FF0C5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FEA50049-A125-4DDC-AF52-17A460F42B00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4BC0CF5B-5C17-40CD-B3A7-1BDFA06B7453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308377E2-936B-4A91-9379-17621CBF53E1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1EB2263D-5AEE-483B-823D-313F1FF7D03B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C32E5AA6-B497-412E-8BE1-79445C931618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69F28DCB-6295-432F-B8DA-2ED187E0A9E2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3995F5D8-1D42-43B2-9DD0-FBA7460CE0A7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50FCC3AC-8E40-4C68-BB89-E1440AA92950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ECEB4E8D-2524-491D-BD0D-CC55250ECD94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43FC514E-3A39-4EB0-B438-8B0938EF46D5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C4C07F04-ED4D-41DB-84EE-A245E4D8E9FD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44F080C0-BE04-491D-94B3-EA965C64F36E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0E14DA54-4BED-4ECA-8BDA-E58FE3E96E1B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F83A04D5-7B91-4DE3-9ED7-2A408CC8C2F8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E0638913-5209-4168-9C11-CBDBD3C9EB64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9771CBB5-A367-43DC-8D6F-462B2031060B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B0B79038-0E41-4A56-A794-1F469C72EE99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2F36F138-D93E-40D4-9198-D79DF02E44EA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057F76AB-E822-450F-B37A-4E5FAE2C08F2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E1E87B55-D848-4944-9EAD-249CC6C4F0B4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1E2BD020-6C53-4E70-AF7D-C38AF6639909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FF0A6D05-83FA-4ACF-9F3E-11179DC26AD1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6791FC8B-B9D4-44B3-B46C-C97D5FB5E163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90E967B7-ED95-4804-A9D0-8A9C630472D7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CA0E2F76-0E64-46CF-8520-AED45F4FD51A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976DD0E4-27B4-4CBB-BE05-E0F63955C93C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8A3CC87B-F3ED-4446-8234-B47811254BAC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701673C5-C3CB-4944-8671-CC08D1FB48CB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6E518B96-ED8B-4FAA-83B7-AE08656842AD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6242C553-2759-4282-984F-A757DFBB9796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555A7B6F-89E6-4748-8717-912EDA77791F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0FF43C0A-3B4A-4A8F-BDB1-7E68634D9D4D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07921791-CF88-4C63-B625-D79C909F0B29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1A62EF45-00C6-4D42-B017-D355CF99B088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E231C556-2A29-482C-AA66-8B5857DB3F80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61FFC437-34AC-4089-8808-1C97CE1A3436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8127BF17-0781-4BE1-AA86-3453A1BB92F8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69528404-8EB1-4216-AB1E-1D98D7DEE993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75B2D82D-8482-4246-81BA-350DE9FB992A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EB924903-4FBC-4A5A-9D86-E1328A733FB8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D28D34AF-D6EE-432A-9B6C-9564ACF6DA4D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D47969C1-2058-4DC3-9812-E6359289B0F8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441C6E2D-BCE9-4B42-B99D-38A268A1D61B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248CE482-BEA3-4571-A5E4-7D2201C166A9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00B3B0E3-941F-4E01-8BC0-4B738CD367A1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BF2D6C75-CA42-4D30-A498-6D01DD1080EB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0A4E4254-91E5-4730-AF80-DF19B22E1655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68BDA81E-FE38-4B99-B14D-B7F750DB213F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ED773519-38F1-4F03-B33F-9160D1C18E77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E8F3BD7B-57F8-4799-8308-2340EE61EA60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9553E62C-49F6-4760-A8AF-CC7C3F4AC79D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EA0B9678-398B-42A0-A6B7-BD6328AACEE7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3A36E093-A11D-435B-96C9-A34A82182D7A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ECEF5F67-710E-4C33-AF93-CEE79A5AFCB2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AE81F150-C972-4388-A4AA-FCC6A3D56EC9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74839AE4-BC9B-4083-A943-3808E1A7F173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C015CC3D-6265-4181-8CDD-BB1E06681A40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E5CF77DE-5E59-46F9-9D7F-687C029DB0F3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43880BBC-29E2-4138-B78B-D9B91A1288DC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3BF72824-12E1-47F3-B085-0609D4355949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D30B44AA-40F4-4DDC-A701-3281C3762DD0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1BBF02F7-5EAA-4B04-BC33-24EACBFF4BFA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259FD65F-D580-44C8-9346-21628EE65F59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530FD821-4685-4A42-A308-868A24391ADE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D110FE41-9A77-4BE3-98A9-FAD3EA57255D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AD97BC9F-4939-47D3-B9AE-83C4D3DC227B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ED99FE2E-FAED-4D0C-83E5-F1E626FF628C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4FC8FFAE-85DA-468B-AF61-6BE57942A724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E07EF928-ACDB-4128-A7A7-CEE8261B8CA5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7F9CE20C-214F-4DFF-BD58-F5BB11EBF9EF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04E2049A-6073-4277-A587-03877F60A252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9E9C8DA6-B8E5-4B1E-96FC-FD03CE1F4543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1E11B685-B480-4C3F-9F7C-271B21866877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BC0E09DF-F143-4587-8178-A456E3222A06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31374363-EBFC-4DAE-90E6-59BBBA2CB6AC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AE83C32C-6C8D-457B-AD8F-859FD04200E9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A58B7C50-0334-4134-A645-C0CBC9137B7B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BF541997-126C-4B0C-A495-97AA8D0921B3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3E402387-2F85-4AA8-9B94-4E81131B79F2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3CA9B88A-B227-4509-953E-DDE93CC0377F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610B652D-D1A5-4E1C-A7C8-A4A1153DBB03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FDA24F71-5063-4618-8799-0D11F7642D5B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E418E89A-36C7-4A3A-A518-9F7CBC8D4825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34613828-7D51-4D29-A9AF-DE14C4071354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E4CB9DB8-1E0A-461B-A498-2D765C11B173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FEE4A8A6-399E-4189-A6C4-1E9E3CD35CED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3E7BC76C-8E9F-4188-BF9D-AE4C9499A988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B7F0A35A-190B-4F1B-A13C-B0D8D7FDA47C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08309CD3-C71E-4EAA-9C4D-D1AC193A8767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70874B35-04A2-4EB6-AB3B-F3892308F2B5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9317FE54-5770-414D-8ED4-73DECF81BE41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46E77BB0-545B-4275-8609-B7BFDB105E8C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D2D5FEC3-3BA1-461D-A1E8-360EAE652037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66CADD7C-7FA4-4FF2-9DAC-867A07513335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61A0A406-B127-4B55-AFA0-44E705015FAF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28D4E72C-78C7-4483-9F98-76FCED05F482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A4113EBF-47CD-4BDA-BBD2-8AC43F37C7D6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ED5A2998-77E9-4F11-A876-0754661069A0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6A5F57BC-07A0-4C58-86DA-C8DCCF78AE2F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96ADE661-9A0D-46BB-AF9D-47DD37CF9A6F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E1DA99A9-68CD-46A5-9779-DC706F7CA35D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38096085-8BD2-42E0-B09A-CD10914C838C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6CB4697C-6C11-4CE5-8158-A343B0AB5846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F7314FBA-8E15-4743-ADBE-30858DB2A047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04F7B1D5-9425-4E3A-BC38-28230306AB4F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87666109-53F8-4335-9899-2E30ED5BE8C9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01ADB3F8-9264-416B-A119-E4685DF20D14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A20D45A4-DAD6-4FF4-856C-E2EBA6375751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9471EAE7-4FF1-4AD3-B130-B194202AB475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F23FCFAD-BB25-4209-BF1B-090D4AFDB72B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A6BB7FAE-8EBF-4798-B1BD-175B4AF2ADF2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3AAF5376-060E-456D-8BCF-49B961744239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902D2DC4-F49E-4542-9299-6B35FFF32F83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0AA4856C-D3EB-4826-A553-277FBC22A945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6A3041BE-5A91-4186-913B-42A54ADF1138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21448755-E6B2-4CD6-AA84-2F924715683F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2E96B41E-8FBF-4969-905A-1E6C4B0BE616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F61AE486-605A-4233-BC46-D36FFA822BBA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B5D0CC07-E512-42B5-A76C-FEDF567958D7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AD7C7C97-3524-4915-9926-347F3D26AFB5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4551DDAE-ABE6-460C-8C1F-1193B40EDF06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69E5A897-625F-40DC-9978-7C6B2C7F3A7B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1B8795E7-A6AB-434B-84C1-DB39E0891150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A11A9F03-9094-4FA3-BC1B-D3117926A3B9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B0584CC8-DD3F-48AD-B7F8-1F884437AF33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43A0E851-5336-4C5B-8DB3-1C77EA138379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D6E9D2FF-D370-4E7D-8F84-CB343C205E4F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E99647A0-4754-41C1-9838-FE2069026A9E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8E51E969-95D6-4705-878B-E73B31D061C5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2A2C6127-502B-4FBA-AFB4-D563056EEC79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FEC647FF-457E-43D0-A589-4A432B5FBFC9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FD85F996-9E8A-47E2-9EA7-79AF07FCE9D8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comments1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leslie</author>
  </authors>
  <commentList>
    <comment ref="BP3" authorId="0" shapeId="0" xr:uid="{3BA296EA-3D59-4851-9DB8-7C82428963D4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SHUTTLE SERVICES
</t>
        </r>
      </text>
    </comment>
    <comment ref="BS3" authorId="0" shapeId="0" xr:uid="{B719C78F-8CCC-40FF-8408-0916B8671287}">
      <text>
        <r>
          <rPr>
            <b/>
            <sz val="9"/>
            <color indexed="81"/>
            <rFont val="Tahoma"/>
            <family val="2"/>
          </rPr>
          <t>leslie:</t>
        </r>
        <r>
          <rPr>
            <sz val="9"/>
            <color indexed="81"/>
            <rFont val="Tahoma"/>
            <family val="2"/>
          </rPr>
          <t xml:space="preserve">
CARGO PAYMENTS
</t>
        </r>
      </text>
    </comment>
  </commentList>
</comments>
</file>

<file path=xl/sharedStrings.xml><?xml version="1.0" encoding="utf-8"?>
<sst xmlns="http://schemas.openxmlformats.org/spreadsheetml/2006/main" count="26803" uniqueCount="903">
  <si>
    <t>Sotogrande Hotel and Resorts, Inc.</t>
  </si>
  <si>
    <t>NOTE: If Goods, withhold 1%, if services withhold 2%</t>
  </si>
  <si>
    <t>Pls indicate RR number</t>
  </si>
  <si>
    <t>DATE</t>
  </si>
  <si>
    <t>CPO Number</t>
  </si>
  <si>
    <t>PCV Number</t>
  </si>
  <si>
    <t>PAID OUT BY</t>
  </si>
  <si>
    <t>PAYEE</t>
  </si>
  <si>
    <t>ADDRESS</t>
  </si>
  <si>
    <t>TIN</t>
  </si>
  <si>
    <t>POST REFERENCE</t>
  </si>
  <si>
    <t>RR NUMBER</t>
  </si>
  <si>
    <t>PARTICULARS</t>
  </si>
  <si>
    <t>QTY</t>
  </si>
  <si>
    <t>UNIT PRICE</t>
  </si>
  <si>
    <t>TOTAL COST</t>
  </si>
  <si>
    <t>TOTAL CPO</t>
  </si>
  <si>
    <t>NV / V</t>
  </si>
  <si>
    <t>A/P W/HOLDING TAX</t>
  </si>
  <si>
    <t>A/R INPUT TAX</t>
  </si>
  <si>
    <t>INVENTORY</t>
  </si>
  <si>
    <t>OPERATING EQUIPMENT</t>
  </si>
  <si>
    <t>FURNITURE AND FIXTURES</t>
  </si>
  <si>
    <t>REPAIR &amp; MAINTENANCE</t>
  </si>
  <si>
    <t>OTHER EXPENSES</t>
  </si>
  <si>
    <t>COGS</t>
  </si>
  <si>
    <t>BANQUET EXPENSE</t>
  </si>
  <si>
    <t>LAUNDRY EXPENSE</t>
  </si>
  <si>
    <t>EMPLOYEE'S MEAL</t>
  </si>
  <si>
    <t>MEDICAL EXPENSES</t>
  </si>
  <si>
    <t>SALARIES DIRECT - EMPLOYEES</t>
  </si>
  <si>
    <t>SALARIES &amp; WAGES</t>
  </si>
  <si>
    <t>ON-CALL</t>
  </si>
  <si>
    <t xml:space="preserve">ADVANCES </t>
  </si>
  <si>
    <t>DÉCOR</t>
  </si>
  <si>
    <t>TRANSPO EXPENSE</t>
  </si>
  <si>
    <t>EMPLOYEE TRANSPORATION</t>
  </si>
  <si>
    <t>ADVERTISING EXPENSE</t>
  </si>
  <si>
    <t>SALES &amp; MARKETING EXPENSE</t>
  </si>
  <si>
    <t>POSTAGE, TELEPAX &amp; TELEPHONE</t>
  </si>
  <si>
    <t>EMPLOYEE'S UNIFORM</t>
  </si>
  <si>
    <t>Employee's Benefit</t>
  </si>
  <si>
    <t>BANK SERVICE CHARGE</t>
  </si>
  <si>
    <t>TAXES AND LICENSES</t>
  </si>
  <si>
    <t>COMMUNICATION - CELLPHONE</t>
  </si>
  <si>
    <t>NOTARIAL FEE</t>
  </si>
  <si>
    <t>SSS CONTRIBUTION</t>
  </si>
  <si>
    <t>HDMF CONTRIBUTION</t>
  </si>
  <si>
    <t>PHIC CONTRIBUTION</t>
  </si>
  <si>
    <t>Loan Payable</t>
  </si>
  <si>
    <t>A/P</t>
  </si>
  <si>
    <t>TRADESHOW</t>
  </si>
  <si>
    <t>REALTY TAX</t>
  </si>
  <si>
    <t>DUE FROM AFFILIATED COMPANIES</t>
  </si>
  <si>
    <t xml:space="preserve">A/R </t>
  </si>
  <si>
    <t>MISCELLANEOUS</t>
  </si>
  <si>
    <t>INSURANCE -PREMIUMS</t>
  </si>
  <si>
    <t>TOTAL</t>
  </si>
  <si>
    <t>Food</t>
  </si>
  <si>
    <t>Beverages</t>
  </si>
  <si>
    <t>Guest Amenities Housekeeping</t>
  </si>
  <si>
    <t>Guest Supplies Housekeeping</t>
  </si>
  <si>
    <t>Cleaning</t>
  </si>
  <si>
    <t>Paper</t>
  </si>
  <si>
    <t>P&amp;S</t>
  </si>
  <si>
    <t>Kitchen fuel</t>
  </si>
  <si>
    <t xml:space="preserve">Engineering </t>
  </si>
  <si>
    <t>Land</t>
  </si>
  <si>
    <t>Bldg</t>
  </si>
  <si>
    <t>PPE</t>
  </si>
  <si>
    <t>A&amp;G</t>
  </si>
  <si>
    <t>F&amp;B</t>
  </si>
  <si>
    <t xml:space="preserve">Rooms </t>
  </si>
  <si>
    <t>Office Equip - Computer</t>
  </si>
  <si>
    <t>Furniture &amp; Fixtures</t>
  </si>
  <si>
    <t>Transpo / Vehicle</t>
  </si>
  <si>
    <t>Airconditioning &amp; Refrigeration</t>
  </si>
  <si>
    <t>Floor and Wall Covering</t>
  </si>
  <si>
    <t>Kitchen Bar &amp; Equipment</t>
  </si>
  <si>
    <t>POMEC</t>
  </si>
  <si>
    <t>Building</t>
  </si>
  <si>
    <t>Room</t>
  </si>
  <si>
    <t>OOD</t>
  </si>
  <si>
    <t xml:space="preserve">A&amp;G </t>
  </si>
  <si>
    <t>A&amp;G - LOAD</t>
  </si>
  <si>
    <t>MUSIC &amp; ENTERTAINMENT</t>
  </si>
  <si>
    <t xml:space="preserve">RENTAL </t>
  </si>
  <si>
    <t>ROOMS</t>
  </si>
  <si>
    <t>STAFF MEAL</t>
  </si>
  <si>
    <t>PURCHASING TRIPS</t>
  </si>
  <si>
    <t>SALES &amp; MARKETING</t>
  </si>
  <si>
    <t xml:space="preserve">EXECUTIVE </t>
  </si>
  <si>
    <t>F.O</t>
  </si>
  <si>
    <t>F&amp;B SERVICE</t>
  </si>
  <si>
    <t>EMPLOYEES</t>
  </si>
  <si>
    <t>FUEL &amp; OIL</t>
  </si>
  <si>
    <t>PARKING FEE / FARE</t>
  </si>
  <si>
    <t>SSS</t>
  </si>
  <si>
    <t>CUSTOMER DEPOSIT</t>
  </si>
  <si>
    <t>AQUAMIRA</t>
  </si>
  <si>
    <t>SOTO DAVAO</t>
  </si>
  <si>
    <t>SOTO ILOILO</t>
  </si>
  <si>
    <t>CLUB MOROCCO</t>
  </si>
  <si>
    <t>STRADELLA</t>
  </si>
  <si>
    <t>SANTORINI</t>
  </si>
  <si>
    <t>LA BREZA</t>
  </si>
  <si>
    <t>VISTA MAR</t>
  </si>
  <si>
    <t>LA MIRADA</t>
  </si>
  <si>
    <t>ARTERRA</t>
  </si>
  <si>
    <t>TRADE</t>
  </si>
  <si>
    <t>MEDICINES</t>
  </si>
  <si>
    <t>V</t>
  </si>
  <si>
    <t>Dr</t>
  </si>
  <si>
    <t>Cr</t>
  </si>
  <si>
    <t>Description</t>
  </si>
  <si>
    <t>INPUT TAX</t>
  </si>
  <si>
    <t>EWT</t>
  </si>
  <si>
    <t>HOUSE FUND</t>
  </si>
  <si>
    <t>Memo:</t>
  </si>
  <si>
    <t>ROOM</t>
  </si>
  <si>
    <t>EMPLOYEES MEAL</t>
  </si>
  <si>
    <t>18958</t>
  </si>
  <si>
    <t>MAURICE MANAGO</t>
  </si>
  <si>
    <t xml:space="preserve">PHILIPPINE AIRLINES </t>
  </si>
  <si>
    <t>MACTAN INTERNATIONAL AIRPORT</t>
  </si>
  <si>
    <t>000-597-645-004</t>
  </si>
  <si>
    <t>CA/CEB/000000000266464</t>
  </si>
  <si>
    <t>STORAGE FEE</t>
  </si>
  <si>
    <t>CA/CEB/000000000266465</t>
  </si>
  <si>
    <t>CA/CEB/000000000261710</t>
  </si>
  <si>
    <t>CA/CEB/000000000227914</t>
  </si>
  <si>
    <t>CA/CEB/000000000258525</t>
  </si>
  <si>
    <t>18960</t>
  </si>
  <si>
    <t>KEITH YBANEZ</t>
  </si>
  <si>
    <t>MAXIM</t>
  </si>
  <si>
    <t>FARE</t>
  </si>
  <si>
    <t xml:space="preserve">NV </t>
  </si>
  <si>
    <t>NV</t>
  </si>
  <si>
    <t>TRANSPORTATION EXPENSE - FARE</t>
  </si>
  <si>
    <t>18961</t>
  </si>
  <si>
    <t>TOTAL PRO-TECH SOLUTIONS INC.</t>
  </si>
  <si>
    <t xml:space="preserve">BAKILID MANDAUE CITY </t>
  </si>
  <si>
    <t>466-092-154-00000</t>
  </si>
  <si>
    <t>CHECK UP CHARGE</t>
  </si>
  <si>
    <t>Other Operating Department</t>
  </si>
  <si>
    <t>REPAIR AND MAINTENANCE - OFFICE EQUIPMENT</t>
  </si>
  <si>
    <t>18962</t>
  </si>
  <si>
    <t>METRO GAISANO - LG GARDEN MACTAN</t>
  </si>
  <si>
    <t>MACTAN,LLC</t>
  </si>
  <si>
    <t>226-527-915-057</t>
  </si>
  <si>
    <t>GOLDEN MANGO PUREE 1KG</t>
  </si>
  <si>
    <t>INVENTORY FOOD</t>
  </si>
  <si>
    <t>SAVEMORE MACTAN</t>
  </si>
  <si>
    <t>IBO,LLC</t>
  </si>
  <si>
    <t>207-961-175-00021</t>
  </si>
  <si>
    <t>36-00236179</t>
  </si>
  <si>
    <t xml:space="preserve">COFFEE FILTER </t>
  </si>
  <si>
    <t>NESTEA ICETEA</t>
  </si>
  <si>
    <t xml:space="preserve">TANG POWDER PINEAPPLE </t>
  </si>
  <si>
    <t>BEEF TAPA</t>
  </si>
  <si>
    <t>INVENTORY PAPER</t>
  </si>
  <si>
    <t>In payment for 4 packs of coffee filter for storeroom using housefund received on August 09, 2025 with SI#36-00236179 PR#30098 RR# CPO#18962</t>
  </si>
  <si>
    <t>SUPER METRO MANDAUE</t>
  </si>
  <si>
    <t>IBABAO ESTANCIA, MANDAUE CITY</t>
  </si>
  <si>
    <t>226-527-915-015</t>
  </si>
  <si>
    <t xml:space="preserve">BLUE CHEESE </t>
  </si>
  <si>
    <t>FETA CHEESE</t>
  </si>
  <si>
    <t xml:space="preserve">BUTTERCUP </t>
  </si>
  <si>
    <t>TANG FOUR SEASON</t>
  </si>
  <si>
    <t>SELECTA FARM FRESH SAVERS PACK</t>
  </si>
  <si>
    <t>SELECTA FARM FRESH FAMILY PACK</t>
  </si>
  <si>
    <t>DM TOMATO SAUCE</t>
  </si>
  <si>
    <t>RAM TOMATO PASTE</t>
  </si>
  <si>
    <t>TANG ORANGE</t>
  </si>
  <si>
    <t>TANG MANGO</t>
  </si>
  <si>
    <t xml:space="preserve">S &amp; R </t>
  </si>
  <si>
    <t>MANDAUE CITY</t>
  </si>
  <si>
    <t>246-969-491-001</t>
  </si>
  <si>
    <t xml:space="preserve">BAGUETTE </t>
  </si>
  <si>
    <t>BURGER WHITE</t>
  </si>
  <si>
    <t xml:space="preserve">MARKET </t>
  </si>
  <si>
    <t xml:space="preserve">MEALS </t>
  </si>
  <si>
    <t xml:space="preserve">NV   </t>
  </si>
  <si>
    <t>EMPLOYEES MEAL- PURCHASHING TRIP</t>
  </si>
  <si>
    <t>INTERNATIONAL PHARMACEUTICALS INC.</t>
  </si>
  <si>
    <t>KASAMBAGAN CEBU CITY</t>
  </si>
  <si>
    <t>000-309-701-00000</t>
  </si>
  <si>
    <t>PALM OIL 17KG</t>
  </si>
  <si>
    <t>18964</t>
  </si>
  <si>
    <t>RECHIE CAPUA</t>
  </si>
  <si>
    <t>QUEEN-V PERSIHABLE FOOD DELIVERY SERVICES</t>
  </si>
  <si>
    <t>CORDOVA,CEBU CITY</t>
  </si>
  <si>
    <t>297-796-294-00001</t>
  </si>
  <si>
    <t>CLASSIC WHITE 600G</t>
  </si>
  <si>
    <t>HIGH FIBER WHEAT BREAD TS 600G</t>
  </si>
  <si>
    <t xml:space="preserve">PREMIUM PANDESAL </t>
  </si>
  <si>
    <t>18965</t>
  </si>
  <si>
    <t>SAVEMORE MARIBAGO</t>
  </si>
  <si>
    <t>OPON,LLC</t>
  </si>
  <si>
    <t>207-961-175-00078</t>
  </si>
  <si>
    <t>03-00307397</t>
  </si>
  <si>
    <t>ALASKA ALL PURPOSE CREAM</t>
  </si>
  <si>
    <t>18968</t>
  </si>
  <si>
    <t>RICHIE CAPUA</t>
  </si>
  <si>
    <t>5S DISTRIBUTORS, INC.</t>
  </si>
  <si>
    <t>TIPOLO MNADAUE CITY</t>
  </si>
  <si>
    <t>627-948-636-00000</t>
  </si>
  <si>
    <t xml:space="preserve">SAN REMO FETTUCINE </t>
  </si>
  <si>
    <t>SAN REMO SPAGHETTI</t>
  </si>
  <si>
    <t>18969</t>
  </si>
  <si>
    <t>KIMBERLY DEGAMO</t>
  </si>
  <si>
    <t xml:space="preserve">INSULAR SQUARE </t>
  </si>
  <si>
    <t>TABOK MANDAUE CITY</t>
  </si>
  <si>
    <t>406-456-345-00001</t>
  </si>
  <si>
    <t>PARKING FEE</t>
  </si>
  <si>
    <t>TRANSPO EXPENSE - PARKING FEE</t>
  </si>
  <si>
    <t>BPI</t>
  </si>
  <si>
    <t xml:space="preserve">MOBILE LOAD SOTO RESERVATION </t>
  </si>
  <si>
    <t>MOBILE LOAD SALES TELEMARKETING</t>
  </si>
  <si>
    <t xml:space="preserve">MOBILE LOAD SOTO FO </t>
  </si>
  <si>
    <t xml:space="preserve">MOBILE LOAD- MAAM RICHIE </t>
  </si>
  <si>
    <t>BANK CHARGE</t>
  </si>
  <si>
    <t>In payment for bank service charge using housefund received on August 09, 2025 with CPO#18969</t>
  </si>
  <si>
    <t>PAPSY'S BBQ INC.</t>
  </si>
  <si>
    <t>PAJO LLC</t>
  </si>
  <si>
    <t>493-008-795-000</t>
  </si>
  <si>
    <t>MEALS</t>
  </si>
  <si>
    <t>EMPLOYEES MEAL- STAFF MEAL</t>
  </si>
  <si>
    <t>TOP FOOD MACTAN CORPORATION</t>
  </si>
  <si>
    <t>MACTAN LLC</t>
  </si>
  <si>
    <t xml:space="preserve">GRAB </t>
  </si>
  <si>
    <t>A-87APVT7GWUJCAV</t>
  </si>
  <si>
    <t>GRAB FARE</t>
  </si>
  <si>
    <t>TRANSPO EXPENSE- FARE</t>
  </si>
  <si>
    <t>GRAB</t>
  </si>
  <si>
    <t>A-87ABL9QWWEEG8W</t>
  </si>
  <si>
    <t>TRANSPO EXPENSE - FARE</t>
  </si>
  <si>
    <t>18970</t>
  </si>
  <si>
    <t xml:space="preserve">WEL AND VIC KAN-ANAN </t>
  </si>
  <si>
    <t>400-636-325-00002</t>
  </si>
  <si>
    <t>MEAL</t>
  </si>
  <si>
    <t>EMPLOYEES MEAL- PURCH TRIP</t>
  </si>
  <si>
    <t>1ROTARY TRADING CORPORATION</t>
  </si>
  <si>
    <t>OPON, LLC</t>
  </si>
  <si>
    <t>006-864-709-00020</t>
  </si>
  <si>
    <t>FREON R134A</t>
  </si>
  <si>
    <t xml:space="preserve">REPAIR AND MAINTENANCE - REFRIGERATION </t>
  </si>
  <si>
    <t xml:space="preserve">COLOR SWATCH ENTERPRISES </t>
  </si>
  <si>
    <t>159-183-429-00010</t>
  </si>
  <si>
    <t>NIKKO WHITE</t>
  </si>
  <si>
    <t>REPAIR AND MAINTENANCE- ROOMS</t>
  </si>
  <si>
    <t>18972</t>
  </si>
  <si>
    <t>259-495-103-00000</t>
  </si>
  <si>
    <t xml:space="preserve">SAN REMO FETTUCCINE </t>
  </si>
  <si>
    <t xml:space="preserve">ANTONETTE PANGGO </t>
  </si>
  <si>
    <t>S</t>
  </si>
  <si>
    <t>18967</t>
  </si>
  <si>
    <t>WILCON DEPOT, INC.</t>
  </si>
  <si>
    <t>UMAPAD MANDAUE CITY</t>
  </si>
  <si>
    <t>009-192-878-023</t>
  </si>
  <si>
    <t>SHOWER  HEAD</t>
  </si>
  <si>
    <t>PAPER BAG MEDIUM</t>
  </si>
  <si>
    <t>PAPER BAG SMALL</t>
  </si>
  <si>
    <t>REPAIR AND MAINTENANCE - ROOM</t>
  </si>
  <si>
    <t>WILCON DEPOT, INC</t>
  </si>
  <si>
    <t xml:space="preserve">DOWNLIGHT WARM LIGHT </t>
  </si>
  <si>
    <t>MARKET</t>
  </si>
  <si>
    <t>LED DOWNLIGHT ROUND</t>
  </si>
  <si>
    <t>LAVARATORY FAUCET MIXER</t>
  </si>
  <si>
    <t>EMPLOYEES MEAL - PURCHASING TRIP</t>
  </si>
  <si>
    <t>18980</t>
  </si>
  <si>
    <t>MAAM RICHIE C/O SIR SORALTA</t>
  </si>
  <si>
    <t>CEBU CUBE ICE CORPORATION</t>
  </si>
  <si>
    <t>404-153-875-00002</t>
  </si>
  <si>
    <t xml:space="preserve">TUBE ICE </t>
  </si>
  <si>
    <t>18973</t>
  </si>
  <si>
    <t>TILAPIA 15KG</t>
  </si>
  <si>
    <t>18975</t>
  </si>
  <si>
    <t>PHILIPPINE AIRLINES</t>
  </si>
  <si>
    <t>CA/CEB/000000000268356</t>
  </si>
  <si>
    <t>CARGO</t>
  </si>
  <si>
    <t>CA/CEB/000000000268355</t>
  </si>
  <si>
    <t>CA/CEB/000000000268357</t>
  </si>
  <si>
    <t>18976</t>
  </si>
  <si>
    <t>F.O SOTO C/O JACKELYN</t>
  </si>
  <si>
    <t>ZEE'S LAUNDRY SERVICES</t>
  </si>
  <si>
    <t>615-185-394-00001</t>
  </si>
  <si>
    <t>LAUNDRY WASH &amp; DRY</t>
  </si>
  <si>
    <t>LAUNDRY EXPENSE- ROOM</t>
  </si>
  <si>
    <t>LAUNDRY WASH, DRY, &amp; FOLD</t>
  </si>
  <si>
    <t>LAUNDRY EXPENSE - ROOMS</t>
  </si>
  <si>
    <t>C</t>
  </si>
  <si>
    <t>18971</t>
  </si>
  <si>
    <t>ISLAND CENTRAL MACTAN</t>
  </si>
  <si>
    <t>IBO LAPULAPU CITY</t>
  </si>
  <si>
    <t xml:space="preserve">PARKING TICKET </t>
  </si>
  <si>
    <t>IBABAO MANDAUE CITY</t>
  </si>
  <si>
    <t xml:space="preserve">LYSOL DISINFECTANT </t>
  </si>
  <si>
    <t>MR DIY</t>
  </si>
  <si>
    <t xml:space="preserve">MACTAN LLC </t>
  </si>
  <si>
    <t>010-057-617-103</t>
  </si>
  <si>
    <t>WHITE LONG FOLDER</t>
  </si>
  <si>
    <t xml:space="preserve">METRO MANDAUE </t>
  </si>
  <si>
    <t>INVENTORY CLEANING</t>
  </si>
  <si>
    <t>18984</t>
  </si>
  <si>
    <t>BUSTAMANTE AXEL</t>
  </si>
  <si>
    <t>TOYOTA</t>
  </si>
  <si>
    <t>MARIGONDON LLC</t>
  </si>
  <si>
    <t>000-313-856-00006</t>
  </si>
  <si>
    <t>REPAIR AND MAINTENANCE - VEHICLE</t>
  </si>
  <si>
    <t>WASH, DRY, &amp; FOLD</t>
  </si>
  <si>
    <t>LAUNDRY EXPENSE- ROOMS</t>
  </si>
  <si>
    <t>WASH, DRY &amp; FOLD</t>
  </si>
  <si>
    <t>WASH</t>
  </si>
  <si>
    <t>18985</t>
  </si>
  <si>
    <t>ANTONETTE PANGGO</t>
  </si>
  <si>
    <t>METRO</t>
  </si>
  <si>
    <t>BREW COFFEE REGULAR</t>
  </si>
  <si>
    <t>18992</t>
  </si>
  <si>
    <t>HIGH FIBER WHEAT</t>
  </si>
  <si>
    <t>SOFT DELIGHT PANDESAL</t>
  </si>
  <si>
    <t>CLASSIC WHITE BREAD</t>
  </si>
  <si>
    <t>18989</t>
  </si>
  <si>
    <t>BIEN ESPELETA</t>
  </si>
  <si>
    <t>GOLDEN ARCHES DEVELOPMENT CORPORATION</t>
  </si>
  <si>
    <t>000121242-570</t>
  </si>
  <si>
    <t>A-88BT9JDWWT7QAV</t>
  </si>
  <si>
    <t>FOOD PANDA</t>
  </si>
  <si>
    <t>18995</t>
  </si>
  <si>
    <t>JESSEL BRIONES</t>
  </si>
  <si>
    <t>18998</t>
  </si>
  <si>
    <t>18997</t>
  </si>
  <si>
    <t>LBC EXPRESS INC</t>
  </si>
  <si>
    <t>000-782-140-00150</t>
  </si>
  <si>
    <t>CEA03244210</t>
  </si>
  <si>
    <t xml:space="preserve">SAVEMORE </t>
  </si>
  <si>
    <t>MARIBAGO LLC</t>
  </si>
  <si>
    <t>WATERMELON</t>
  </si>
  <si>
    <t>COGS-OOD</t>
  </si>
  <si>
    <t>TUBE ICE</t>
  </si>
  <si>
    <t xml:space="preserve">INVENTORY FOOD </t>
  </si>
  <si>
    <t>SAVEMORE</t>
  </si>
  <si>
    <t>PINEAPPLE</t>
  </si>
  <si>
    <t>18952</t>
  </si>
  <si>
    <t>010-057-617-00228</t>
  </si>
  <si>
    <t>ANGLE VALVE</t>
  </si>
  <si>
    <t>REPAIR AND MAINTENANCE- ROOM</t>
  </si>
  <si>
    <t>ROTARY TRADING CORPORATION</t>
  </si>
  <si>
    <t>FREON R32</t>
  </si>
  <si>
    <t>REPAIR AND MAINTENANCE- AIRCONDITIONING &amp; REFRIGERATION</t>
  </si>
  <si>
    <t>18955</t>
  </si>
  <si>
    <t>s</t>
  </si>
  <si>
    <t>18957</t>
  </si>
  <si>
    <t>06-00380001</t>
  </si>
  <si>
    <t>50169</t>
  </si>
  <si>
    <t>CHICKEN WHOLE</t>
  </si>
  <si>
    <t>MARIBAGO LLLC</t>
  </si>
  <si>
    <t>207-967-175-00078</t>
  </si>
  <si>
    <t>10-00183898</t>
  </si>
  <si>
    <t>50163</t>
  </si>
  <si>
    <t>SPANISH SARDINES</t>
  </si>
  <si>
    <t>50154</t>
  </si>
  <si>
    <t>SAN MIG LIGHT 330ML</t>
  </si>
  <si>
    <t>SAN MIG. APPLE 330ML</t>
  </si>
  <si>
    <t>INVENTORY BEVERAGES</t>
  </si>
  <si>
    <t>KINGS QUALITY FOODS INC</t>
  </si>
  <si>
    <t xml:space="preserve">PAKNAAN </t>
  </si>
  <si>
    <t>204-475-178-000</t>
  </si>
  <si>
    <t>50164</t>
  </si>
  <si>
    <t>CHICKEN SAUSAGE</t>
  </si>
  <si>
    <t>SAVEMORE MARKET</t>
  </si>
  <si>
    <t>03-00305617</t>
  </si>
  <si>
    <t>50151</t>
  </si>
  <si>
    <t>11-00308055</t>
  </si>
  <si>
    <t>50155</t>
  </si>
  <si>
    <t>PORK CASING</t>
  </si>
  <si>
    <t>34-00620206</t>
  </si>
  <si>
    <t>50156</t>
  </si>
  <si>
    <t>GARDENIA PANDESAL</t>
  </si>
  <si>
    <t>GARDENIA WHEAT BREAD</t>
  </si>
  <si>
    <t>METRO MANDAUE</t>
  </si>
  <si>
    <t>50157</t>
  </si>
  <si>
    <t>MOJITOS TEQUILA</t>
  </si>
  <si>
    <t>EL HOMBRE TEQUILA GOLD</t>
  </si>
  <si>
    <t>EL RANCHO CORNED BEEF</t>
  </si>
  <si>
    <t>GARDENIA WHEATBREAD</t>
  </si>
  <si>
    <t>GARDENIA WHITE BREAD</t>
  </si>
  <si>
    <t>KINGS QUALITY FOODS CEBU INC</t>
  </si>
  <si>
    <t>204-475-178-00017</t>
  </si>
  <si>
    <t>50159</t>
  </si>
  <si>
    <t>TAMARONG</t>
  </si>
  <si>
    <t>ssss</t>
  </si>
  <si>
    <t>EMPLOYEES MEAL- PURCHASING TRIP</t>
  </si>
  <si>
    <t>50142</t>
  </si>
  <si>
    <t>50141</t>
  </si>
  <si>
    <t>50147</t>
  </si>
  <si>
    <t>50146</t>
  </si>
  <si>
    <t xml:space="preserve"> </t>
  </si>
  <si>
    <t>50185</t>
  </si>
  <si>
    <t>50180</t>
  </si>
  <si>
    <t>50171</t>
  </si>
  <si>
    <t>50170</t>
  </si>
  <si>
    <t>50183</t>
  </si>
  <si>
    <t>50186</t>
  </si>
  <si>
    <t>50179</t>
  </si>
  <si>
    <t>50203</t>
  </si>
  <si>
    <t>50187</t>
  </si>
  <si>
    <t>50189</t>
  </si>
  <si>
    <t>50195</t>
  </si>
  <si>
    <t>50194</t>
  </si>
  <si>
    <t>50202</t>
  </si>
  <si>
    <t>50204</t>
  </si>
  <si>
    <t>50196</t>
  </si>
  <si>
    <t>50193</t>
  </si>
  <si>
    <t>18977</t>
  </si>
  <si>
    <t>11-00310458</t>
  </si>
  <si>
    <t>50208</t>
  </si>
  <si>
    <t>KNORR CREAM CORN</t>
  </si>
  <si>
    <t>SQUID</t>
  </si>
  <si>
    <t>SHRIMP</t>
  </si>
  <si>
    <t>H-MART PHILIPPINES COMMERCIAL</t>
  </si>
  <si>
    <t>608-102-089-000</t>
  </si>
  <si>
    <t>50209</t>
  </si>
  <si>
    <t>FRESH SHITAKI MUSHROOM</t>
  </si>
  <si>
    <t>34-00623701</t>
  </si>
  <si>
    <t>50210</t>
  </si>
  <si>
    <t>ANGEL EVAP</t>
  </si>
  <si>
    <t>KROPEK- FISH CRACKER</t>
  </si>
  <si>
    <t>NESTLE CUCUMBER LEMON</t>
  </si>
  <si>
    <t>555 SARDINES</t>
  </si>
  <si>
    <t>TOMATO KETCHUP</t>
  </si>
  <si>
    <t>PAPA BANANA KETCHUP</t>
  </si>
  <si>
    <t xml:space="preserve">KNORR SOUP MUSHROOM </t>
  </si>
  <si>
    <t>BF MAYO MAGIC</t>
  </si>
  <si>
    <t>GOODLIFE SESAME OIL</t>
  </si>
  <si>
    <t>CHICKEN BREAST</t>
  </si>
  <si>
    <t>SARI-SARI STORE</t>
  </si>
  <si>
    <t xml:space="preserve">SPRITE SAKTO </t>
  </si>
  <si>
    <t>18978</t>
  </si>
  <si>
    <t xml:space="preserve">MADILOUS MARKETING </t>
  </si>
  <si>
    <t>207-480-867-00002</t>
  </si>
  <si>
    <t>50206</t>
  </si>
  <si>
    <t>TRIGEM PAPER BOWL PLAIN</t>
  </si>
  <si>
    <t>WOODEN COFFEE STIRRER</t>
  </si>
  <si>
    <t>TRIGEM DOUBLE WALL CUPS</t>
  </si>
  <si>
    <t>STYRO CHICKEN BOX MEDIUM</t>
  </si>
  <si>
    <t>SARI SARI STORE</t>
  </si>
  <si>
    <t>COKE, SPRITE, ROYAL</t>
  </si>
  <si>
    <t>ROYAL</t>
  </si>
  <si>
    <t>VIRGINIA FOOD</t>
  </si>
  <si>
    <t>BUAYA LAPULAPU CITY</t>
  </si>
  <si>
    <t>000-260-162-00011</t>
  </si>
  <si>
    <t>50188</t>
  </si>
  <si>
    <t>TOCINO LADLAD</t>
  </si>
  <si>
    <t>18982</t>
  </si>
  <si>
    <t>CORDOVA SEAFOODS ATBP</t>
  </si>
  <si>
    <t>CORDOVA CEBU</t>
  </si>
  <si>
    <t>101-562-159-00000</t>
  </si>
  <si>
    <t>50144</t>
  </si>
  <si>
    <t>PORK SPARERIBS</t>
  </si>
  <si>
    <t>18983</t>
  </si>
  <si>
    <t>50175</t>
  </si>
  <si>
    <t>PORK SPARERIBS WHOLE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</si>
  <si>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</si>
  <si>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50220</t>
  </si>
  <si>
    <t>18986</t>
  </si>
  <si>
    <t>ANTONETTE PANGGO C/O RECHIE CAPUA</t>
  </si>
  <si>
    <t xml:space="preserve">CORDOVA CEBU </t>
  </si>
  <si>
    <t>50215</t>
  </si>
  <si>
    <t>PORK SPARE RIBS</t>
  </si>
  <si>
    <t>BANGUS BONELESS</t>
  </si>
  <si>
    <t>50235</t>
  </si>
  <si>
    <t>19002</t>
  </si>
  <si>
    <t xml:space="preserve">FO SOTO C/O JACKELYN </t>
  </si>
  <si>
    <t>LAUNDRY SERVICES</t>
  </si>
  <si>
    <t>MACTAN LAPULAPU CITY</t>
  </si>
  <si>
    <t>20848</t>
  </si>
  <si>
    <t>20851</t>
  </si>
  <si>
    <t>20852</t>
  </si>
  <si>
    <t>20853</t>
  </si>
  <si>
    <t>20854</t>
  </si>
  <si>
    <t>20855</t>
  </si>
  <si>
    <t>20856</t>
  </si>
  <si>
    <t>50158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</si>
  <si>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</si>
  <si>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</si>
  <si>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</si>
  <si>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</si>
  <si>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</si>
  <si>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</si>
  <si>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</si>
  <si>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</si>
  <si>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</si>
  <si>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</si>
  <si>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</si>
  <si>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</si>
  <si>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</si>
  <si>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</si>
  <si>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</si>
  <si>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</si>
  <si>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</si>
  <si>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</si>
  <si>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</si>
  <si>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</si>
  <si>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</si>
  <si>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20843</t>
  </si>
  <si>
    <t>20844</t>
  </si>
  <si>
    <t>20845</t>
  </si>
  <si>
    <t>20846</t>
  </si>
  <si>
    <t>20847</t>
  </si>
  <si>
    <t>20849</t>
  </si>
  <si>
    <t>20850</t>
  </si>
  <si>
    <t>=I13:I15</t>
  </si>
  <si>
    <t>18963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</si>
  <si>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</si>
  <si>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</si>
  <si>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</si>
  <si>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</si>
  <si>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</si>
  <si>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</si>
  <si>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</si>
  <si>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</si>
  <si>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</si>
  <si>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</si>
  <si>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</si>
  <si>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</si>
  <si>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</si>
  <si>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</si>
  <si>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13/19/2025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</si>
  <si>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</si>
  <si>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</si>
  <si>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</si>
  <si>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</si>
  <si>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</si>
  <si>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</si>
  <si>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</si>
  <si>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</si>
  <si>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</si>
  <si>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</si>
  <si>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</si>
  <si>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</si>
  <si>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</si>
  <si>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</si>
  <si>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</si>
  <si>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</si>
  <si>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</si>
  <si>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</si>
  <si>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</si>
  <si>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</si>
  <si>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</si>
  <si>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</si>
  <si>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</si>
  <si>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</si>
  <si>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50205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</si>
  <si>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</si>
  <si>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</si>
  <si>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</si>
  <si>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</si>
  <si>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</si>
  <si>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</si>
  <si>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</si>
  <si>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</si>
  <si>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20928</t>
  </si>
  <si>
    <t>20927</t>
  </si>
  <si>
    <t>18979</t>
  </si>
  <si>
    <t>MEGAN DUROPAN</t>
  </si>
  <si>
    <t>META PLATFORMS</t>
  </si>
  <si>
    <t>IRELAND</t>
  </si>
  <si>
    <t>FB ADS &amp; TIKTOK ADS</t>
  </si>
  <si>
    <t>18990</t>
  </si>
  <si>
    <t>JACKELYN ABORDO</t>
  </si>
  <si>
    <t>AMREL BEAUTY AND MASSAGE</t>
  </si>
  <si>
    <t>266-242-707-00000</t>
  </si>
  <si>
    <t>SWEDISH</t>
  </si>
  <si>
    <t>COGS- OOD</t>
  </si>
  <si>
    <t>BANKAL LLC</t>
  </si>
  <si>
    <t>MASSAGE</t>
  </si>
  <si>
    <t>50225</t>
  </si>
  <si>
    <t>QUEEN V PERISHABLE FOOD DELIVERY SERVICES</t>
  </si>
  <si>
    <t>CA/CEB/000000000269394</t>
  </si>
  <si>
    <t xml:space="preserve">CARGO </t>
  </si>
  <si>
    <t>MACTAN MARINA LLC</t>
  </si>
  <si>
    <t>000-762-140-00150</t>
  </si>
  <si>
    <t>LBC</t>
  </si>
  <si>
    <t xml:space="preserve">MACTAN INTERNATIONAL AIRPORT </t>
  </si>
  <si>
    <t>CA/CEB/000000000269395</t>
  </si>
  <si>
    <t>DFAC- SOTO ILOILO</t>
  </si>
  <si>
    <t xml:space="preserve">19001 </t>
  </si>
  <si>
    <t xml:space="preserve">CHOWKING </t>
  </si>
  <si>
    <t>MACTAN ISLAND MALL LLC</t>
  </si>
  <si>
    <t>A-88VCH6AWWCNVAV</t>
  </si>
  <si>
    <t>19007</t>
  </si>
  <si>
    <t>ATTY JOSE LIMALIMA</t>
  </si>
  <si>
    <t>PUSOK LLC</t>
  </si>
  <si>
    <t>477-793-045-00000</t>
  </si>
  <si>
    <t>19012</t>
  </si>
  <si>
    <t xml:space="preserve">MASSAGE </t>
  </si>
  <si>
    <t>ZEES LAUNDRY SERVICES</t>
  </si>
  <si>
    <t>19013</t>
  </si>
  <si>
    <t>ALTECE MACTAN WATER TESTING LABORATORY</t>
  </si>
  <si>
    <t>225-390-950-00002</t>
  </si>
  <si>
    <t>ROOM WATER TESTING</t>
  </si>
  <si>
    <t>FAUCET WATER TESTING</t>
  </si>
  <si>
    <t>GALLOON</t>
  </si>
  <si>
    <t>19018</t>
  </si>
  <si>
    <t>MARY ROSE TANGAHA</t>
  </si>
  <si>
    <t>YVONNE MARIE SERATE</t>
  </si>
  <si>
    <t>238-318-101-000</t>
  </si>
  <si>
    <t xml:space="preserve">LEGAL SERVICES </t>
  </si>
  <si>
    <t xml:space="preserve">MARY ROSE TANGAHA </t>
  </si>
  <si>
    <t>A-890KAMOGWD2FAV</t>
  </si>
  <si>
    <t>19020</t>
  </si>
  <si>
    <t xml:space="preserve">BASTIES SERVICES </t>
  </si>
  <si>
    <t>303-696-376-000</t>
  </si>
  <si>
    <t>LAUNDRY</t>
  </si>
  <si>
    <t>BASTIES LAUNDRY SERVICES</t>
  </si>
  <si>
    <t>19027</t>
  </si>
  <si>
    <t>COCONUT</t>
  </si>
  <si>
    <t>50228</t>
  </si>
  <si>
    <t>NESTEA LEMON</t>
  </si>
  <si>
    <t>ZANG GULAMAN GREEN</t>
  </si>
  <si>
    <t>FIDEL IODIZED SALT</t>
  </si>
  <si>
    <t>METRO GAISANO</t>
  </si>
  <si>
    <t>BANANA CARDAVA</t>
  </si>
  <si>
    <t>19028</t>
  </si>
  <si>
    <t xml:space="preserve">RECHIE CAPUA </t>
  </si>
  <si>
    <t>50140</t>
  </si>
  <si>
    <t>19030</t>
  </si>
  <si>
    <t>CEA03244562</t>
  </si>
  <si>
    <t>009-373-084-00000</t>
  </si>
  <si>
    <t>19032</t>
  </si>
  <si>
    <t>FAST FOOD CHAIN</t>
  </si>
  <si>
    <t>MARINA MACTAN LLC</t>
  </si>
  <si>
    <t>226-117-642-000</t>
  </si>
  <si>
    <t xml:space="preserve">KIMBERLY DEGAMO </t>
  </si>
  <si>
    <t>CHOWKING</t>
  </si>
  <si>
    <t>000-333-173-00804</t>
  </si>
  <si>
    <t>CK3144</t>
  </si>
  <si>
    <t>COAST PACIFIC GOLDEN MILESTONE CORPORATION</t>
  </si>
  <si>
    <t>470-388-171-00002</t>
  </si>
  <si>
    <t>18991</t>
  </si>
  <si>
    <t xml:space="preserve">METRO GAISANO </t>
  </si>
  <si>
    <t>50217</t>
  </si>
  <si>
    <t>ALASKA ALL PURPOSE CREMA</t>
  </si>
  <si>
    <t>MAGNOLIA BUTTER</t>
  </si>
  <si>
    <t>EDEN CHEESE</t>
  </si>
  <si>
    <t xml:space="preserve">WILD FOREST HONEY </t>
  </si>
  <si>
    <t>PENCILS</t>
  </si>
  <si>
    <t>50218</t>
  </si>
  <si>
    <t>JACKFRUIT RIPE</t>
  </si>
  <si>
    <t>CHONY FRUIT STAND</t>
  </si>
  <si>
    <t>19038</t>
  </si>
  <si>
    <t xml:space="preserve">CRISTY </t>
  </si>
  <si>
    <t>19033</t>
  </si>
  <si>
    <t>RCG FOODS VENTURES CORP</t>
  </si>
  <si>
    <t>628684597-00001</t>
  </si>
  <si>
    <t>OTHER EXPENSES- A&amp;G</t>
  </si>
  <si>
    <t>18994</t>
  </si>
  <si>
    <t>FRESH EGGS</t>
  </si>
  <si>
    <t>MELON</t>
  </si>
  <si>
    <t>FAMILY SARDINES</t>
  </si>
  <si>
    <t>20-00008278</t>
  </si>
  <si>
    <t>SWEET CORN</t>
  </si>
  <si>
    <t>POTATO</t>
  </si>
  <si>
    <t>CARROTS</t>
  </si>
  <si>
    <t>SALT</t>
  </si>
  <si>
    <t>SPAGHETTI</t>
  </si>
  <si>
    <t>FETTUCINE</t>
  </si>
  <si>
    <t>PAPAYA</t>
  </si>
  <si>
    <t>19035</t>
  </si>
  <si>
    <t>M.L QUEZON HWAY MACTAN</t>
  </si>
  <si>
    <t>5305</t>
  </si>
  <si>
    <t>UFC BANANA CATSUP</t>
  </si>
  <si>
    <t xml:space="preserve">STAR ANISE </t>
  </si>
  <si>
    <t>JOLLY SALTED BLACK BEANS</t>
  </si>
  <si>
    <t>19029</t>
  </si>
  <si>
    <t>JHONABELLE SABILITA</t>
  </si>
  <si>
    <t>404-875-00002</t>
  </si>
  <si>
    <t>5277</t>
  </si>
  <si>
    <t>19036</t>
  </si>
  <si>
    <t>5304</t>
  </si>
  <si>
    <t>HOUSEKEEPING- ON CALL</t>
  </si>
  <si>
    <t>POMEC- ON CALL</t>
  </si>
  <si>
    <t>SALARIES &amp; WAGES- HOUSEKEEPING</t>
  </si>
  <si>
    <t>SALARIES &amp; WAGES- POMEC</t>
  </si>
  <si>
    <t>POMEC ON CALL</t>
  </si>
  <si>
    <t>In payment for salaries and wages of on call employee for the period of August 24-30, 2025 using housefund received on August 30, 2025</t>
  </si>
  <si>
    <t>MARINA MALL LLC</t>
  </si>
  <si>
    <t>LBC CARGO</t>
  </si>
  <si>
    <t>POSTAGE TELEPAX &amp; TELEPHONE</t>
  </si>
  <si>
    <t>CORDOVA LINK EXPRESSWAY CORPORATION</t>
  </si>
  <si>
    <t>13114520-C</t>
  </si>
  <si>
    <t>TRANSPO- FARE</t>
  </si>
  <si>
    <t>12999337-C</t>
  </si>
  <si>
    <t>13115319-C</t>
  </si>
  <si>
    <t>IE9692928F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</si>
  <si>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</si>
  <si>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</si>
  <si>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</si>
  <si>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</si>
  <si>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</si>
  <si>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</si>
  <si>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</si>
  <si>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</si>
  <si>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</si>
  <si>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</si>
  <si>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</si>
  <si>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</si>
  <si>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</si>
  <si>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</si>
  <si>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</si>
  <si>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</si>
  <si>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</si>
  <si>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</si>
  <si>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</si>
  <si>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</si>
  <si>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</si>
  <si>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</si>
  <si>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</si>
  <si>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</si>
  <si>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</si>
  <si>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</si>
  <si>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</si>
  <si>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</si>
  <si>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</si>
  <si>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</si>
  <si>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</si>
  <si>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</si>
  <si>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</si>
  <si>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</si>
  <si>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</si>
  <si>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</si>
  <si>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</si>
  <si>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</si>
  <si>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</si>
  <si>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</si>
  <si>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</si>
  <si>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DFAC- SOTO ILOILO/AR</t>
  </si>
  <si>
    <t>DFAC- SOTO DAVAO/AR</t>
  </si>
  <si>
    <t>DFAC- AQUAMIRA/AR</t>
  </si>
  <si>
    <t>DFAC- CLUB MOROCCO/AR</t>
  </si>
  <si>
    <t>DFAC- SANTORINI/AR</t>
  </si>
  <si>
    <t xml:space="preserve">DFAC- STRADELLA/AR </t>
  </si>
  <si>
    <t>DFAC- LA BREZA/AR</t>
  </si>
  <si>
    <t>In payment for cargo of CV from cebu to manila using housefund received on August 18, 2025 with SI#CA/CEB/00000000046142 CPO#18995</t>
  </si>
  <si>
    <t>19045</t>
  </si>
  <si>
    <t>19046</t>
  </si>
  <si>
    <t>18993</t>
  </si>
  <si>
    <t>MARY JANE OBRADOR</t>
  </si>
  <si>
    <t>MACTAN LAPU LAPU CITY</t>
  </si>
  <si>
    <t>50233</t>
  </si>
  <si>
    <t>TAXI</t>
  </si>
  <si>
    <t>455-929-768</t>
  </si>
  <si>
    <t>TAXI FARE</t>
  </si>
  <si>
    <t>03-00307800</t>
  </si>
  <si>
    <t>50231</t>
  </si>
  <si>
    <t>PINEAPPLE RIPE</t>
  </si>
  <si>
    <t>FERN YEAST</t>
  </si>
  <si>
    <t xml:space="preserve">MANGO RIPE </t>
  </si>
  <si>
    <t>PAPAYA RIPE</t>
  </si>
  <si>
    <t>EGG</t>
  </si>
  <si>
    <t>18999</t>
  </si>
  <si>
    <t>07-961-175-00078</t>
  </si>
  <si>
    <t>03-00311205</t>
  </si>
  <si>
    <t>SWT BAGOONG</t>
  </si>
  <si>
    <t>LITA STORE</t>
  </si>
  <si>
    <t>5251</t>
  </si>
  <si>
    <t>JIGA FARMS WHOLESALE/RETAIL</t>
  </si>
  <si>
    <t>5250</t>
  </si>
  <si>
    <t>BELL PEPPER</t>
  </si>
  <si>
    <t>MADILOUS MARKETING</t>
  </si>
  <si>
    <t>5247</t>
  </si>
  <si>
    <t xml:space="preserve">ALL PURPOSE FLOUR </t>
  </si>
  <si>
    <t xml:space="preserve">CAKE FLOUR </t>
  </si>
  <si>
    <t>BAKING POWDER</t>
  </si>
  <si>
    <t>5248</t>
  </si>
  <si>
    <t>PORK FRENCHED BONE</t>
  </si>
  <si>
    <t>SESAME OIL</t>
  </si>
  <si>
    <t>CORNSTARCH</t>
  </si>
  <si>
    <t>COCO MAMA FRESH GATA</t>
  </si>
  <si>
    <t>PANCIT CANTON</t>
  </si>
  <si>
    <t>VERMICELLI</t>
  </si>
  <si>
    <t>19000</t>
  </si>
  <si>
    <t>EMLORE ENTERPRISES</t>
  </si>
  <si>
    <t>181-109-875-00000</t>
  </si>
  <si>
    <t>STRANDED WIRE</t>
  </si>
  <si>
    <t>HOSE</t>
  </si>
  <si>
    <t>1ROTARY TRADING CORP</t>
  </si>
  <si>
    <t>006-864-709-00017</t>
  </si>
  <si>
    <t>50253</t>
  </si>
  <si>
    <t>COPPER TB NSOFT DRAWN 1/4</t>
  </si>
  <si>
    <t>COPPER TB NSOFT DRAWN 1/2</t>
  </si>
  <si>
    <t>N5LTN WHITE 4</t>
  </si>
  <si>
    <t>WILCON DEPOT INC</t>
  </si>
  <si>
    <t>50254</t>
  </si>
  <si>
    <t>3M TEMFLEX 160</t>
  </si>
  <si>
    <t>19005</t>
  </si>
  <si>
    <t>ATSUSHI SAITO</t>
  </si>
  <si>
    <t>SPARK CLEAN LAUNDRY</t>
  </si>
  <si>
    <t>FABRIC COLOGNE</t>
  </si>
  <si>
    <t>19006</t>
  </si>
  <si>
    <t>19008</t>
  </si>
  <si>
    <t>SANDO BAG NON WOVEN</t>
  </si>
  <si>
    <t>SELECTA FARM FRESH SAVERS</t>
  </si>
  <si>
    <t xml:space="preserve">METRO </t>
  </si>
  <si>
    <t>HOLIDAY CORNED BEEF</t>
  </si>
  <si>
    <t>ALASKA CONDENSADA</t>
  </si>
  <si>
    <t xml:space="preserve">BUTTERCUP SAVERS PACK </t>
  </si>
  <si>
    <t>32-00422024</t>
  </si>
  <si>
    <t xml:space="preserve">SELECTA FARM FRESH </t>
  </si>
  <si>
    <t>MANARF WHITE</t>
  </si>
  <si>
    <t>5255</t>
  </si>
  <si>
    <t>CUTTY SHARK 8X2W PLASTIC</t>
  </si>
  <si>
    <t>EMPLOYEE MEAL- PURCHASING TRIP</t>
  </si>
  <si>
    <t>19010</t>
  </si>
  <si>
    <t>ALFREDO BOOC</t>
  </si>
  <si>
    <t>C&amp;N'S LPG TRADING</t>
  </si>
  <si>
    <t>19011</t>
  </si>
  <si>
    <t>SOONG WET MARKET</t>
  </si>
  <si>
    <t>5261</t>
  </si>
  <si>
    <t xml:space="preserve">FRESH EGGS </t>
  </si>
  <si>
    <t>COLOR SWATCH</t>
  </si>
  <si>
    <t>5266</t>
  </si>
  <si>
    <t>PYLOX NIKKO WHITE</t>
  </si>
  <si>
    <t>19017</t>
  </si>
  <si>
    <t>SAAC MARKET</t>
  </si>
  <si>
    <t>SAAC LLC</t>
  </si>
  <si>
    <t>PASAYAN</t>
  </si>
  <si>
    <t>NOKUS</t>
  </si>
  <si>
    <t>PECHAY</t>
  </si>
  <si>
    <t>SILI LABUYO</t>
  </si>
  <si>
    <t>BROCOLLI</t>
  </si>
  <si>
    <t>CAULI FLOWER</t>
  </si>
  <si>
    <t>07-00232221</t>
  </si>
  <si>
    <t>ANGEL EVAPORADA</t>
  </si>
  <si>
    <t>JOLLY CORN CUT</t>
  </si>
  <si>
    <t xml:space="preserve">JOLLY CORN </t>
  </si>
  <si>
    <t xml:space="preserve">SMART CRAB STICK </t>
  </si>
  <si>
    <t>MARBY SQUID BALL</t>
  </si>
  <si>
    <t>SHINE SAGO BIG</t>
  </si>
  <si>
    <t>TAPIOCA PEARL</t>
  </si>
  <si>
    <t>19021</t>
  </si>
  <si>
    <t xml:space="preserve">PAPAYA </t>
  </si>
  <si>
    <t>TOMATO</t>
  </si>
  <si>
    <t>N V</t>
  </si>
  <si>
    <t>19025</t>
  </si>
  <si>
    <t>GL COCOMART &amp; GENERAL MERCHANDISING</t>
  </si>
  <si>
    <t>171-981-221-00000</t>
  </si>
  <si>
    <t>DUCT TAPE</t>
  </si>
  <si>
    <t>19031</t>
  </si>
  <si>
    <t>INTERNATIONAL PHARMACEUTICALS INC</t>
  </si>
  <si>
    <t>00-309-701-00000</t>
  </si>
  <si>
    <t>5278</t>
  </si>
  <si>
    <t>S.V PALM OIL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</si>
  <si>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</si>
  <si>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</si>
  <si>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</si>
  <si>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</si>
  <si>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</si>
  <si>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</si>
  <si>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</si>
  <si>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</si>
  <si>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</si>
  <si>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</si>
  <si>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</si>
  <si>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</si>
  <si>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</si>
  <si>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</si>
  <si>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</si>
  <si>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</si>
  <si>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</si>
  <si>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</si>
  <si>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</si>
  <si>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</si>
  <si>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</si>
  <si>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</si>
  <si>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</si>
  <si>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</si>
  <si>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</si>
  <si>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</si>
  <si>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</si>
  <si>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</si>
  <si>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</si>
  <si>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21015</t>
  </si>
  <si>
    <t>21013</t>
  </si>
  <si>
    <t>21012</t>
  </si>
  <si>
    <t>21011</t>
  </si>
  <si>
    <t>21010</t>
  </si>
  <si>
    <t>21009</t>
  </si>
  <si>
    <t>21008</t>
  </si>
  <si>
    <t>21007</t>
  </si>
  <si>
    <t>21006</t>
  </si>
  <si>
    <t>21005</t>
  </si>
  <si>
    <t>21004</t>
  </si>
  <si>
    <t>21003</t>
  </si>
  <si>
    <t>21002</t>
  </si>
  <si>
    <t>21001</t>
  </si>
  <si>
    <t>21000</t>
  </si>
  <si>
    <t>20999</t>
  </si>
  <si>
    <t>21014</t>
  </si>
  <si>
    <t>PCV#20970-21015</t>
  </si>
  <si>
    <t>INVENTORY  FOOD</t>
  </si>
  <si>
    <t>OTHER EXPENSES- 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</si>
</sst>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[$-409]d\-mmm\-yy;@"/>
    <numFmt numFmtId="165" formatCode="_(* #,##0.00_);_(* \(#,##0.00\);_(* &quot;-&quot;??_);_(@_)"/>
    <numFmt numFmtId="166" formatCode="[$-3409]dd\-mmm\-yy;@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color rgb="FF0000FF"/>
      <name val="Calibri"/>
      <family val="2"/>
      <scheme val="minor"/>
    </font>
    <font>
      <b/>
      <sz val="8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3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8"/>
      <color rgb="FFFF0000"/>
      <name val="Calibri"/>
      <family val="2"/>
      <scheme val="minor"/>
    </font>
    <font>
      <b/>
      <sz val="8"/>
      <name val="Arial"/>
      <family val="2"/>
    </font>
    <font>
      <b/>
      <sz val="8"/>
      <color rgb="FFC00000"/>
      <name val="Calibri"/>
      <family val="2"/>
      <scheme val="minor"/>
    </font>
    <font>
      <sz val="8"/>
      <color indexed="8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002060"/>
      <name val="Calibri"/>
      <family val="2"/>
      <scheme val="minor"/>
    </font>
    <font>
      <b/>
      <sz val="10"/>
      <color rgb="FF17365D"/>
      <name val="Calibri"/>
      <family val="2"/>
      <scheme val="minor"/>
    </font>
    <font>
      <b/>
      <sz val="10"/>
      <color indexed="8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6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0D1"/>
        <bgColor indexed="64"/>
      </patternFill>
    </fill>
    <fill>
      <patternFill patternType="solid">
        <fgColor rgb="FFC1BAA1"/>
        <bgColor rgb="FFFFFF00"/>
      </patternFill>
    </fill>
    <fill>
      <patternFill patternType="solid">
        <fgColor rgb="FFC1BAA1"/>
        <bgColor indexed="64"/>
      </patternFill>
    </fill>
    <fill>
      <patternFill patternType="solid">
        <fgColor rgb="FFA59D8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4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 style="thin">
        <color indexed="64"/>
      </bottom>
      <diagonal/>
    </border>
    <border>
      <left/>
      <right style="thin">
        <color rgb="FF000000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1">
    <xf numFmtId="0" fontId="0" fillId="0" borderId="0"/>
    <xf numFmtId="43" fontId="1" fillId="0" borderId="0" applyFont="0" applyFill="0" applyBorder="0" applyAlignment="0" applyProtection="0"/>
    <xf numFmtId="0" fontId="1" fillId="0" borderId="0"/>
    <xf numFmtId="0" fontId="5" fillId="0" borderId="0"/>
    <xf numFmtId="165" fontId="5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</cellStyleXfs>
  <cellXfs count="285">
    <xf numFmtId="0" fontId="0" fillId="0" borderId="0" xfId="0"/>
    <xf numFmtId="2" fontId="6" fillId="0" borderId="0" xfId="3" applyNumberFormat="1" applyFont="1" applyAlignment="1">
      <alignment horizontal="center" vertical="center"/>
    </xf>
    <xf numFmtId="166" fontId="10" fillId="0" borderId="36" xfId="3" applyNumberFormat="1" applyFont="1" applyBorder="1" applyAlignment="1">
      <alignment horizontal="center" vertical="center"/>
    </xf>
    <xf numFmtId="49" fontId="2" fillId="0" borderId="36" xfId="8" quotePrefix="1" applyNumberFormat="1" applyFont="1" applyFill="1" applyBorder="1" applyAlignment="1">
      <alignment horizontal="center" vertical="center"/>
    </xf>
    <xf numFmtId="49" fontId="3" fillId="0" borderId="36" xfId="8" quotePrefix="1" applyNumberFormat="1" applyFont="1" applyFill="1" applyBorder="1" applyAlignment="1">
      <alignment horizontal="center" vertical="center"/>
    </xf>
    <xf numFmtId="0" fontId="10" fillId="0" borderId="36" xfId="3" applyFont="1" applyBorder="1" applyAlignment="1">
      <alignment vertical="center"/>
    </xf>
    <xf numFmtId="166" fontId="11" fillId="0" borderId="37" xfId="9" applyNumberFormat="1" applyFont="1" applyBorder="1" applyAlignment="1">
      <alignment horizontal="left"/>
    </xf>
    <xf numFmtId="16" fontId="11" fillId="0" borderId="37" xfId="9" applyNumberFormat="1" applyFont="1" applyBorder="1"/>
    <xf numFmtId="0" fontId="11" fillId="0" borderId="37" xfId="6" applyFont="1" applyBorder="1" applyAlignment="1">
      <alignment horizontal="left"/>
    </xf>
    <xf numFmtId="1" fontId="12" fillId="0" borderId="36" xfId="0" applyNumberFormat="1" applyFont="1" applyBorder="1"/>
    <xf numFmtId="49" fontId="2" fillId="0" borderId="36" xfId="10" quotePrefix="1" applyNumberFormat="1" applyFont="1" applyFill="1" applyBorder="1" applyAlignment="1">
      <alignment horizontal="center" vertical="center"/>
    </xf>
    <xf numFmtId="0" fontId="10" fillId="0" borderId="36" xfId="6" applyFont="1" applyBorder="1" applyAlignment="1">
      <alignment vertical="top"/>
    </xf>
    <xf numFmtId="2" fontId="10" fillId="0" borderId="36" xfId="3" applyNumberFormat="1" applyFont="1" applyBorder="1" applyAlignment="1">
      <alignment horizontal="center" vertical="center"/>
    </xf>
    <xf numFmtId="165" fontId="10" fillId="0" borderId="36" xfId="5" applyFont="1" applyFill="1" applyBorder="1" applyAlignment="1">
      <alignment horizontal="right" vertical="center" wrapText="1"/>
    </xf>
    <xf numFmtId="43" fontId="10" fillId="0" borderId="36" xfId="1" applyFont="1" applyFill="1" applyBorder="1" applyAlignment="1">
      <alignment vertical="center"/>
    </xf>
    <xf numFmtId="165" fontId="2" fillId="0" borderId="36" xfId="4" applyFont="1" applyFill="1" applyBorder="1" applyAlignment="1">
      <alignment vertical="center"/>
    </xf>
    <xf numFmtId="0" fontId="10" fillId="0" borderId="36" xfId="3" applyFont="1" applyBorder="1" applyAlignment="1">
      <alignment horizontal="center" vertical="center"/>
    </xf>
    <xf numFmtId="43" fontId="10" fillId="0" borderId="36" xfId="3" applyNumberFormat="1" applyFont="1" applyBorder="1" applyAlignment="1">
      <alignment vertical="center"/>
    </xf>
    <xf numFmtId="165" fontId="10" fillId="0" borderId="36" xfId="4" applyFont="1" applyFill="1" applyBorder="1"/>
    <xf numFmtId="165" fontId="10" fillId="0" borderId="36" xfId="4" applyFont="1" applyFill="1" applyBorder="1" applyAlignment="1">
      <alignment vertical="center"/>
    </xf>
    <xf numFmtId="43" fontId="10" fillId="0" borderId="36" xfId="3" applyNumberFormat="1" applyFont="1" applyBorder="1" applyAlignment="1">
      <alignment horizontal="left" vertical="center"/>
    </xf>
    <xf numFmtId="165" fontId="10" fillId="0" borderId="36" xfId="5" applyFont="1" applyFill="1" applyBorder="1" applyAlignment="1">
      <alignment horizontal="left" vertical="center"/>
    </xf>
    <xf numFmtId="43" fontId="10" fillId="0" borderId="36" xfId="0" applyNumberFormat="1" applyFont="1" applyBorder="1" applyAlignment="1">
      <alignment vertical="center"/>
    </xf>
    <xf numFmtId="165" fontId="10" fillId="0" borderId="36" xfId="3" applyNumberFormat="1" applyFont="1" applyBorder="1" applyAlignment="1">
      <alignment vertical="center"/>
    </xf>
    <xf numFmtId="165" fontId="10" fillId="0" borderId="36" xfId="5" applyFont="1" applyFill="1" applyBorder="1" applyAlignment="1">
      <alignment vertical="center"/>
    </xf>
    <xf numFmtId="165" fontId="6" fillId="0" borderId="36" xfId="5" applyFont="1" applyFill="1" applyBorder="1" applyAlignment="1">
      <alignment horizontal="left" vertical="center"/>
    </xf>
    <xf numFmtId="43" fontId="6" fillId="0" borderId="36" xfId="3" applyNumberFormat="1" applyFont="1" applyBorder="1" applyAlignment="1">
      <alignment vertical="center"/>
    </xf>
    <xf numFmtId="166" fontId="2" fillId="5" borderId="37" xfId="3" applyNumberFormat="1" applyFont="1" applyFill="1" applyBorder="1" applyAlignment="1">
      <alignment horizontal="center" vertical="center"/>
    </xf>
    <xf numFmtId="49" fontId="13" fillId="5" borderId="37" xfId="8" quotePrefix="1" applyNumberFormat="1" applyFont="1" applyFill="1" applyBorder="1" applyAlignment="1">
      <alignment horizontal="center" vertical="center"/>
    </xf>
    <xf numFmtId="49" fontId="2" fillId="5" borderId="37" xfId="8" quotePrefix="1" applyNumberFormat="1" applyFont="1" applyFill="1" applyBorder="1" applyAlignment="1">
      <alignment horizontal="center" vertical="center"/>
    </xf>
    <xf numFmtId="0" fontId="2" fillId="5" borderId="37" xfId="3" applyFont="1" applyFill="1" applyBorder="1" applyAlignment="1">
      <alignment vertical="center"/>
    </xf>
    <xf numFmtId="166" fontId="2" fillId="5" borderId="37" xfId="9" applyNumberFormat="1" applyFont="1" applyFill="1" applyBorder="1" applyAlignment="1">
      <alignment horizontal="left"/>
    </xf>
    <xf numFmtId="16" fontId="2" fillId="5" borderId="37" xfId="9" applyNumberFormat="1" applyFont="1" applyFill="1" applyBorder="1"/>
    <xf numFmtId="0" fontId="2" fillId="5" borderId="37" xfId="6" applyFont="1" applyFill="1" applyBorder="1" applyAlignment="1">
      <alignment horizontal="left"/>
    </xf>
    <xf numFmtId="49" fontId="2" fillId="5" borderId="37" xfId="10" quotePrefix="1" applyNumberFormat="1" applyFont="1" applyFill="1" applyBorder="1" applyAlignment="1">
      <alignment horizontal="center" vertical="center"/>
    </xf>
    <xf numFmtId="0" fontId="2" fillId="5" borderId="37" xfId="6" applyFont="1" applyFill="1" applyBorder="1" applyAlignment="1">
      <alignment vertical="top"/>
    </xf>
    <xf numFmtId="2" fontId="2" fillId="5" borderId="37" xfId="3" applyNumberFormat="1" applyFont="1" applyFill="1" applyBorder="1" applyAlignment="1">
      <alignment horizontal="center" vertical="center"/>
    </xf>
    <xf numFmtId="165" fontId="2" fillId="5" borderId="37" xfId="5" applyFont="1" applyFill="1" applyBorder="1" applyAlignment="1">
      <alignment horizontal="right" vertical="center" wrapText="1"/>
    </xf>
    <xf numFmtId="43" fontId="2" fillId="5" borderId="37" xfId="1" applyFont="1" applyFill="1" applyBorder="1" applyAlignment="1">
      <alignment vertical="center"/>
    </xf>
    <xf numFmtId="43" fontId="2" fillId="5" borderId="37" xfId="1" applyFont="1" applyFill="1" applyBorder="1" applyAlignment="1">
      <alignment horizontal="center" vertical="center"/>
    </xf>
    <xf numFmtId="43" fontId="7" fillId="5" borderId="37" xfId="3" applyNumberFormat="1" applyFont="1" applyFill="1" applyBorder="1" applyAlignment="1">
      <alignment vertical="center"/>
    </xf>
    <xf numFmtId="166" fontId="14" fillId="0" borderId="37" xfId="6" applyNumberFormat="1" applyFont="1" applyBorder="1" applyAlignment="1">
      <alignment horizontal="left" vertical="center"/>
    </xf>
    <xf numFmtId="165" fontId="2" fillId="0" borderId="38" xfId="5" applyFont="1" applyFill="1" applyBorder="1" applyAlignment="1">
      <alignment vertical="center"/>
    </xf>
    <xf numFmtId="166" fontId="15" fillId="0" borderId="38" xfId="6" applyNumberFormat="1" applyFont="1" applyBorder="1" applyAlignment="1">
      <alignment horizontal="center" vertical="center"/>
    </xf>
    <xf numFmtId="166" fontId="9" fillId="0" borderId="38" xfId="6" applyNumberFormat="1" applyFont="1" applyBorder="1" applyAlignment="1">
      <alignment vertical="center"/>
    </xf>
    <xf numFmtId="0" fontId="9" fillId="0" borderId="38" xfId="6" applyFont="1" applyBorder="1" applyAlignment="1">
      <alignment horizontal="left" vertical="center"/>
    </xf>
    <xf numFmtId="0" fontId="10" fillId="0" borderId="38" xfId="6" applyFont="1" applyBorder="1" applyAlignment="1">
      <alignment horizontal="left" vertical="center"/>
    </xf>
    <xf numFmtId="49" fontId="10" fillId="0" borderId="38" xfId="6" applyNumberFormat="1" applyFont="1" applyBorder="1" applyAlignment="1">
      <alignment horizontal="center" vertical="center"/>
    </xf>
    <xf numFmtId="49" fontId="2" fillId="0" borderId="38" xfId="6" applyNumberFormat="1" applyFont="1" applyBorder="1" applyAlignment="1">
      <alignment horizontal="center" vertical="center"/>
    </xf>
    <xf numFmtId="0" fontId="10" fillId="0" borderId="38" xfId="6" applyFont="1" applyBorder="1" applyAlignment="1">
      <alignment vertical="center"/>
    </xf>
    <xf numFmtId="2" fontId="6" fillId="0" borderId="38" xfId="3" applyNumberFormat="1" applyFont="1" applyBorder="1" applyAlignment="1">
      <alignment horizontal="center" vertical="center"/>
    </xf>
    <xf numFmtId="2" fontId="6" fillId="0" borderId="38" xfId="5" applyNumberFormat="1" applyFont="1" applyFill="1" applyBorder="1" applyAlignment="1">
      <alignment horizontal="center" vertical="center" wrapText="1"/>
    </xf>
    <xf numFmtId="165" fontId="8" fillId="0" borderId="38" xfId="4" applyFont="1" applyFill="1" applyBorder="1" applyAlignment="1">
      <alignment vertical="center"/>
    </xf>
    <xf numFmtId="165" fontId="4" fillId="0" borderId="38" xfId="4" applyFont="1" applyFill="1" applyBorder="1" applyAlignment="1">
      <alignment horizontal="left" vertical="center"/>
    </xf>
    <xf numFmtId="165" fontId="4" fillId="0" borderId="38" xfId="4" applyFont="1" applyFill="1" applyBorder="1" applyAlignment="1">
      <alignment horizontal="center" vertical="center"/>
    </xf>
    <xf numFmtId="165" fontId="4" fillId="0" borderId="39" xfId="4" applyFont="1" applyFill="1" applyBorder="1" applyAlignment="1">
      <alignment vertical="center"/>
    </xf>
    <xf numFmtId="165" fontId="10" fillId="0" borderId="40" xfId="5" applyFont="1" applyFill="1" applyBorder="1" applyAlignment="1">
      <alignment vertical="center"/>
    </xf>
    <xf numFmtId="165" fontId="2" fillId="0" borderId="0" xfId="5" applyFont="1" applyFill="1" applyBorder="1" applyAlignment="1">
      <alignment vertical="center"/>
    </xf>
    <xf numFmtId="166" fontId="15" fillId="0" borderId="0" xfId="6" applyNumberFormat="1" applyFont="1" applyAlignment="1">
      <alignment horizontal="center" vertical="center"/>
    </xf>
    <xf numFmtId="166" fontId="9" fillId="0" borderId="0" xfId="6" applyNumberFormat="1" applyFont="1" applyAlignment="1">
      <alignment vertical="center"/>
    </xf>
    <xf numFmtId="0" fontId="9" fillId="0" borderId="0" xfId="6" applyFont="1" applyAlignment="1">
      <alignment horizontal="left" vertical="center"/>
    </xf>
    <xf numFmtId="0" fontId="10" fillId="0" borderId="0" xfId="6" applyFont="1" applyAlignment="1">
      <alignment horizontal="left" vertical="center"/>
    </xf>
    <xf numFmtId="49" fontId="10" fillId="0" borderId="0" xfId="6" applyNumberFormat="1" applyFont="1" applyAlignment="1">
      <alignment horizontal="center" vertical="center"/>
    </xf>
    <xf numFmtId="49" fontId="2" fillId="0" borderId="0" xfId="6" applyNumberFormat="1" applyFont="1" applyAlignment="1">
      <alignment horizontal="center" vertical="center"/>
    </xf>
    <xf numFmtId="0" fontId="10" fillId="0" borderId="0" xfId="6" applyFont="1" applyAlignment="1">
      <alignment vertical="center"/>
    </xf>
    <xf numFmtId="2" fontId="6" fillId="0" borderId="0" xfId="5" applyNumberFormat="1" applyFont="1" applyFill="1" applyBorder="1" applyAlignment="1">
      <alignment horizontal="center" vertical="center" wrapText="1"/>
    </xf>
    <xf numFmtId="165" fontId="8" fillId="0" borderId="0" xfId="4" applyFont="1" applyFill="1" applyBorder="1" applyAlignment="1">
      <alignment vertical="center"/>
    </xf>
    <xf numFmtId="165" fontId="4" fillId="0" borderId="0" xfId="4" applyFont="1" applyFill="1" applyBorder="1" applyAlignment="1">
      <alignment horizontal="left" vertical="center"/>
    </xf>
    <xf numFmtId="165" fontId="4" fillId="0" borderId="0" xfId="4" applyFont="1" applyFill="1" applyBorder="1" applyAlignment="1">
      <alignment horizontal="center" vertical="center"/>
    </xf>
    <xf numFmtId="165" fontId="4" fillId="0" borderId="41" xfId="4" applyFont="1" applyFill="1" applyBorder="1" applyAlignment="1">
      <alignment vertical="center"/>
    </xf>
    <xf numFmtId="166" fontId="10" fillId="0" borderId="40" xfId="6" applyNumberFormat="1" applyFont="1" applyBorder="1" applyAlignment="1">
      <alignment horizontal="left" vertical="center"/>
    </xf>
    <xf numFmtId="166" fontId="2" fillId="0" borderId="0" xfId="6" applyNumberFormat="1" applyFont="1" applyAlignment="1">
      <alignment horizontal="left" vertical="center"/>
    </xf>
    <xf numFmtId="166" fontId="15" fillId="0" borderId="0" xfId="6" applyNumberFormat="1" applyFont="1" applyAlignment="1">
      <alignment horizontal="left" vertical="center"/>
    </xf>
    <xf numFmtId="165" fontId="6" fillId="0" borderId="0" xfId="7" applyNumberFormat="1" applyFont="1" applyFill="1" applyBorder="1" applyAlignment="1">
      <alignment wrapText="1"/>
    </xf>
    <xf numFmtId="165" fontId="10" fillId="0" borderId="0" xfId="5" applyFont="1" applyFill="1" applyBorder="1" applyAlignment="1">
      <alignment vertical="center"/>
    </xf>
    <xf numFmtId="0" fontId="6" fillId="0" borderId="0" xfId="6" applyFont="1" applyAlignment="1">
      <alignment vertical="top"/>
    </xf>
    <xf numFmtId="0" fontId="6" fillId="0" borderId="0" xfId="6" applyFont="1" applyAlignment="1">
      <alignment vertical="top" wrapText="1"/>
    </xf>
    <xf numFmtId="49" fontId="6" fillId="0" borderId="0" xfId="6" applyNumberFormat="1" applyFont="1" applyAlignment="1">
      <alignment vertical="top" wrapText="1"/>
    </xf>
    <xf numFmtId="165" fontId="6" fillId="0" borderId="0" xfId="4" applyFont="1" applyFill="1" applyBorder="1" applyAlignment="1">
      <alignment vertical="center"/>
    </xf>
    <xf numFmtId="165" fontId="6" fillId="0" borderId="0" xfId="4" applyFont="1" applyFill="1" applyBorder="1" applyAlignment="1">
      <alignment horizontal="left" vertical="center"/>
    </xf>
    <xf numFmtId="165" fontId="6" fillId="0" borderId="0" xfId="4" applyFont="1" applyFill="1" applyBorder="1" applyAlignment="1">
      <alignment horizontal="center" vertical="center"/>
    </xf>
    <xf numFmtId="165" fontId="6" fillId="0" borderId="41" xfId="4" applyFont="1" applyFill="1" applyBorder="1" applyAlignment="1">
      <alignment vertical="center"/>
    </xf>
    <xf numFmtId="0" fontId="16" fillId="0" borderId="0" xfId="6" applyFont="1" applyAlignment="1">
      <alignment vertical="top" wrapText="1"/>
    </xf>
    <xf numFmtId="49" fontId="16" fillId="0" borderId="0" xfId="6" applyNumberFormat="1" applyFont="1" applyAlignment="1">
      <alignment vertical="top" wrapText="1"/>
    </xf>
    <xf numFmtId="49" fontId="2" fillId="0" borderId="0" xfId="6" applyNumberFormat="1" applyFont="1" applyAlignment="1">
      <alignment vertical="top" wrapText="1"/>
    </xf>
    <xf numFmtId="166" fontId="10" fillId="0" borderId="40" xfId="6" applyNumberFormat="1" applyFont="1" applyBorder="1" applyAlignment="1">
      <alignment horizontal="left" vertical="center" wrapText="1"/>
    </xf>
    <xf numFmtId="166" fontId="2" fillId="0" borderId="0" xfId="6" applyNumberFormat="1" applyFont="1" applyAlignment="1">
      <alignment horizontal="left" vertical="center" wrapText="1"/>
    </xf>
    <xf numFmtId="166" fontId="15" fillId="0" borderId="0" xfId="6" applyNumberFormat="1" applyFont="1" applyAlignment="1">
      <alignment horizontal="left" vertical="center" wrapText="1"/>
    </xf>
    <xf numFmtId="165" fontId="10" fillId="0" borderId="0" xfId="8" applyFont="1" applyFill="1" applyBorder="1" applyAlignment="1">
      <alignment wrapText="1"/>
    </xf>
    <xf numFmtId="0" fontId="16" fillId="0" borderId="0" xfId="6" applyFont="1" applyAlignment="1">
      <alignment vertical="top"/>
    </xf>
    <xf numFmtId="165" fontId="10" fillId="0" borderId="42" xfId="8" applyFont="1" applyFill="1" applyBorder="1" applyAlignment="1">
      <alignment wrapText="1"/>
    </xf>
    <xf numFmtId="165" fontId="10" fillId="0" borderId="42" xfId="5" applyFont="1" applyFill="1" applyBorder="1" applyAlignment="1">
      <alignment vertical="center"/>
    </xf>
    <xf numFmtId="165" fontId="10" fillId="0" borderId="0" xfId="5" applyFont="1" applyBorder="1" applyAlignment="1">
      <alignment vertical="center"/>
    </xf>
    <xf numFmtId="49" fontId="10" fillId="0" borderId="0" xfId="5" applyNumberFormat="1" applyFont="1" applyBorder="1" applyAlignment="1">
      <alignment vertical="center"/>
    </xf>
    <xf numFmtId="49" fontId="2" fillId="0" borderId="0" xfId="5" applyNumberFormat="1" applyFont="1" applyBorder="1" applyAlignment="1">
      <alignment vertical="center"/>
    </xf>
    <xf numFmtId="166" fontId="10" fillId="0" borderId="40" xfId="6" applyNumberFormat="1" applyFont="1" applyBorder="1" applyAlignment="1">
      <alignment horizontal="center" vertical="center"/>
    </xf>
    <xf numFmtId="166" fontId="2" fillId="0" borderId="0" xfId="6" applyNumberFormat="1" applyFont="1" applyAlignment="1">
      <alignment vertical="center"/>
    </xf>
    <xf numFmtId="166" fontId="15" fillId="0" borderId="0" xfId="6" applyNumberFormat="1" applyFont="1" applyAlignment="1">
      <alignment vertical="center"/>
    </xf>
    <xf numFmtId="166" fontId="10" fillId="0" borderId="0" xfId="6" applyNumberFormat="1" applyFont="1" applyAlignment="1">
      <alignment vertical="center"/>
    </xf>
    <xf numFmtId="164" fontId="19" fillId="0" borderId="0" xfId="2" applyNumberFormat="1" applyFont="1" applyAlignment="1">
      <alignment vertical="center"/>
    </xf>
    <xf numFmtId="49" fontId="20" fillId="0" borderId="0" xfId="2" applyNumberFormat="1" applyFont="1" applyAlignment="1">
      <alignment vertical="center"/>
    </xf>
    <xf numFmtId="49" fontId="21" fillId="0" borderId="0" xfId="2" applyNumberFormat="1" applyFont="1" applyAlignment="1">
      <alignment horizontal="center" vertical="center"/>
    </xf>
    <xf numFmtId="164" fontId="19" fillId="0" borderId="0" xfId="2" applyNumberFormat="1" applyFont="1" applyAlignment="1">
      <alignment horizontal="left" vertical="center"/>
    </xf>
    <xf numFmtId="0" fontId="19" fillId="0" borderId="0" xfId="3" applyFont="1" applyAlignment="1">
      <alignment horizontal="left" vertical="center"/>
    </xf>
    <xf numFmtId="0" fontId="19" fillId="0" borderId="0" xfId="3" applyFont="1" applyAlignment="1">
      <alignment vertical="center"/>
    </xf>
    <xf numFmtId="165" fontId="19" fillId="0" borderId="0" xfId="4" applyFont="1" applyAlignment="1">
      <alignment horizontal="left" vertical="center"/>
    </xf>
    <xf numFmtId="49" fontId="20" fillId="0" borderId="0" xfId="3" applyNumberFormat="1" applyFont="1" applyAlignment="1">
      <alignment horizontal="center" vertical="center"/>
    </xf>
    <xf numFmtId="49" fontId="20" fillId="0" borderId="0" xfId="4" applyNumberFormat="1" applyFont="1" applyBorder="1" applyAlignment="1">
      <alignment horizontal="center" vertical="center"/>
    </xf>
    <xf numFmtId="0" fontId="19" fillId="0" borderId="0" xfId="3" applyFont="1" applyAlignment="1">
      <alignment vertical="top"/>
    </xf>
    <xf numFmtId="2" fontId="19" fillId="0" borderId="0" xfId="3" applyNumberFormat="1" applyFont="1" applyAlignment="1">
      <alignment horizontal="center" vertical="center"/>
    </xf>
    <xf numFmtId="165" fontId="19" fillId="0" borderId="0" xfId="5" applyFont="1" applyAlignment="1">
      <alignment horizontal="right" vertical="center"/>
    </xf>
    <xf numFmtId="43" fontId="22" fillId="0" borderId="0" xfId="1" applyFont="1" applyAlignment="1">
      <alignment vertical="center"/>
    </xf>
    <xf numFmtId="165" fontId="22" fillId="0" borderId="0" xfId="4" applyFont="1" applyAlignment="1">
      <alignment vertical="center"/>
    </xf>
    <xf numFmtId="165" fontId="22" fillId="0" borderId="0" xfId="4" applyFont="1" applyAlignment="1">
      <alignment horizontal="center" vertical="center"/>
    </xf>
    <xf numFmtId="165" fontId="19" fillId="0" borderId="0" xfId="4" applyFont="1" applyAlignment="1">
      <alignment vertical="center"/>
    </xf>
    <xf numFmtId="165" fontId="19" fillId="0" borderId="0" xfId="5" applyFont="1" applyAlignment="1">
      <alignment horizontal="center" vertical="center"/>
    </xf>
    <xf numFmtId="165" fontId="19" fillId="0" borderId="0" xfId="5" applyFont="1" applyAlignment="1">
      <alignment vertical="center"/>
    </xf>
    <xf numFmtId="166" fontId="19" fillId="0" borderId="0" xfId="3" applyNumberFormat="1" applyFont="1" applyAlignment="1">
      <alignment horizontal="center" vertical="center"/>
    </xf>
    <xf numFmtId="49" fontId="20" fillId="0" borderId="0" xfId="3" applyNumberFormat="1" applyFont="1" applyAlignment="1">
      <alignment horizontal="left" vertical="center"/>
    </xf>
    <xf numFmtId="49" fontId="21" fillId="0" borderId="0" xfId="3" applyNumberFormat="1" applyFont="1" applyAlignment="1">
      <alignment horizontal="center" vertical="center"/>
    </xf>
    <xf numFmtId="166" fontId="19" fillId="0" borderId="0" xfId="3" applyNumberFormat="1" applyFont="1" applyAlignment="1">
      <alignment horizontal="left" vertical="center"/>
    </xf>
    <xf numFmtId="43" fontId="19" fillId="0" borderId="0" xfId="3" applyNumberFormat="1" applyFont="1" applyAlignment="1">
      <alignment horizontal="left" vertical="center"/>
    </xf>
    <xf numFmtId="49" fontId="19" fillId="0" borderId="0" xfId="4" applyNumberFormat="1" applyFont="1" applyAlignment="1">
      <alignment horizontal="center" vertical="center"/>
    </xf>
    <xf numFmtId="165" fontId="23" fillId="6" borderId="12" xfId="6" applyNumberFormat="1" applyFont="1" applyFill="1" applyBorder="1" applyAlignment="1">
      <alignment horizontal="center" vertical="center"/>
    </xf>
    <xf numFmtId="165" fontId="23" fillId="7" borderId="19" xfId="6" applyNumberFormat="1" applyFont="1" applyFill="1" applyBorder="1" applyAlignment="1">
      <alignment horizontal="center" vertical="center" wrapText="1"/>
    </xf>
    <xf numFmtId="0" fontId="23" fillId="4" borderId="12" xfId="6" applyFont="1" applyFill="1" applyBorder="1" applyAlignment="1">
      <alignment horizontal="center" vertical="center" wrapText="1"/>
    </xf>
    <xf numFmtId="165" fontId="23" fillId="4" borderId="15" xfId="6" applyNumberFormat="1" applyFont="1" applyFill="1" applyBorder="1" applyAlignment="1">
      <alignment horizontal="center" vertical="center"/>
    </xf>
    <xf numFmtId="165" fontId="23" fillId="4" borderId="15" xfId="6" applyNumberFormat="1" applyFont="1" applyFill="1" applyBorder="1" applyAlignment="1">
      <alignment horizontal="center" vertical="top"/>
    </xf>
    <xf numFmtId="0" fontId="24" fillId="2" borderId="20" xfId="6" applyFont="1" applyFill="1" applyBorder="1" applyAlignment="1">
      <alignment vertical="center" wrapText="1"/>
    </xf>
    <xf numFmtId="0" fontId="24" fillId="0" borderId="20" xfId="6" applyFont="1" applyBorder="1" applyAlignment="1">
      <alignment wrapText="1"/>
    </xf>
    <xf numFmtId="165" fontId="23" fillId="3" borderId="24" xfId="6" applyNumberFormat="1" applyFont="1" applyFill="1" applyBorder="1" applyAlignment="1">
      <alignment horizontal="center" vertical="center" wrapText="1"/>
    </xf>
    <xf numFmtId="0" fontId="23" fillId="3" borderId="25" xfId="6" applyFont="1" applyFill="1" applyBorder="1" applyAlignment="1">
      <alignment horizontal="center" vertical="center" wrapText="1"/>
    </xf>
    <xf numFmtId="0" fontId="23" fillId="3" borderId="26" xfId="6" applyFont="1" applyFill="1" applyBorder="1" applyAlignment="1">
      <alignment horizontal="center" vertical="center" wrapText="1"/>
    </xf>
    <xf numFmtId="165" fontId="24" fillId="4" borderId="27" xfId="4" applyFont="1" applyFill="1" applyBorder="1" applyAlignment="1">
      <alignment vertical="center"/>
    </xf>
    <xf numFmtId="0" fontId="27" fillId="4" borderId="27" xfId="0" applyFont="1" applyFill="1" applyBorder="1" applyAlignment="1">
      <alignment horizontal="center" vertical="center"/>
    </xf>
    <xf numFmtId="0" fontId="23" fillId="4" borderId="29" xfId="6" applyFont="1" applyFill="1" applyBorder="1" applyAlignment="1">
      <alignment horizontal="center" vertical="center" wrapText="1"/>
    </xf>
    <xf numFmtId="0" fontId="23" fillId="4" borderId="26" xfId="6" applyFont="1" applyFill="1" applyBorder="1" applyAlignment="1">
      <alignment horizontal="center" vertical="center" wrapText="1"/>
    </xf>
    <xf numFmtId="0" fontId="23" fillId="4" borderId="25" xfId="6" applyFont="1" applyFill="1" applyBorder="1" applyAlignment="1">
      <alignment horizontal="center" vertical="center" wrapText="1"/>
    </xf>
    <xf numFmtId="0" fontId="23" fillId="4" borderId="30" xfId="6" applyFont="1" applyFill="1" applyBorder="1" applyAlignment="1">
      <alignment horizontal="center" vertical="center" wrapText="1"/>
    </xf>
    <xf numFmtId="0" fontId="23" fillId="4" borderId="31" xfId="6" applyFont="1" applyFill="1" applyBorder="1" applyAlignment="1">
      <alignment horizontal="center" vertical="center" wrapText="1"/>
    </xf>
    <xf numFmtId="0" fontId="23" fillId="6" borderId="27" xfId="6" applyFont="1" applyFill="1" applyBorder="1" applyAlignment="1">
      <alignment horizontal="center" vertical="center" wrapText="1"/>
    </xf>
    <xf numFmtId="0" fontId="23" fillId="4" borderId="27" xfId="6" applyFont="1" applyFill="1" applyBorder="1" applyAlignment="1">
      <alignment horizontal="center" vertical="center" wrapText="1"/>
    </xf>
    <xf numFmtId="165" fontId="23" fillId="7" borderId="27" xfId="6" applyNumberFormat="1" applyFont="1" applyFill="1" applyBorder="1" applyAlignment="1">
      <alignment horizontal="center" vertical="center" wrapText="1"/>
    </xf>
    <xf numFmtId="165" fontId="23" fillId="7" borderId="27" xfId="6" applyNumberFormat="1" applyFont="1" applyFill="1" applyBorder="1" applyAlignment="1">
      <alignment horizontal="center" wrapText="1"/>
    </xf>
    <xf numFmtId="165" fontId="23" fillId="7" borderId="22" xfId="6" applyNumberFormat="1" applyFont="1" applyFill="1" applyBorder="1" applyAlignment="1">
      <alignment horizontal="center" wrapText="1"/>
    </xf>
    <xf numFmtId="165" fontId="23" fillId="4" borderId="22" xfId="6" applyNumberFormat="1" applyFont="1" applyFill="1" applyBorder="1" applyAlignment="1">
      <alignment horizontal="center" vertical="center" wrapText="1"/>
    </xf>
    <xf numFmtId="0" fontId="23" fillId="8" borderId="29" xfId="6" applyFont="1" applyFill="1" applyBorder="1" applyAlignment="1">
      <alignment horizontal="center" vertical="center" wrapText="1"/>
    </xf>
    <xf numFmtId="165" fontId="23" fillId="4" borderId="29" xfId="6" applyNumberFormat="1" applyFont="1" applyFill="1" applyBorder="1" applyAlignment="1">
      <alignment horizontal="center" vertical="center"/>
    </xf>
    <xf numFmtId="165" fontId="23" fillId="4" borderId="27" xfId="6" applyNumberFormat="1" applyFont="1" applyFill="1" applyBorder="1" applyAlignment="1">
      <alignment horizontal="center" vertical="center" wrapText="1"/>
    </xf>
    <xf numFmtId="165" fontId="23" fillId="4" borderId="33" xfId="6" applyNumberFormat="1" applyFont="1" applyFill="1" applyBorder="1" applyAlignment="1">
      <alignment horizontal="center" vertical="center" wrapText="1"/>
    </xf>
    <xf numFmtId="165" fontId="23" fillId="4" borderId="22" xfId="6" applyNumberFormat="1" applyFont="1" applyFill="1" applyBorder="1" applyAlignment="1">
      <alignment horizontal="center" vertical="center"/>
    </xf>
    <xf numFmtId="165" fontId="23" fillId="2" borderId="35" xfId="6" applyNumberFormat="1" applyFont="1" applyFill="1" applyBorder="1" applyAlignment="1">
      <alignment horizontal="center" vertical="center" wrapText="1"/>
    </xf>
    <xf numFmtId="165" fontId="23" fillId="0" borderId="35" xfId="6" applyNumberFormat="1" applyFont="1" applyBorder="1" applyAlignment="1">
      <alignment horizontal="center" vertical="center" wrapText="1"/>
    </xf>
    <xf numFmtId="0" fontId="24" fillId="0" borderId="35" xfId="6" applyFont="1" applyBorder="1" applyAlignment="1">
      <alignment vertical="center" wrapText="1"/>
    </xf>
    <xf numFmtId="0" fontId="24" fillId="0" borderId="35" xfId="6" applyFont="1" applyBorder="1" applyAlignment="1">
      <alignment wrapText="1"/>
    </xf>
    <xf numFmtId="0" fontId="24" fillId="0" borderId="0" xfId="0" applyFont="1"/>
    <xf numFmtId="0" fontId="11" fillId="0" borderId="37" xfId="0" applyFont="1" applyBorder="1"/>
    <xf numFmtId="165" fontId="10" fillId="0" borderId="36" xfId="5" applyFont="1" applyFill="1" applyBorder="1" applyAlignment="1">
      <alignment horizontal="right" vertical="center"/>
    </xf>
    <xf numFmtId="165" fontId="10" fillId="0" borderId="36" xfId="4" applyFont="1" applyFill="1" applyBorder="1" applyAlignment="1"/>
    <xf numFmtId="43" fontId="2" fillId="5" borderId="37" xfId="3" applyNumberFormat="1" applyFont="1" applyFill="1" applyBorder="1" applyAlignment="1">
      <alignment vertical="center"/>
    </xf>
    <xf numFmtId="0" fontId="24" fillId="9" borderId="0" xfId="0" applyFont="1" applyFill="1"/>
    <xf numFmtId="166" fontId="2" fillId="10" borderId="37" xfId="3" applyNumberFormat="1" applyFont="1" applyFill="1" applyBorder="1" applyAlignment="1">
      <alignment horizontal="center" vertical="center"/>
    </xf>
    <xf numFmtId="49" fontId="13" fillId="10" borderId="37" xfId="8" quotePrefix="1" applyNumberFormat="1" applyFont="1" applyFill="1" applyBorder="1" applyAlignment="1">
      <alignment horizontal="center" vertical="center"/>
    </xf>
    <xf numFmtId="49" fontId="2" fillId="10" borderId="37" xfId="8" quotePrefix="1" applyNumberFormat="1" applyFont="1" applyFill="1" applyBorder="1" applyAlignment="1">
      <alignment horizontal="center" vertical="center"/>
    </xf>
    <xf numFmtId="0" fontId="2" fillId="10" borderId="37" xfId="3" applyFont="1" applyFill="1" applyBorder="1" applyAlignment="1">
      <alignment vertical="center"/>
    </xf>
    <xf numFmtId="166" fontId="2" fillId="10" borderId="37" xfId="9" applyNumberFormat="1" applyFont="1" applyFill="1" applyBorder="1" applyAlignment="1">
      <alignment horizontal="left"/>
    </xf>
    <xf numFmtId="16" fontId="2" fillId="10" borderId="37" xfId="9" applyNumberFormat="1" applyFont="1" applyFill="1" applyBorder="1"/>
    <xf numFmtId="0" fontId="2" fillId="10" borderId="37" xfId="6" applyFont="1" applyFill="1" applyBorder="1" applyAlignment="1">
      <alignment horizontal="left"/>
    </xf>
    <xf numFmtId="49" fontId="2" fillId="10" borderId="37" xfId="10" quotePrefix="1" applyNumberFormat="1" applyFont="1" applyFill="1" applyBorder="1" applyAlignment="1">
      <alignment horizontal="center" vertical="center"/>
    </xf>
    <xf numFmtId="0" fontId="2" fillId="10" borderId="37" xfId="6" applyFont="1" applyFill="1" applyBorder="1" applyAlignment="1">
      <alignment vertical="top"/>
    </xf>
    <xf numFmtId="2" fontId="2" fillId="10" borderId="37" xfId="3" applyNumberFormat="1" applyFont="1" applyFill="1" applyBorder="1" applyAlignment="1">
      <alignment horizontal="center" vertical="center"/>
    </xf>
    <xf numFmtId="165" fontId="2" fillId="10" borderId="37" xfId="5" applyFont="1" applyFill="1" applyBorder="1" applyAlignment="1">
      <alignment horizontal="right" vertical="center" wrapText="1"/>
    </xf>
    <xf numFmtId="43" fontId="2" fillId="10" borderId="37" xfId="1" applyFont="1" applyFill="1" applyBorder="1" applyAlignment="1">
      <alignment vertical="center"/>
    </xf>
    <xf numFmtId="43" fontId="2" fillId="10" borderId="37" xfId="1" applyFont="1" applyFill="1" applyBorder="1" applyAlignment="1">
      <alignment horizontal="center" vertical="center"/>
    </xf>
    <xf numFmtId="43" fontId="24" fillId="9" borderId="0" xfId="0" applyNumberFormat="1" applyFont="1" applyFill="1"/>
    <xf numFmtId="43" fontId="28" fillId="9" borderId="0" xfId="0" applyNumberFormat="1" applyFont="1" applyFill="1"/>
    <xf numFmtId="43" fontId="7" fillId="10" borderId="37" xfId="3" applyNumberFormat="1" applyFont="1" applyFill="1" applyBorder="1" applyAlignment="1">
      <alignment vertical="center"/>
    </xf>
    <xf numFmtId="43" fontId="2" fillId="10" borderId="37" xfId="3" applyNumberFormat="1" applyFont="1" applyFill="1" applyBorder="1" applyAlignment="1">
      <alignment vertical="center"/>
    </xf>
    <xf numFmtId="43" fontId="29" fillId="9" borderId="0" xfId="0" applyNumberFormat="1" applyFont="1" applyFill="1"/>
    <xf numFmtId="165" fontId="30" fillId="9" borderId="0" xfId="0" applyNumberFormat="1" applyFont="1" applyFill="1"/>
    <xf numFmtId="43" fontId="30" fillId="9" borderId="0" xfId="0" applyNumberFormat="1" applyFont="1" applyFill="1"/>
    <xf numFmtId="166" fontId="14" fillId="0" borderId="37" xfId="6" applyNumberFormat="1" applyFont="1" applyBorder="1" applyAlignment="1">
      <alignment horizontal="center" vertical="center"/>
    </xf>
    <xf numFmtId="2" fontId="10" fillId="0" borderId="0" xfId="6" applyNumberFormat="1" applyFont="1" applyAlignment="1">
      <alignment vertical="center"/>
    </xf>
    <xf numFmtId="49" fontId="7" fillId="0" borderId="0" xfId="6" applyNumberFormat="1" applyFont="1" applyAlignment="1">
      <alignment horizontal="center" vertical="center"/>
    </xf>
    <xf numFmtId="0" fontId="0" fillId="9" borderId="0" xfId="0" applyFill="1"/>
    <xf numFmtId="43" fontId="31" fillId="9" borderId="0" xfId="0" applyNumberFormat="1" applyFont="1" applyFill="1"/>
    <xf numFmtId="49" fontId="33" fillId="0" borderId="0" xfId="4" applyNumberFormat="1" applyFont="1" applyAlignment="1">
      <alignment horizontal="center" vertical="center"/>
    </xf>
    <xf numFmtId="49" fontId="21" fillId="0" borderId="0" xfId="2" applyNumberFormat="1" applyFont="1" applyAlignment="1">
      <alignment vertical="center"/>
    </xf>
    <xf numFmtId="49" fontId="20" fillId="0" borderId="0" xfId="3" applyNumberFormat="1" applyFont="1" applyAlignment="1">
      <alignment vertical="center"/>
    </xf>
    <xf numFmtId="49" fontId="20" fillId="0" borderId="0" xfId="4" applyNumberFormat="1" applyFont="1" applyBorder="1" applyAlignment="1">
      <alignment vertical="center"/>
    </xf>
    <xf numFmtId="2" fontId="19" fillId="0" borderId="0" xfId="3" applyNumberFormat="1" applyFont="1" applyAlignment="1">
      <alignment vertical="center"/>
    </xf>
    <xf numFmtId="49" fontId="19" fillId="0" borderId="0" xfId="4" applyNumberFormat="1" applyFont="1" applyAlignment="1">
      <alignment vertical="center"/>
    </xf>
    <xf numFmtId="166" fontId="2" fillId="8" borderId="37" xfId="3" applyNumberFormat="1" applyFont="1" applyFill="1" applyBorder="1" applyAlignment="1">
      <alignment horizontal="center" vertical="center"/>
    </xf>
    <xf numFmtId="49" fontId="13" fillId="8" borderId="37" xfId="8" quotePrefix="1" applyNumberFormat="1" applyFont="1" applyFill="1" applyBorder="1" applyAlignment="1">
      <alignment horizontal="center" vertical="center"/>
    </xf>
    <xf numFmtId="49" fontId="2" fillId="8" borderId="37" xfId="8" quotePrefix="1" applyNumberFormat="1" applyFont="1" applyFill="1" applyBorder="1" applyAlignment="1">
      <alignment horizontal="center" vertical="center"/>
    </xf>
    <xf numFmtId="0" fontId="2" fillId="8" borderId="37" xfId="3" applyFont="1" applyFill="1" applyBorder="1" applyAlignment="1">
      <alignment vertical="center"/>
    </xf>
    <xf numFmtId="166" fontId="2" fillId="8" borderId="37" xfId="9" applyNumberFormat="1" applyFont="1" applyFill="1" applyBorder="1" applyAlignment="1">
      <alignment horizontal="left"/>
    </xf>
    <xf numFmtId="16" fontId="2" fillId="8" borderId="37" xfId="9" applyNumberFormat="1" applyFont="1" applyFill="1" applyBorder="1"/>
    <xf numFmtId="0" fontId="2" fillId="8" borderId="37" xfId="6" applyFont="1" applyFill="1" applyBorder="1" applyAlignment="1">
      <alignment horizontal="left"/>
    </xf>
    <xf numFmtId="49" fontId="2" fillId="8" borderId="37" xfId="10" quotePrefix="1" applyNumberFormat="1" applyFont="1" applyFill="1" applyBorder="1" applyAlignment="1">
      <alignment horizontal="center" vertical="center"/>
    </xf>
    <xf numFmtId="0" fontId="2" fillId="8" borderId="37" xfId="6" applyFont="1" applyFill="1" applyBorder="1" applyAlignment="1">
      <alignment vertical="top"/>
    </xf>
    <xf numFmtId="2" fontId="2" fillId="8" borderId="37" xfId="3" applyNumberFormat="1" applyFont="1" applyFill="1" applyBorder="1" applyAlignment="1">
      <alignment horizontal="center" vertical="center"/>
    </xf>
    <xf numFmtId="165" fontId="2" fillId="8" borderId="37" xfId="5" applyFont="1" applyFill="1" applyBorder="1" applyAlignment="1">
      <alignment horizontal="right" vertical="center" wrapText="1"/>
    </xf>
    <xf numFmtId="43" fontId="2" fillId="8" borderId="37" xfId="1" applyFont="1" applyFill="1" applyBorder="1" applyAlignment="1">
      <alignment vertical="center"/>
    </xf>
    <xf numFmtId="43" fontId="2" fillId="8" borderId="37" xfId="1" applyFont="1" applyFill="1" applyBorder="1" applyAlignment="1">
      <alignment horizontal="center" vertical="center"/>
    </xf>
    <xf numFmtId="0" fontId="24" fillId="8" borderId="0" xfId="0" applyFont="1" applyFill="1"/>
    <xf numFmtId="0" fontId="24" fillId="11" borderId="0" xfId="0" applyFont="1" applyFill="1"/>
    <xf numFmtId="43" fontId="32" fillId="11" borderId="0" xfId="0" applyNumberFormat="1" applyFont="1" applyFill="1"/>
    <xf numFmtId="165" fontId="23" fillId="4" borderId="8" xfId="6" applyNumberFormat="1" applyFont="1" applyFill="1" applyBorder="1" applyAlignment="1">
      <alignment horizontal="center" vertical="center" wrapText="1"/>
    </xf>
    <xf numFmtId="165" fontId="23" fillId="4" borderId="18" xfId="6" applyNumberFormat="1" applyFont="1" applyFill="1" applyBorder="1" applyAlignment="1">
      <alignment horizontal="center" vertical="center" wrapText="1"/>
    </xf>
    <xf numFmtId="165" fontId="23" fillId="4" borderId="17" xfId="6" applyNumberFormat="1" applyFont="1" applyFill="1" applyBorder="1" applyAlignment="1">
      <alignment horizontal="center" vertical="top"/>
    </xf>
    <xf numFmtId="165" fontId="23" fillId="4" borderId="18" xfId="6" applyNumberFormat="1" applyFont="1" applyFill="1" applyBorder="1" applyAlignment="1">
      <alignment horizontal="center" vertical="top"/>
    </xf>
    <xf numFmtId="165" fontId="23" fillId="4" borderId="19" xfId="6" applyNumberFormat="1" applyFont="1" applyFill="1" applyBorder="1" applyAlignment="1">
      <alignment horizontal="center" vertical="center" wrapText="1"/>
    </xf>
    <xf numFmtId="165" fontId="23" fillId="4" borderId="34" xfId="6" applyNumberFormat="1" applyFont="1" applyFill="1" applyBorder="1" applyAlignment="1">
      <alignment horizontal="center" vertical="center" wrapText="1"/>
    </xf>
    <xf numFmtId="165" fontId="23" fillId="4" borderId="2" xfId="6" applyNumberFormat="1" applyFont="1" applyFill="1" applyBorder="1" applyAlignment="1">
      <alignment horizontal="center" vertical="center" wrapText="1"/>
    </xf>
    <xf numFmtId="165" fontId="23" fillId="4" borderId="22" xfId="6" applyNumberFormat="1" applyFont="1" applyFill="1" applyBorder="1" applyAlignment="1">
      <alignment horizontal="center" vertical="center" wrapText="1"/>
    </xf>
    <xf numFmtId="165" fontId="23" fillId="4" borderId="7" xfId="6" applyNumberFormat="1" applyFont="1" applyFill="1" applyBorder="1" applyAlignment="1">
      <alignment horizontal="center" vertical="center"/>
    </xf>
    <xf numFmtId="165" fontId="23" fillId="4" borderId="9" xfId="6" applyNumberFormat="1" applyFont="1" applyFill="1" applyBorder="1" applyAlignment="1">
      <alignment horizontal="center" vertical="center"/>
    </xf>
    <xf numFmtId="165" fontId="23" fillId="7" borderId="7" xfId="6" applyNumberFormat="1" applyFont="1" applyFill="1" applyBorder="1" applyAlignment="1">
      <alignment horizontal="center" vertical="center" wrapText="1"/>
    </xf>
    <xf numFmtId="165" fontId="23" fillId="7" borderId="9" xfId="6" applyNumberFormat="1" applyFont="1" applyFill="1" applyBorder="1" applyAlignment="1">
      <alignment horizontal="center" vertical="center" wrapText="1"/>
    </xf>
    <xf numFmtId="0" fontId="23" fillId="4" borderId="2" xfId="6" applyFont="1" applyFill="1" applyBorder="1" applyAlignment="1">
      <alignment horizontal="center" vertical="center" wrapText="1"/>
    </xf>
    <xf numFmtId="0" fontId="23" fillId="4" borderId="22" xfId="6" applyFont="1" applyFill="1" applyBorder="1" applyAlignment="1">
      <alignment horizontal="center" vertical="center" wrapText="1"/>
    </xf>
    <xf numFmtId="0" fontId="23" fillId="4" borderId="7" xfId="6" applyFont="1" applyFill="1" applyBorder="1" applyAlignment="1">
      <alignment horizontal="center" vertical="center" wrapText="1"/>
    </xf>
    <xf numFmtId="0" fontId="23" fillId="4" borderId="9" xfId="6" applyFont="1" applyFill="1" applyBorder="1" applyAlignment="1">
      <alignment horizontal="center" vertical="center" wrapText="1"/>
    </xf>
    <xf numFmtId="0" fontId="23" fillId="4" borderId="14" xfId="6" applyFont="1" applyFill="1" applyBorder="1" applyAlignment="1">
      <alignment horizontal="center" vertical="center" wrapText="1"/>
    </xf>
    <xf numFmtId="0" fontId="23" fillId="4" borderId="29" xfId="6" applyFont="1" applyFill="1" applyBorder="1" applyAlignment="1">
      <alignment horizontal="center" vertical="center" wrapText="1"/>
    </xf>
    <xf numFmtId="0" fontId="23" fillId="8" borderId="13" xfId="6" applyFont="1" applyFill="1" applyBorder="1" applyAlignment="1">
      <alignment horizontal="center" vertical="center" wrapText="1"/>
    </xf>
    <xf numFmtId="0" fontId="23" fillId="8" borderId="32" xfId="6" applyFont="1" applyFill="1" applyBorder="1" applyAlignment="1">
      <alignment horizontal="center" vertical="center" wrapText="1"/>
    </xf>
    <xf numFmtId="165" fontId="23" fillId="4" borderId="14" xfId="6" applyNumberFormat="1" applyFont="1" applyFill="1" applyBorder="1" applyAlignment="1">
      <alignment horizontal="center" vertical="center" wrapText="1"/>
    </xf>
    <xf numFmtId="165" fontId="23" fillId="4" borderId="29" xfId="6" applyNumberFormat="1" applyFont="1" applyFill="1" applyBorder="1" applyAlignment="1">
      <alignment horizontal="center" vertical="center" wrapText="1"/>
    </xf>
    <xf numFmtId="0" fontId="23" fillId="4" borderId="8" xfId="6" applyFont="1" applyFill="1" applyBorder="1" applyAlignment="1">
      <alignment horizontal="center" vertical="center" wrapText="1"/>
    </xf>
    <xf numFmtId="0" fontId="23" fillId="8" borderId="7" xfId="6" applyFont="1" applyFill="1" applyBorder="1" applyAlignment="1">
      <alignment horizontal="center" vertical="center"/>
    </xf>
    <xf numFmtId="0" fontId="23" fillId="8" borderId="8" xfId="6" applyFont="1" applyFill="1" applyBorder="1" applyAlignment="1">
      <alignment horizontal="center" vertical="center"/>
    </xf>
    <xf numFmtId="43" fontId="23" fillId="2" borderId="2" xfId="7" applyNumberFormat="1" applyFont="1" applyFill="1" applyBorder="1" applyAlignment="1">
      <alignment horizontal="right" vertical="center" wrapText="1"/>
    </xf>
    <xf numFmtId="43" fontId="23" fillId="2" borderId="22" xfId="7" applyNumberFormat="1" applyFont="1" applyFill="1" applyBorder="1" applyAlignment="1">
      <alignment horizontal="right" vertical="center" wrapText="1"/>
    </xf>
    <xf numFmtId="166" fontId="23" fillId="2" borderId="1" xfId="6" applyNumberFormat="1" applyFont="1" applyFill="1" applyBorder="1" applyAlignment="1">
      <alignment horizontal="center" vertical="center" wrapText="1"/>
    </xf>
    <xf numFmtId="166" fontId="23" fillId="2" borderId="21" xfId="6" applyNumberFormat="1" applyFont="1" applyFill="1" applyBorder="1" applyAlignment="1">
      <alignment horizontal="center" vertical="center" wrapText="1"/>
    </xf>
    <xf numFmtId="49" fontId="20" fillId="2" borderId="2" xfId="6" applyNumberFormat="1" applyFont="1" applyFill="1" applyBorder="1" applyAlignment="1">
      <alignment horizontal="center" vertical="center" wrapText="1"/>
    </xf>
    <xf numFmtId="49" fontId="20" fillId="2" borderId="22" xfId="6" applyNumberFormat="1" applyFont="1" applyFill="1" applyBorder="1" applyAlignment="1">
      <alignment horizontal="center" vertical="center" wrapText="1"/>
    </xf>
    <xf numFmtId="49" fontId="21" fillId="2" borderId="2" xfId="6" applyNumberFormat="1" applyFont="1" applyFill="1" applyBorder="1" applyAlignment="1">
      <alignment horizontal="center" vertical="center" wrapText="1"/>
    </xf>
    <xf numFmtId="49" fontId="21" fillId="2" borderId="22" xfId="6" applyNumberFormat="1" applyFont="1" applyFill="1" applyBorder="1" applyAlignment="1">
      <alignment horizontal="center" vertical="center" wrapText="1"/>
    </xf>
    <xf numFmtId="166" fontId="23" fillId="2" borderId="2" xfId="6" applyNumberFormat="1" applyFont="1" applyFill="1" applyBorder="1" applyAlignment="1">
      <alignment horizontal="center" vertical="center" wrapText="1"/>
    </xf>
    <xf numFmtId="166" fontId="23" fillId="2" borderId="22" xfId="6" applyNumberFormat="1" applyFont="1" applyFill="1" applyBorder="1" applyAlignment="1">
      <alignment horizontal="center" vertical="center" wrapText="1"/>
    </xf>
    <xf numFmtId="0" fontId="23" fillId="2" borderId="2" xfId="6" applyFont="1" applyFill="1" applyBorder="1" applyAlignment="1">
      <alignment horizontal="center" vertical="center" wrapText="1"/>
    </xf>
    <xf numFmtId="0" fontId="23" fillId="2" borderId="22" xfId="6" applyFont="1" applyFill="1" applyBorder="1" applyAlignment="1">
      <alignment horizontal="center" vertical="center" wrapText="1"/>
    </xf>
    <xf numFmtId="0" fontId="23" fillId="2" borderId="2" xfId="6" applyFont="1" applyFill="1" applyBorder="1" applyAlignment="1">
      <alignment vertical="center" wrapText="1"/>
    </xf>
    <xf numFmtId="0" fontId="23" fillId="2" borderId="22" xfId="6" applyFont="1" applyFill="1" applyBorder="1" applyAlignment="1">
      <alignment vertical="center" wrapText="1"/>
    </xf>
    <xf numFmtId="165" fontId="23" fillId="2" borderId="2" xfId="6" applyNumberFormat="1" applyFont="1" applyFill="1" applyBorder="1" applyAlignment="1">
      <alignment horizontal="center" vertical="center" wrapText="1"/>
    </xf>
    <xf numFmtId="165" fontId="23" fillId="2" borderId="22" xfId="6" applyNumberFormat="1" applyFont="1" applyFill="1" applyBorder="1" applyAlignment="1">
      <alignment horizontal="center" vertical="center" wrapText="1"/>
    </xf>
    <xf numFmtId="49" fontId="23" fillId="2" borderId="2" xfId="6" applyNumberFormat="1" applyFont="1" applyFill="1" applyBorder="1" applyAlignment="1">
      <alignment horizontal="center" vertical="center" wrapText="1"/>
    </xf>
    <xf numFmtId="49" fontId="23" fillId="2" borderId="22" xfId="6" applyNumberFormat="1" applyFont="1" applyFill="1" applyBorder="1" applyAlignment="1">
      <alignment horizontal="center" vertical="center" wrapText="1"/>
    </xf>
    <xf numFmtId="0" fontId="24" fillId="2" borderId="2" xfId="6" applyFont="1" applyFill="1" applyBorder="1" applyAlignment="1">
      <alignment vertical="center" wrapText="1"/>
    </xf>
    <xf numFmtId="0" fontId="24" fillId="2" borderId="22" xfId="6" applyFont="1" applyFill="1" applyBorder="1" applyAlignment="1">
      <alignment vertical="center" wrapText="1"/>
    </xf>
    <xf numFmtId="2" fontId="23" fillId="2" borderId="2" xfId="6" applyNumberFormat="1" applyFont="1" applyFill="1" applyBorder="1" applyAlignment="1">
      <alignment horizontal="center" vertical="center" wrapText="1"/>
    </xf>
    <xf numFmtId="2" fontId="23" fillId="2" borderId="22" xfId="6" applyNumberFormat="1" applyFont="1" applyFill="1" applyBorder="1" applyAlignment="1">
      <alignment horizontal="center" vertical="center" wrapText="1"/>
    </xf>
    <xf numFmtId="43" fontId="25" fillId="2" borderId="2" xfId="1" applyFont="1" applyFill="1" applyBorder="1" applyAlignment="1">
      <alignment horizontal="center" vertical="center" wrapText="1"/>
    </xf>
    <xf numFmtId="43" fontId="25" fillId="2" borderId="22" xfId="1" applyFont="1" applyFill="1" applyBorder="1" applyAlignment="1">
      <alignment horizontal="center" vertical="center" wrapText="1"/>
    </xf>
    <xf numFmtId="43" fontId="25" fillId="2" borderId="2" xfId="7" applyNumberFormat="1" applyFont="1" applyFill="1" applyBorder="1" applyAlignment="1">
      <alignment horizontal="center" vertical="center" wrapText="1"/>
    </xf>
    <xf numFmtId="43" fontId="25" fillId="2" borderId="22" xfId="7" applyNumberFormat="1" applyFont="1" applyFill="1" applyBorder="1" applyAlignment="1">
      <alignment horizontal="center" vertical="center" wrapText="1"/>
    </xf>
    <xf numFmtId="43" fontId="26" fillId="2" borderId="2" xfId="7" applyNumberFormat="1" applyFont="1" applyFill="1" applyBorder="1" applyAlignment="1">
      <alignment horizontal="center" vertical="center" wrapText="1"/>
    </xf>
    <xf numFmtId="43" fontId="26" fillId="2" borderId="22" xfId="7" applyNumberFormat="1" applyFont="1" applyFill="1" applyBorder="1" applyAlignment="1">
      <alignment horizontal="center" vertical="center" wrapText="1"/>
    </xf>
    <xf numFmtId="43" fontId="19" fillId="2" borderId="3" xfId="7" applyNumberFormat="1" applyFont="1" applyFill="1" applyBorder="1" applyAlignment="1">
      <alignment horizontal="center" vertical="center" wrapText="1"/>
    </xf>
    <xf numFmtId="43" fontId="19" fillId="2" borderId="23" xfId="7" applyNumberFormat="1" applyFont="1" applyFill="1" applyBorder="1" applyAlignment="1">
      <alignment horizontal="center" vertical="center" wrapText="1"/>
    </xf>
    <xf numFmtId="165" fontId="23" fillId="3" borderId="4" xfId="6" applyNumberFormat="1" applyFont="1" applyFill="1" applyBorder="1" applyAlignment="1">
      <alignment horizontal="center" vertical="center"/>
    </xf>
    <xf numFmtId="165" fontId="23" fillId="3" borderId="5" xfId="6" applyNumberFormat="1" applyFont="1" applyFill="1" applyBorder="1" applyAlignment="1">
      <alignment horizontal="center" vertical="center"/>
    </xf>
    <xf numFmtId="165" fontId="23" fillId="3" borderId="6" xfId="6" applyNumberFormat="1" applyFont="1" applyFill="1" applyBorder="1" applyAlignment="1">
      <alignment horizontal="center" vertical="center"/>
    </xf>
    <xf numFmtId="165" fontId="24" fillId="4" borderId="7" xfId="4" applyFont="1" applyFill="1" applyBorder="1" applyAlignment="1">
      <alignment horizontal="center"/>
    </xf>
    <xf numFmtId="165" fontId="24" fillId="4" borderId="8" xfId="4" applyFont="1" applyFill="1" applyBorder="1" applyAlignment="1">
      <alignment horizontal="center"/>
    </xf>
    <xf numFmtId="165" fontId="24" fillId="4" borderId="9" xfId="4" applyFont="1" applyFill="1" applyBorder="1" applyAlignment="1">
      <alignment horizontal="center"/>
    </xf>
    <xf numFmtId="165" fontId="24" fillId="4" borderId="10" xfId="4" applyFont="1" applyFill="1" applyBorder="1" applyAlignment="1">
      <alignment horizontal="center" wrapText="1"/>
    </xf>
    <xf numFmtId="165" fontId="24" fillId="4" borderId="28" xfId="4" applyFont="1" applyFill="1" applyBorder="1" applyAlignment="1">
      <alignment horizontal="center" wrapText="1"/>
    </xf>
    <xf numFmtId="0" fontId="23" fillId="4" borderId="11" xfId="6" applyFont="1" applyFill="1" applyBorder="1" applyAlignment="1">
      <alignment horizontal="center" vertical="center" wrapText="1"/>
    </xf>
    <xf numFmtId="0" fontId="23" fillId="4" borderId="5" xfId="6" applyFont="1" applyFill="1" applyBorder="1" applyAlignment="1">
      <alignment horizontal="center" vertical="center" wrapText="1"/>
    </xf>
    <xf numFmtId="0" fontId="23" fillId="4" borderId="6" xfId="6" applyFont="1" applyFill="1" applyBorder="1" applyAlignment="1">
      <alignment horizontal="center" vertical="center" wrapText="1"/>
    </xf>
    <xf numFmtId="165" fontId="23" fillId="4" borderId="11" xfId="6" applyNumberFormat="1" applyFont="1" applyFill="1" applyBorder="1" applyAlignment="1">
      <alignment horizontal="center" vertical="center"/>
    </xf>
    <xf numFmtId="165" fontId="23" fillId="4" borderId="5" xfId="6" applyNumberFormat="1" applyFont="1" applyFill="1" applyBorder="1" applyAlignment="1">
      <alignment horizontal="center" vertical="center"/>
    </xf>
    <xf numFmtId="165" fontId="23" fillId="4" borderId="6" xfId="6" applyNumberFormat="1" applyFont="1" applyFill="1" applyBorder="1" applyAlignment="1">
      <alignment horizontal="center" vertical="center"/>
    </xf>
    <xf numFmtId="165" fontId="23" fillId="4" borderId="14" xfId="6" applyNumberFormat="1" applyFont="1" applyFill="1" applyBorder="1" applyAlignment="1">
      <alignment horizontal="center" wrapText="1"/>
    </xf>
    <xf numFmtId="165" fontId="23" fillId="4" borderId="29" xfId="6" applyNumberFormat="1" applyFont="1" applyFill="1" applyBorder="1" applyAlignment="1">
      <alignment horizontal="center" wrapText="1"/>
    </xf>
    <xf numFmtId="165" fontId="23" fillId="6" borderId="14" xfId="6" applyNumberFormat="1" applyFont="1" applyFill="1" applyBorder="1" applyAlignment="1">
      <alignment horizontal="center" vertical="center"/>
    </xf>
    <xf numFmtId="165" fontId="23" fillId="6" borderId="29" xfId="6" applyNumberFormat="1" applyFont="1" applyFill="1" applyBorder="1" applyAlignment="1">
      <alignment horizontal="center" vertical="center"/>
    </xf>
    <xf numFmtId="165" fontId="23" fillId="4" borderId="16" xfId="6" applyNumberFormat="1" applyFont="1" applyFill="1" applyBorder="1" applyAlignment="1">
      <alignment horizontal="center" vertical="center" wrapText="1"/>
    </xf>
    <xf numFmtId="165" fontId="23" fillId="4" borderId="26" xfId="6" applyNumberFormat="1" applyFont="1" applyFill="1" applyBorder="1" applyAlignment="1">
      <alignment horizontal="center" vertical="center" wrapText="1"/>
    </xf>
    <xf numFmtId="43" fontId="23" fillId="2" borderId="2" xfId="7" applyNumberFormat="1" applyFont="1" applyFill="1" applyBorder="1" applyAlignment="1">
      <alignment horizontal="center" vertical="center" wrapText="1"/>
    </xf>
    <xf numFmtId="43" fontId="23" fillId="2" borderId="22" xfId="7" applyNumberFormat="1" applyFont="1" applyFill="1" applyBorder="1" applyAlignment="1">
      <alignment horizontal="center" vertical="center" wrapText="1"/>
    </xf>
  </cellXfs>
  <cellStyles count="11">
    <cellStyle name="Comma" xfId="1" builtinId="3"/>
    <cellStyle name="Comma 11" xfId="4" xr:uid="{EE2AD28B-489B-4914-B5C5-6ECE837E2976}"/>
    <cellStyle name="Comma 2" xfId="8" xr:uid="{DF0035A1-681A-4CE0-8C4B-C367E1D5E74F}"/>
    <cellStyle name="Comma 2 2" xfId="7" xr:uid="{DBEB1A54-E58C-4234-B74A-1AABE05774C7}"/>
    <cellStyle name="Comma 3" xfId="5" xr:uid="{B8AAA321-324F-4E40-8F28-B52E295D8915}"/>
    <cellStyle name="Comma 7 2" xfId="10" xr:uid="{20F58EC0-A4E4-49C2-A220-2D7B6ABFA2DC}"/>
    <cellStyle name="Normal" xfId="0" builtinId="0"/>
    <cellStyle name="Normal 2" xfId="6" xr:uid="{F1D68644-93FF-4DDE-982A-C49419BCD690}"/>
    <cellStyle name="Normal 2 2" xfId="3" xr:uid="{08D31458-6989-4F09-8998-4F2638AEDFCC}"/>
    <cellStyle name="Normal 4" xfId="2" xr:uid="{2873B862-B534-4056-B331-B628DAC904C7}"/>
    <cellStyle name="Normal 41" xfId="9" xr:uid="{4673072B-3602-4948-BF9A-C9C16D53C79F}"/>
  </cellStyles>
  <dxfs count="0"/>
  <tableStyles count="0" defaultTableStyle="TableStyleMedium2" defaultPivotStyle="PivotStyleLight16"/>
  <colors>
    <mruColors>
      <color rgb="FF50456B"/>
      <color rgb="FF00FF00"/>
      <color rgb="FF03B5CD"/>
      <color rgb="FFFF9933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77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8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haredStrings" Target="sharedString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.xml"/><Relationship Id="rId1" Type="http://schemas.openxmlformats.org/officeDocument/2006/relationships/vmlDrawing" Target="../drawings/vmlDrawing36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.xml"/><Relationship Id="rId1" Type="http://schemas.openxmlformats.org/officeDocument/2006/relationships/vmlDrawing" Target="../drawings/vmlDrawing42.v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.xml"/><Relationship Id="rId1" Type="http://schemas.openxmlformats.org/officeDocument/2006/relationships/vmlDrawing" Target="../drawings/vmlDrawing43.v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.xml"/><Relationship Id="rId1" Type="http://schemas.openxmlformats.org/officeDocument/2006/relationships/vmlDrawing" Target="../drawings/vmlDrawing44.v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.xml"/><Relationship Id="rId1" Type="http://schemas.openxmlformats.org/officeDocument/2006/relationships/vmlDrawing" Target="../drawings/vmlDrawing45.v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.xml"/><Relationship Id="rId1" Type="http://schemas.openxmlformats.org/officeDocument/2006/relationships/vmlDrawing" Target="../drawings/vmlDrawing46.v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.xml"/><Relationship Id="rId1" Type="http://schemas.openxmlformats.org/officeDocument/2006/relationships/vmlDrawing" Target="../drawings/vmlDrawing47.v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.xml"/><Relationship Id="rId1" Type="http://schemas.openxmlformats.org/officeDocument/2006/relationships/vmlDrawing" Target="../drawings/vmlDrawing48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.xml"/><Relationship Id="rId1" Type="http://schemas.openxmlformats.org/officeDocument/2006/relationships/vmlDrawing" Target="../drawings/vmlDrawing49.v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.xml"/><Relationship Id="rId1" Type="http://schemas.openxmlformats.org/officeDocument/2006/relationships/vmlDrawing" Target="../drawings/vmlDrawing50.v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1.xml"/><Relationship Id="rId1" Type="http://schemas.openxmlformats.org/officeDocument/2006/relationships/vmlDrawing" Target="../drawings/vmlDrawing51.v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2.xml"/><Relationship Id="rId1" Type="http://schemas.openxmlformats.org/officeDocument/2006/relationships/vmlDrawing" Target="../drawings/vmlDrawing52.v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3.xml"/><Relationship Id="rId1" Type="http://schemas.openxmlformats.org/officeDocument/2006/relationships/vmlDrawing" Target="../drawings/vmlDrawing53.v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4.xml"/><Relationship Id="rId1" Type="http://schemas.openxmlformats.org/officeDocument/2006/relationships/vmlDrawing" Target="../drawings/vmlDrawing54.v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5.xml"/><Relationship Id="rId1" Type="http://schemas.openxmlformats.org/officeDocument/2006/relationships/vmlDrawing" Target="../drawings/vmlDrawing55.v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6.xml"/><Relationship Id="rId1" Type="http://schemas.openxmlformats.org/officeDocument/2006/relationships/vmlDrawing" Target="../drawings/vmlDrawing56.v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7.xml"/><Relationship Id="rId1" Type="http://schemas.openxmlformats.org/officeDocument/2006/relationships/vmlDrawing" Target="../drawings/vmlDrawing57.v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8.xml"/><Relationship Id="rId1" Type="http://schemas.openxmlformats.org/officeDocument/2006/relationships/vmlDrawing" Target="../drawings/vmlDrawing58.v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9.xml"/><Relationship Id="rId1" Type="http://schemas.openxmlformats.org/officeDocument/2006/relationships/vmlDrawing" Target="../drawings/vmlDrawing59.v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0.xml"/><Relationship Id="rId1" Type="http://schemas.openxmlformats.org/officeDocument/2006/relationships/vmlDrawing" Target="../drawings/vmlDrawing60.v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1.xml"/><Relationship Id="rId1" Type="http://schemas.openxmlformats.org/officeDocument/2006/relationships/vmlDrawing" Target="../drawings/vmlDrawing61.v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62.xml"/><Relationship Id="rId1" Type="http://schemas.openxmlformats.org/officeDocument/2006/relationships/vmlDrawing" Target="../drawings/vmlDrawing62.v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3.xml"/><Relationship Id="rId1" Type="http://schemas.openxmlformats.org/officeDocument/2006/relationships/vmlDrawing" Target="../drawings/vmlDrawing63.v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4.xml"/><Relationship Id="rId1" Type="http://schemas.openxmlformats.org/officeDocument/2006/relationships/vmlDrawing" Target="../drawings/vmlDrawing64.v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5.xml"/><Relationship Id="rId1" Type="http://schemas.openxmlformats.org/officeDocument/2006/relationships/vmlDrawing" Target="../drawings/vmlDrawing65.v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6.xml"/><Relationship Id="rId1" Type="http://schemas.openxmlformats.org/officeDocument/2006/relationships/vmlDrawing" Target="../drawings/vmlDrawing66.v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7.xml"/><Relationship Id="rId1" Type="http://schemas.openxmlformats.org/officeDocument/2006/relationships/vmlDrawing" Target="../drawings/vmlDrawing67.v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8.xml"/><Relationship Id="rId1" Type="http://schemas.openxmlformats.org/officeDocument/2006/relationships/vmlDrawing" Target="../drawings/vmlDrawing68.v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9.xml"/><Relationship Id="rId1" Type="http://schemas.openxmlformats.org/officeDocument/2006/relationships/vmlDrawing" Target="../drawings/vmlDrawing69.v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0.xml"/><Relationship Id="rId1" Type="http://schemas.openxmlformats.org/officeDocument/2006/relationships/vmlDrawing" Target="../drawings/vmlDrawing70.v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71.xml"/><Relationship Id="rId1" Type="http://schemas.openxmlformats.org/officeDocument/2006/relationships/vmlDrawing" Target="../drawings/vmlDrawing71.v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72.xml"/><Relationship Id="rId1" Type="http://schemas.openxmlformats.org/officeDocument/2006/relationships/vmlDrawing" Target="../drawings/vmlDrawing72.v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73.xml"/><Relationship Id="rId1" Type="http://schemas.openxmlformats.org/officeDocument/2006/relationships/vmlDrawing" Target="../drawings/vmlDrawing73.v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4.xml"/><Relationship Id="rId1" Type="http://schemas.openxmlformats.org/officeDocument/2006/relationships/vmlDrawing" Target="../drawings/vmlDrawing74.v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5.xml"/><Relationship Id="rId1" Type="http://schemas.openxmlformats.org/officeDocument/2006/relationships/vmlDrawing" Target="../drawings/vmlDrawing75.v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76.xml"/><Relationship Id="rId1" Type="http://schemas.openxmlformats.org/officeDocument/2006/relationships/vmlDrawing" Target="../drawings/vmlDrawing76.v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7.xml"/><Relationship Id="rId1" Type="http://schemas.openxmlformats.org/officeDocument/2006/relationships/vmlDrawing" Target="../drawings/vmlDrawing77.v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8.xml"/><Relationship Id="rId1" Type="http://schemas.openxmlformats.org/officeDocument/2006/relationships/vmlDrawing" Target="../drawings/vmlDrawing78.v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9.xml"/><Relationship Id="rId1" Type="http://schemas.openxmlformats.org/officeDocument/2006/relationships/vmlDrawing" Target="../drawings/vmlDrawing79.v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0.xml"/><Relationship Id="rId1" Type="http://schemas.openxmlformats.org/officeDocument/2006/relationships/vmlDrawing" Target="../drawings/vmlDrawing80.v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comments" Target="../comments81.xml"/><Relationship Id="rId1" Type="http://schemas.openxmlformats.org/officeDocument/2006/relationships/vmlDrawing" Target="../drawings/vmlDrawing81.v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2.xml"/><Relationship Id="rId1" Type="http://schemas.openxmlformats.org/officeDocument/2006/relationships/vmlDrawing" Target="../drawings/vmlDrawing82.v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comments" Target="../comments83.xml"/><Relationship Id="rId1" Type="http://schemas.openxmlformats.org/officeDocument/2006/relationships/vmlDrawing" Target="../drawings/vmlDrawing83.v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comments" Target="../comments84.xml"/><Relationship Id="rId1" Type="http://schemas.openxmlformats.org/officeDocument/2006/relationships/vmlDrawing" Target="../drawings/vmlDrawing84.v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comments" Target="../comments85.xml"/><Relationship Id="rId1" Type="http://schemas.openxmlformats.org/officeDocument/2006/relationships/vmlDrawing" Target="../drawings/vmlDrawing85.v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comments" Target="../comments86.xml"/><Relationship Id="rId1" Type="http://schemas.openxmlformats.org/officeDocument/2006/relationships/vmlDrawing" Target="../drawings/vmlDrawing86.v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comments" Target="../comments87.xml"/><Relationship Id="rId1" Type="http://schemas.openxmlformats.org/officeDocument/2006/relationships/vmlDrawing" Target="../drawings/vmlDrawing87.v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8.xml"/><Relationship Id="rId1" Type="http://schemas.openxmlformats.org/officeDocument/2006/relationships/vmlDrawing" Target="../drawings/vmlDrawing88.v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9.xml"/><Relationship Id="rId1" Type="http://schemas.openxmlformats.org/officeDocument/2006/relationships/vmlDrawing" Target="../drawings/vmlDrawing89.v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comments" Target="../comments90.xml"/><Relationship Id="rId1" Type="http://schemas.openxmlformats.org/officeDocument/2006/relationships/vmlDrawing" Target="../drawings/vmlDrawing90.v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1.xml"/><Relationship Id="rId1" Type="http://schemas.openxmlformats.org/officeDocument/2006/relationships/vmlDrawing" Target="../drawings/vmlDrawing91.v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comments" Target="../comments92.xml"/><Relationship Id="rId1" Type="http://schemas.openxmlformats.org/officeDocument/2006/relationships/vmlDrawing" Target="../drawings/vmlDrawing92.v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comments" Target="../comments93.xml"/><Relationship Id="rId1" Type="http://schemas.openxmlformats.org/officeDocument/2006/relationships/vmlDrawing" Target="../drawings/vmlDrawing93.v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comments" Target="../comments94.xml"/><Relationship Id="rId1" Type="http://schemas.openxmlformats.org/officeDocument/2006/relationships/vmlDrawing" Target="../drawings/vmlDrawing94.v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comments" Target="../comments95.xml"/><Relationship Id="rId1" Type="http://schemas.openxmlformats.org/officeDocument/2006/relationships/vmlDrawing" Target="../drawings/vmlDrawing95.v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comments" Target="../comments96.xml"/><Relationship Id="rId1" Type="http://schemas.openxmlformats.org/officeDocument/2006/relationships/vmlDrawing" Target="../drawings/vmlDrawing96.v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comments" Target="../comments97.xml"/><Relationship Id="rId1" Type="http://schemas.openxmlformats.org/officeDocument/2006/relationships/vmlDrawing" Target="../drawings/vmlDrawing97.v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comments" Target="../comments98.xml"/><Relationship Id="rId1" Type="http://schemas.openxmlformats.org/officeDocument/2006/relationships/vmlDrawing" Target="../drawings/vmlDrawing98.v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9.xml"/><Relationship Id="rId1" Type="http://schemas.openxmlformats.org/officeDocument/2006/relationships/vmlDrawing" Target="../drawings/vmlDrawing99.v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0.xml"/><Relationship Id="rId1" Type="http://schemas.openxmlformats.org/officeDocument/2006/relationships/vmlDrawing" Target="../drawings/vmlDrawing100.v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1.xml"/><Relationship Id="rId1" Type="http://schemas.openxmlformats.org/officeDocument/2006/relationships/vmlDrawing" Target="../drawings/vmlDrawing101.v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2.xml"/><Relationship Id="rId1" Type="http://schemas.openxmlformats.org/officeDocument/2006/relationships/vmlDrawing" Target="../drawings/vmlDrawing102.v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3.xml"/><Relationship Id="rId1" Type="http://schemas.openxmlformats.org/officeDocument/2006/relationships/vmlDrawing" Target="../drawings/vmlDrawing103.v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4.xml"/><Relationship Id="rId1" Type="http://schemas.openxmlformats.org/officeDocument/2006/relationships/vmlDrawing" Target="../drawings/vmlDrawing104.v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5.xml"/><Relationship Id="rId1" Type="http://schemas.openxmlformats.org/officeDocument/2006/relationships/vmlDrawing" Target="../drawings/vmlDrawing105.v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6.xml"/><Relationship Id="rId1" Type="http://schemas.openxmlformats.org/officeDocument/2006/relationships/vmlDrawing" Target="../drawings/vmlDrawing106.v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7.xml"/><Relationship Id="rId1" Type="http://schemas.openxmlformats.org/officeDocument/2006/relationships/vmlDrawing" Target="../drawings/vmlDrawing107.v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8.xml"/><Relationship Id="rId1" Type="http://schemas.openxmlformats.org/officeDocument/2006/relationships/vmlDrawing" Target="../drawings/vmlDrawing108.v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9.xml"/><Relationship Id="rId1" Type="http://schemas.openxmlformats.org/officeDocument/2006/relationships/vmlDrawing" Target="../drawings/vmlDrawing109.v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0.xml"/><Relationship Id="rId1" Type="http://schemas.openxmlformats.org/officeDocument/2006/relationships/vmlDrawing" Target="../drawings/vmlDrawing110.v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1.xml"/><Relationship Id="rId1" Type="http://schemas.openxmlformats.org/officeDocument/2006/relationships/vmlDrawing" Target="../drawings/vmlDrawing111.v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2.xml"/><Relationship Id="rId1" Type="http://schemas.openxmlformats.org/officeDocument/2006/relationships/vmlDrawing" Target="../drawings/vmlDrawing112.v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3.xml"/><Relationship Id="rId1" Type="http://schemas.openxmlformats.org/officeDocument/2006/relationships/vmlDrawing" Target="../drawings/vmlDrawing113.v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4.xml"/><Relationship Id="rId1" Type="http://schemas.openxmlformats.org/officeDocument/2006/relationships/vmlDrawing" Target="../drawings/vmlDrawing114.vml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5.xml"/><Relationship Id="rId1" Type="http://schemas.openxmlformats.org/officeDocument/2006/relationships/vmlDrawing" Target="../drawings/vmlDrawing115.vml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6.xml"/><Relationship Id="rId1" Type="http://schemas.openxmlformats.org/officeDocument/2006/relationships/vmlDrawing" Target="../drawings/vmlDrawing116.vml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7.xml"/><Relationship Id="rId1" Type="http://schemas.openxmlformats.org/officeDocument/2006/relationships/vmlDrawing" Target="../drawings/vmlDrawing117.vml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8.xml"/><Relationship Id="rId1" Type="http://schemas.openxmlformats.org/officeDocument/2006/relationships/vmlDrawing" Target="../drawings/vmlDrawing118.vml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9.xml"/><Relationship Id="rId1" Type="http://schemas.openxmlformats.org/officeDocument/2006/relationships/vmlDrawing" Target="../drawings/vmlDrawing119.vml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0.xml"/><Relationship Id="rId1" Type="http://schemas.openxmlformats.org/officeDocument/2006/relationships/vmlDrawing" Target="../drawings/vmlDrawing120.vml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1.xml"/><Relationship Id="rId1" Type="http://schemas.openxmlformats.org/officeDocument/2006/relationships/vmlDrawing" Target="../drawings/vmlDrawing121.vml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2.xml"/><Relationship Id="rId1" Type="http://schemas.openxmlformats.org/officeDocument/2006/relationships/vmlDrawing" Target="../drawings/vmlDrawing122.vml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3.xml"/><Relationship Id="rId1" Type="http://schemas.openxmlformats.org/officeDocument/2006/relationships/vmlDrawing" Target="../drawings/vmlDrawing123.vml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4.xml"/><Relationship Id="rId1" Type="http://schemas.openxmlformats.org/officeDocument/2006/relationships/vmlDrawing" Target="../drawings/vmlDrawing124.vml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5.xml"/><Relationship Id="rId1" Type="http://schemas.openxmlformats.org/officeDocument/2006/relationships/vmlDrawing" Target="../drawings/vmlDrawing125.vml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6.xml"/><Relationship Id="rId1" Type="http://schemas.openxmlformats.org/officeDocument/2006/relationships/vmlDrawing" Target="../drawings/vmlDrawing126.vml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7.xml"/><Relationship Id="rId1" Type="http://schemas.openxmlformats.org/officeDocument/2006/relationships/vmlDrawing" Target="../drawings/vmlDrawing127.vml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8.xml"/><Relationship Id="rId1" Type="http://schemas.openxmlformats.org/officeDocument/2006/relationships/vmlDrawing" Target="../drawings/vmlDrawing128.vml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9.xml"/><Relationship Id="rId1" Type="http://schemas.openxmlformats.org/officeDocument/2006/relationships/vmlDrawing" Target="../drawings/vmlDrawing129.vml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0.xml"/><Relationship Id="rId1" Type="http://schemas.openxmlformats.org/officeDocument/2006/relationships/vmlDrawing" Target="../drawings/vmlDrawing130.vml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1.xml"/><Relationship Id="rId1" Type="http://schemas.openxmlformats.org/officeDocument/2006/relationships/vmlDrawing" Target="../drawings/vmlDrawing131.vml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2.xml"/><Relationship Id="rId1" Type="http://schemas.openxmlformats.org/officeDocument/2006/relationships/vmlDrawing" Target="../drawings/vmlDrawing132.vml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3.xml"/><Relationship Id="rId1" Type="http://schemas.openxmlformats.org/officeDocument/2006/relationships/vmlDrawing" Target="../drawings/vmlDrawing133.vml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4.xml"/><Relationship Id="rId1" Type="http://schemas.openxmlformats.org/officeDocument/2006/relationships/vmlDrawing" Target="../drawings/vmlDrawing134.vml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5.xml"/><Relationship Id="rId1" Type="http://schemas.openxmlformats.org/officeDocument/2006/relationships/vmlDrawing" Target="../drawings/vmlDrawing135.vml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6.xml"/><Relationship Id="rId1" Type="http://schemas.openxmlformats.org/officeDocument/2006/relationships/vmlDrawing" Target="../drawings/vmlDrawing136.vml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7.xml"/><Relationship Id="rId1" Type="http://schemas.openxmlformats.org/officeDocument/2006/relationships/vmlDrawing" Target="../drawings/vmlDrawing137.vml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8.xml"/><Relationship Id="rId1" Type="http://schemas.openxmlformats.org/officeDocument/2006/relationships/vmlDrawing" Target="../drawings/vmlDrawing138.vml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9.xml"/><Relationship Id="rId1" Type="http://schemas.openxmlformats.org/officeDocument/2006/relationships/vmlDrawing" Target="../drawings/vmlDrawing139.vml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0.xml"/><Relationship Id="rId1" Type="http://schemas.openxmlformats.org/officeDocument/2006/relationships/vmlDrawing" Target="../drawings/vmlDrawing140.vml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1.xml"/><Relationship Id="rId1" Type="http://schemas.openxmlformats.org/officeDocument/2006/relationships/vmlDrawing" Target="../drawings/vmlDrawing141.vml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2.xml"/><Relationship Id="rId1" Type="http://schemas.openxmlformats.org/officeDocument/2006/relationships/vmlDrawing" Target="../drawings/vmlDrawing142.vml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3.xml"/><Relationship Id="rId1" Type="http://schemas.openxmlformats.org/officeDocument/2006/relationships/vmlDrawing" Target="../drawings/vmlDrawing143.vml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4.xml"/><Relationship Id="rId1" Type="http://schemas.openxmlformats.org/officeDocument/2006/relationships/vmlDrawing" Target="../drawings/vmlDrawing144.vml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5.xml"/><Relationship Id="rId1" Type="http://schemas.openxmlformats.org/officeDocument/2006/relationships/vmlDrawing" Target="../drawings/vmlDrawing145.vml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6.xml"/><Relationship Id="rId1" Type="http://schemas.openxmlformats.org/officeDocument/2006/relationships/vmlDrawing" Target="../drawings/vmlDrawing146.vml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7.xml"/><Relationship Id="rId1" Type="http://schemas.openxmlformats.org/officeDocument/2006/relationships/vmlDrawing" Target="../drawings/vmlDrawing147.vml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8.xml"/><Relationship Id="rId1" Type="http://schemas.openxmlformats.org/officeDocument/2006/relationships/vmlDrawing" Target="../drawings/vmlDrawing148.vml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9.xml"/><Relationship Id="rId1" Type="http://schemas.openxmlformats.org/officeDocument/2006/relationships/vmlDrawing" Target="../drawings/vmlDrawing149.vml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0.xml"/><Relationship Id="rId1" Type="http://schemas.openxmlformats.org/officeDocument/2006/relationships/vmlDrawing" Target="../drawings/vmlDrawing150.vml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1.xml"/><Relationship Id="rId1" Type="http://schemas.openxmlformats.org/officeDocument/2006/relationships/vmlDrawing" Target="../drawings/vmlDrawing151.vml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2.xml"/><Relationship Id="rId1" Type="http://schemas.openxmlformats.org/officeDocument/2006/relationships/vmlDrawing" Target="../drawings/vmlDrawing152.vml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3.xml"/><Relationship Id="rId1" Type="http://schemas.openxmlformats.org/officeDocument/2006/relationships/vmlDrawing" Target="../drawings/vmlDrawing153.vml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4.xml"/><Relationship Id="rId1" Type="http://schemas.openxmlformats.org/officeDocument/2006/relationships/vmlDrawing" Target="../drawings/vmlDrawing154.vml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5.xml"/><Relationship Id="rId1" Type="http://schemas.openxmlformats.org/officeDocument/2006/relationships/vmlDrawing" Target="../drawings/vmlDrawing155.vml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6.xml"/><Relationship Id="rId1" Type="http://schemas.openxmlformats.org/officeDocument/2006/relationships/vmlDrawing" Target="../drawings/vmlDrawing156.vml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7.xml"/><Relationship Id="rId1" Type="http://schemas.openxmlformats.org/officeDocument/2006/relationships/vmlDrawing" Target="../drawings/vmlDrawing157.vml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8.xml"/><Relationship Id="rId1" Type="http://schemas.openxmlformats.org/officeDocument/2006/relationships/vmlDrawing" Target="../drawings/vmlDrawing158.vml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9.xml"/><Relationship Id="rId1" Type="http://schemas.openxmlformats.org/officeDocument/2006/relationships/vmlDrawing" Target="../drawings/vmlDrawing159.vml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0.xml"/><Relationship Id="rId1" Type="http://schemas.openxmlformats.org/officeDocument/2006/relationships/vmlDrawing" Target="../drawings/vmlDrawing160.vml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1.xml"/><Relationship Id="rId1" Type="http://schemas.openxmlformats.org/officeDocument/2006/relationships/vmlDrawing" Target="../drawings/vmlDrawing161.vml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2.xml"/><Relationship Id="rId1" Type="http://schemas.openxmlformats.org/officeDocument/2006/relationships/vmlDrawing" Target="../drawings/vmlDrawing162.vml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3.xml"/><Relationship Id="rId1" Type="http://schemas.openxmlformats.org/officeDocument/2006/relationships/vmlDrawing" Target="../drawings/vmlDrawing163.vml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4.xml"/><Relationship Id="rId1" Type="http://schemas.openxmlformats.org/officeDocument/2006/relationships/vmlDrawing" Target="../drawings/vmlDrawing164.vml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5.xml"/><Relationship Id="rId1" Type="http://schemas.openxmlformats.org/officeDocument/2006/relationships/vmlDrawing" Target="../drawings/vmlDrawing165.vml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6.xml"/><Relationship Id="rId1" Type="http://schemas.openxmlformats.org/officeDocument/2006/relationships/vmlDrawing" Target="../drawings/vmlDrawing166.vml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7.xml"/><Relationship Id="rId1" Type="http://schemas.openxmlformats.org/officeDocument/2006/relationships/vmlDrawing" Target="../drawings/vmlDrawing167.vml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8.xml"/><Relationship Id="rId1" Type="http://schemas.openxmlformats.org/officeDocument/2006/relationships/vmlDrawing" Target="../drawings/vmlDrawing168.vml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9.xml"/><Relationship Id="rId1" Type="http://schemas.openxmlformats.org/officeDocument/2006/relationships/vmlDrawing" Target="../drawings/vmlDrawing169.vml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0.xml"/><Relationship Id="rId1" Type="http://schemas.openxmlformats.org/officeDocument/2006/relationships/vmlDrawing" Target="../drawings/vmlDrawing170.vml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1.xml"/><Relationship Id="rId1" Type="http://schemas.openxmlformats.org/officeDocument/2006/relationships/vmlDrawing" Target="../drawings/vmlDrawing171.vml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2.xml"/><Relationship Id="rId1" Type="http://schemas.openxmlformats.org/officeDocument/2006/relationships/vmlDrawing" Target="../drawings/vmlDrawing172.vml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3.xml"/><Relationship Id="rId1" Type="http://schemas.openxmlformats.org/officeDocument/2006/relationships/vmlDrawing" Target="../drawings/vmlDrawing173.vml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4.xml"/><Relationship Id="rId1" Type="http://schemas.openxmlformats.org/officeDocument/2006/relationships/vmlDrawing" Target="../drawings/vmlDrawing174.vml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5.xml"/><Relationship Id="rId1" Type="http://schemas.openxmlformats.org/officeDocument/2006/relationships/vmlDrawing" Target="../drawings/vmlDrawing175.vml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6.xml"/><Relationship Id="rId1" Type="http://schemas.openxmlformats.org/officeDocument/2006/relationships/vmlDrawing" Target="../drawings/vmlDrawing17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DB263-DB3A-451F-9B34-0CD51BFFE785}">
  <sheetPr>
    <tabColor rgb="FF002060"/>
    <pageSetUpPr fitToPage="1"/>
  </sheetPr>
  <dimension ref="A1:CY493"/>
  <sheetViews>
    <sheetView topLeftCell="A450" zoomScale="96" zoomScaleNormal="96" workbookViewId="0">
      <selection activeCell="N493" sqref="N493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18.5703125" style="155" customWidth="1"/>
    <col min="9" max="9" width="9.140625" style="155"/>
    <col min="10" max="10" width="14.28515625" style="155" customWidth="1"/>
    <col min="11" max="11" width="9.140625" style="155"/>
    <col min="12" max="12" width="11.28515625" style="155" customWidth="1"/>
    <col min="13" max="13" width="11.7109375" style="155" customWidth="1"/>
    <col min="14" max="14" width="16.85546875" style="155" customWidth="1"/>
    <col min="15" max="16" width="9.140625" style="155"/>
    <col min="17" max="17" width="10.42578125" style="155" customWidth="1"/>
    <col min="18" max="18" width="11.7109375" style="155" customWidth="1"/>
    <col min="19" max="33" width="9.140625" style="155"/>
    <col min="34" max="34" width="11" style="155" customWidth="1"/>
    <col min="35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98" width="9.140625" style="155"/>
    <col min="99" max="99" width="14.85546875" style="155" customWidth="1"/>
    <col min="100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x14ac:dyDescent="0.2">
      <c r="A5" s="2">
        <v>45870</v>
      </c>
      <c r="B5" s="3" t="s">
        <v>343</v>
      </c>
      <c r="C5" s="4" t="s">
        <v>505</v>
      </c>
      <c r="D5" s="5" t="s">
        <v>122</v>
      </c>
      <c r="E5" s="6" t="s">
        <v>298</v>
      </c>
      <c r="F5" s="7" t="s">
        <v>229</v>
      </c>
      <c r="G5" s="8" t="s">
        <v>344</v>
      </c>
      <c r="H5" s="8">
        <v>281682</v>
      </c>
      <c r="I5" s="10" t="s">
        <v>394</v>
      </c>
      <c r="J5" s="11" t="s">
        <v>345</v>
      </c>
      <c r="K5" s="12">
        <v>2</v>
      </c>
      <c r="L5" s="13">
        <v>229</v>
      </c>
      <c r="M5" s="14">
        <f t="shared" ref="M5" si="0">L5*K5</f>
        <v>458</v>
      </c>
      <c r="N5" s="15"/>
      <c r="O5" s="16" t="s">
        <v>111</v>
      </c>
      <c r="P5" s="17">
        <f>M5/1.12*0.01</f>
        <v>4.0892857142857135</v>
      </c>
      <c r="Q5" s="18">
        <f>M5/1.12*0.12</f>
        <v>49.071428571428562</v>
      </c>
      <c r="R5" s="5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E5" s="5"/>
      <c r="AF5" s="19"/>
      <c r="AG5" s="5"/>
      <c r="AH5" s="17">
        <f>M5+P5-Q5</f>
        <v>413.01785714285717</v>
      </c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T5" s="5"/>
      <c r="AU5" s="19"/>
      <c r="AV5" s="5"/>
      <c r="AW5" s="22"/>
      <c r="AX5" s="19"/>
      <c r="AY5" s="5"/>
      <c r="AZ5" s="19"/>
      <c r="BA5" s="5"/>
      <c r="BB5" s="5"/>
      <c r="BC5" s="19"/>
      <c r="BD5" s="19"/>
      <c r="BE5" s="19"/>
      <c r="BF5" s="19"/>
      <c r="BG5" s="19"/>
      <c r="BH5" s="19"/>
      <c r="BI5" s="19"/>
      <c r="BJ5" s="19"/>
      <c r="BK5" s="13"/>
      <c r="BL5" s="5"/>
      <c r="BM5" s="5"/>
      <c r="BN5" s="19"/>
      <c r="BO5" s="17"/>
      <c r="BP5" s="19"/>
      <c r="BQ5" s="17"/>
      <c r="BR5" s="19"/>
      <c r="BS5" s="13"/>
      <c r="BT5" s="5"/>
      <c r="BU5" s="23"/>
      <c r="BV5" s="23"/>
      <c r="BW5" s="24"/>
      <c r="BX5" s="5"/>
      <c r="BY5" s="5"/>
      <c r="BZ5" s="5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>
        <f>SUM(Q5:CT5)-P5</f>
        <v>458</v>
      </c>
      <c r="CV5" s="25">
        <f>CU5-M5</f>
        <v>0</v>
      </c>
      <c r="CW5" s="26"/>
      <c r="CX5" s="5"/>
      <c r="CY5" s="5"/>
    </row>
    <row r="6" spans="1:103" x14ac:dyDescent="0.2">
      <c r="A6" s="27"/>
      <c r="B6" s="28"/>
      <c r="C6" s="29"/>
      <c r="D6" s="30"/>
      <c r="E6" s="31"/>
      <c r="F6" s="32"/>
      <c r="G6" s="33"/>
      <c r="H6" s="34"/>
      <c r="I6" s="34"/>
      <c r="J6" s="35"/>
      <c r="K6" s="36"/>
      <c r="L6" s="37"/>
      <c r="M6" s="38">
        <f>SUM(M5:M5)</f>
        <v>458</v>
      </c>
      <c r="N6" s="38"/>
      <c r="O6" s="39" t="s">
        <v>111</v>
      </c>
      <c r="P6" s="38">
        <f>SUM(P5:P5)</f>
        <v>4.0892857142857135</v>
      </c>
      <c r="Q6" s="38">
        <f>SUM(Q5:Q5)</f>
        <v>49.071428571428562</v>
      </c>
      <c r="R6" s="30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E6" s="30"/>
      <c r="AF6" s="38">
        <f>SUM(AF5:AF5)</f>
        <v>0</v>
      </c>
      <c r="AG6" s="30"/>
      <c r="AH6" s="38">
        <f>SUM(AH5:AH5)</f>
        <v>413.01785714285717</v>
      </c>
      <c r="AI6" s="38">
        <f t="shared" ref="AI6:AZ6" si="2">SUM(AI5:AI5)</f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A6" s="30"/>
      <c r="BB6" s="38">
        <f t="shared" ref="BB6:CT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17">
        <f t="shared" ref="CU6:CU69" si="4">SUM(Q6:CT6)-P6</f>
        <v>458</v>
      </c>
      <c r="CV6" s="25">
        <f t="shared" ref="CV6:CV69" si="5">CU6-M6</f>
        <v>0</v>
      </c>
      <c r="CW6" s="40"/>
      <c r="CX6" s="30"/>
      <c r="CY6" s="30"/>
    </row>
    <row r="7" spans="1:103" x14ac:dyDescent="0.2">
      <c r="A7" s="2">
        <v>45870</v>
      </c>
      <c r="B7" s="3" t="s">
        <v>343</v>
      </c>
      <c r="C7" s="4" t="s">
        <v>506</v>
      </c>
      <c r="D7" s="5" t="s">
        <v>122</v>
      </c>
      <c r="E7" s="6" t="s">
        <v>347</v>
      </c>
      <c r="F7" s="7" t="s">
        <v>224</v>
      </c>
      <c r="G7" s="8" t="s">
        <v>244</v>
      </c>
      <c r="H7" s="8">
        <v>6472</v>
      </c>
      <c r="I7" s="10" t="s">
        <v>393</v>
      </c>
      <c r="J7" s="11" t="s">
        <v>348</v>
      </c>
      <c r="K7" s="12">
        <v>1</v>
      </c>
      <c r="L7" s="13">
        <v>6080</v>
      </c>
      <c r="M7" s="14">
        <f t="shared" ref="M7" si="6">L7*K7</f>
        <v>6080</v>
      </c>
      <c r="N7" s="15"/>
      <c r="O7" s="16" t="s">
        <v>111</v>
      </c>
      <c r="P7" s="17">
        <f>M7/1.12*0.01</f>
        <v>54.285714285714285</v>
      </c>
      <c r="Q7" s="18">
        <f>M7/1.12*0.12</f>
        <v>651.42857142857144</v>
      </c>
      <c r="R7" s="5"/>
      <c r="S7" s="19"/>
      <c r="T7" s="19"/>
      <c r="U7" s="19"/>
      <c r="V7" s="19"/>
      <c r="W7" s="17"/>
      <c r="X7" s="20"/>
      <c r="Y7" s="19"/>
      <c r="Z7" s="19"/>
      <c r="AA7" s="19"/>
      <c r="AB7" s="19"/>
      <c r="AC7" s="19"/>
      <c r="AD7" s="19"/>
      <c r="AE7" s="5"/>
      <c r="AF7" s="19"/>
      <c r="AG7" s="5"/>
      <c r="AH7" s="5"/>
      <c r="AI7" s="5"/>
      <c r="AJ7" s="19"/>
      <c r="AK7" s="19"/>
      <c r="AL7" s="17">
        <f>M7+P7-Q7</f>
        <v>5482.8571428571431</v>
      </c>
      <c r="AM7" s="17"/>
      <c r="AN7" s="19"/>
      <c r="AO7" s="19"/>
      <c r="AP7" s="19"/>
      <c r="AQ7" s="19"/>
      <c r="AR7" s="19"/>
      <c r="AS7" s="21"/>
      <c r="AT7" s="5"/>
      <c r="AU7" s="19"/>
      <c r="AV7" s="5"/>
      <c r="AW7" s="22"/>
      <c r="AX7" s="19"/>
      <c r="AY7" s="5"/>
      <c r="AZ7" s="19"/>
      <c r="BA7" s="5"/>
      <c r="BB7" s="5"/>
      <c r="BC7" s="19"/>
      <c r="BD7" s="19"/>
      <c r="BE7" s="19"/>
      <c r="BF7" s="19"/>
      <c r="BG7" s="19"/>
      <c r="BH7" s="19"/>
      <c r="BI7" s="19"/>
      <c r="BJ7" s="19"/>
      <c r="BK7" s="13"/>
      <c r="BL7" s="5"/>
      <c r="BM7" s="5"/>
      <c r="BN7" s="19"/>
      <c r="BO7" s="17"/>
      <c r="BP7" s="19"/>
      <c r="BQ7" s="17"/>
      <c r="BR7" s="19"/>
      <c r="BS7" s="13"/>
      <c r="BT7" s="5"/>
      <c r="BU7" s="23"/>
      <c r="BV7" s="23"/>
      <c r="BW7" s="24"/>
      <c r="BX7" s="5"/>
      <c r="BY7" s="5"/>
      <c r="BZ7" s="5"/>
      <c r="CA7" s="24"/>
      <c r="CB7" s="24"/>
      <c r="CC7" s="24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>
        <f t="shared" si="4"/>
        <v>6080</v>
      </c>
      <c r="CV7" s="25">
        <f t="shared" si="5"/>
        <v>0</v>
      </c>
      <c r="CW7" s="26"/>
      <c r="CX7" s="5"/>
      <c r="CY7" s="5"/>
    </row>
    <row r="8" spans="1:103" x14ac:dyDescent="0.2">
      <c r="A8" s="161"/>
      <c r="B8" s="162"/>
      <c r="C8" s="163"/>
      <c r="D8" s="164"/>
      <c r="E8" s="165"/>
      <c r="F8" s="166"/>
      <c r="G8" s="167"/>
      <c r="H8" s="168"/>
      <c r="I8" s="168"/>
      <c r="J8" s="169"/>
      <c r="K8" s="170"/>
      <c r="L8" s="171"/>
      <c r="M8" s="172">
        <f>SUM(M7:M7)</f>
        <v>6080</v>
      </c>
      <c r="N8" s="172">
        <f>M8+M6</f>
        <v>6538</v>
      </c>
      <c r="O8" s="173" t="s">
        <v>111</v>
      </c>
      <c r="P8" s="172">
        <f>SUM(P7:P7)</f>
        <v>54.285714285714285</v>
      </c>
      <c r="Q8" s="172">
        <f>SUM(Q7:Q7)</f>
        <v>651.42857142857144</v>
      </c>
      <c r="R8" s="164"/>
      <c r="S8" s="172">
        <f t="shared" ref="S8:AD8" si="7">SUM(S7:S7)</f>
        <v>0</v>
      </c>
      <c r="T8" s="172">
        <f t="shared" si="7"/>
        <v>0</v>
      </c>
      <c r="U8" s="172">
        <f t="shared" si="7"/>
        <v>0</v>
      </c>
      <c r="V8" s="172">
        <f t="shared" si="7"/>
        <v>0</v>
      </c>
      <c r="W8" s="172">
        <f t="shared" si="7"/>
        <v>0</v>
      </c>
      <c r="X8" s="172">
        <f t="shared" si="7"/>
        <v>0</v>
      </c>
      <c r="Y8" s="172">
        <f t="shared" si="7"/>
        <v>0</v>
      </c>
      <c r="Z8" s="172">
        <f t="shared" si="7"/>
        <v>0</v>
      </c>
      <c r="AA8" s="172">
        <f t="shared" si="7"/>
        <v>0</v>
      </c>
      <c r="AB8" s="172">
        <f t="shared" si="7"/>
        <v>0</v>
      </c>
      <c r="AC8" s="172">
        <f t="shared" si="7"/>
        <v>0</v>
      </c>
      <c r="AD8" s="172">
        <f t="shared" si="7"/>
        <v>0</v>
      </c>
      <c r="AE8" s="164"/>
      <c r="AF8" s="172">
        <f>SUM(AF7:AF7)</f>
        <v>0</v>
      </c>
      <c r="AG8" s="164"/>
      <c r="AH8" s="164"/>
      <c r="AI8" s="164"/>
      <c r="AJ8" s="172">
        <f t="shared" ref="AJ8:AZ8" si="8">SUM(AJ7:AJ7)</f>
        <v>0</v>
      </c>
      <c r="AK8" s="172">
        <f t="shared" si="8"/>
        <v>0</v>
      </c>
      <c r="AL8" s="172">
        <f>SUM(AL7:AL7)</f>
        <v>5482.8571428571431</v>
      </c>
      <c r="AM8" s="172">
        <f t="shared" si="8"/>
        <v>0</v>
      </c>
      <c r="AN8" s="172">
        <f t="shared" si="8"/>
        <v>0</v>
      </c>
      <c r="AO8" s="172">
        <f t="shared" si="8"/>
        <v>0</v>
      </c>
      <c r="AP8" s="172">
        <f t="shared" si="8"/>
        <v>0</v>
      </c>
      <c r="AQ8" s="172">
        <f t="shared" si="8"/>
        <v>0</v>
      </c>
      <c r="AR8" s="172">
        <f t="shared" si="8"/>
        <v>0</v>
      </c>
      <c r="AS8" s="172">
        <f t="shared" si="8"/>
        <v>0</v>
      </c>
      <c r="AT8" s="172">
        <f t="shared" si="8"/>
        <v>0</v>
      </c>
      <c r="AU8" s="172">
        <f t="shared" si="8"/>
        <v>0</v>
      </c>
      <c r="AV8" s="172">
        <f t="shared" si="8"/>
        <v>0</v>
      </c>
      <c r="AW8" s="172">
        <f t="shared" si="8"/>
        <v>0</v>
      </c>
      <c r="AX8" s="172">
        <f t="shared" si="8"/>
        <v>0</v>
      </c>
      <c r="AY8" s="172">
        <f t="shared" si="8"/>
        <v>0</v>
      </c>
      <c r="AZ8" s="172">
        <f t="shared" si="8"/>
        <v>0</v>
      </c>
      <c r="BA8" s="164"/>
      <c r="BB8" s="172">
        <f t="shared" ref="BB8:CT8" si="9">SUM(BB7:BB7)</f>
        <v>0</v>
      </c>
      <c r="BC8" s="172">
        <f t="shared" si="9"/>
        <v>0</v>
      </c>
      <c r="BD8" s="172">
        <f t="shared" si="9"/>
        <v>0</v>
      </c>
      <c r="BE8" s="172">
        <f t="shared" si="9"/>
        <v>0</v>
      </c>
      <c r="BF8" s="172">
        <f t="shared" si="9"/>
        <v>0</v>
      </c>
      <c r="BG8" s="172">
        <f t="shared" si="9"/>
        <v>0</v>
      </c>
      <c r="BH8" s="172">
        <f t="shared" si="9"/>
        <v>0</v>
      </c>
      <c r="BI8" s="172">
        <f t="shared" si="9"/>
        <v>0</v>
      </c>
      <c r="BJ8" s="172">
        <f t="shared" si="9"/>
        <v>0</v>
      </c>
      <c r="BK8" s="172">
        <f t="shared" si="9"/>
        <v>0</v>
      </c>
      <c r="BL8" s="172">
        <f t="shared" si="9"/>
        <v>0</v>
      </c>
      <c r="BM8" s="172">
        <f t="shared" si="9"/>
        <v>0</v>
      </c>
      <c r="BN8" s="172">
        <f t="shared" si="9"/>
        <v>0</v>
      </c>
      <c r="BO8" s="172">
        <f t="shared" si="9"/>
        <v>0</v>
      </c>
      <c r="BP8" s="172">
        <f t="shared" si="9"/>
        <v>0</v>
      </c>
      <c r="BQ8" s="172">
        <f t="shared" si="9"/>
        <v>0</v>
      </c>
      <c r="BR8" s="172">
        <f t="shared" si="9"/>
        <v>0</v>
      </c>
      <c r="BS8" s="172">
        <f t="shared" si="9"/>
        <v>0</v>
      </c>
      <c r="BT8" s="172">
        <f t="shared" si="9"/>
        <v>0</v>
      </c>
      <c r="BU8" s="172">
        <f t="shared" si="9"/>
        <v>0</v>
      </c>
      <c r="BV8" s="172">
        <f t="shared" si="9"/>
        <v>0</v>
      </c>
      <c r="BW8" s="172">
        <f t="shared" si="9"/>
        <v>0</v>
      </c>
      <c r="BX8" s="172">
        <f t="shared" si="9"/>
        <v>0</v>
      </c>
      <c r="BY8" s="172">
        <f t="shared" si="9"/>
        <v>0</v>
      </c>
      <c r="BZ8" s="172">
        <f t="shared" si="9"/>
        <v>0</v>
      </c>
      <c r="CA8" s="172">
        <f t="shared" si="9"/>
        <v>0</v>
      </c>
      <c r="CB8" s="172">
        <f t="shared" si="9"/>
        <v>0</v>
      </c>
      <c r="CC8" s="172">
        <f t="shared" si="9"/>
        <v>0</v>
      </c>
      <c r="CD8" s="172">
        <f t="shared" si="9"/>
        <v>0</v>
      </c>
      <c r="CE8" s="172">
        <f t="shared" si="9"/>
        <v>0</v>
      </c>
      <c r="CF8" s="172">
        <f t="shared" si="9"/>
        <v>0</v>
      </c>
      <c r="CG8" s="172">
        <f t="shared" si="9"/>
        <v>0</v>
      </c>
      <c r="CH8" s="172">
        <f t="shared" si="9"/>
        <v>0</v>
      </c>
      <c r="CI8" s="172">
        <f t="shared" si="9"/>
        <v>0</v>
      </c>
      <c r="CJ8" s="172">
        <f t="shared" si="9"/>
        <v>0</v>
      </c>
      <c r="CK8" s="172">
        <f t="shared" si="9"/>
        <v>0</v>
      </c>
      <c r="CL8" s="172">
        <f t="shared" si="9"/>
        <v>0</v>
      </c>
      <c r="CM8" s="172">
        <f t="shared" si="9"/>
        <v>0</v>
      </c>
      <c r="CN8" s="172">
        <f t="shared" si="9"/>
        <v>0</v>
      </c>
      <c r="CO8" s="172">
        <f t="shared" si="9"/>
        <v>0</v>
      </c>
      <c r="CP8" s="172">
        <f t="shared" si="9"/>
        <v>0</v>
      </c>
      <c r="CQ8" s="172">
        <f t="shared" si="9"/>
        <v>0</v>
      </c>
      <c r="CR8" s="172">
        <f t="shared" si="9"/>
        <v>0</v>
      </c>
      <c r="CS8" s="172">
        <f t="shared" si="9"/>
        <v>0</v>
      </c>
      <c r="CT8" s="172">
        <f t="shared" si="9"/>
        <v>0</v>
      </c>
      <c r="CU8" s="17">
        <f t="shared" si="4"/>
        <v>6080</v>
      </c>
      <c r="CV8" s="25">
        <f t="shared" si="5"/>
        <v>0</v>
      </c>
      <c r="CW8" s="176"/>
      <c r="CX8" s="164"/>
      <c r="CY8" s="164"/>
    </row>
    <row r="9" spans="1:103" x14ac:dyDescent="0.2">
      <c r="A9" s="2">
        <v>45871</v>
      </c>
      <c r="B9" s="3" t="s">
        <v>350</v>
      </c>
      <c r="C9" s="4" t="s">
        <v>507</v>
      </c>
      <c r="D9" s="5" t="s">
        <v>133</v>
      </c>
      <c r="E9" s="6" t="s">
        <v>266</v>
      </c>
      <c r="F9" s="7"/>
      <c r="G9" s="8"/>
      <c r="H9" s="8"/>
      <c r="I9" s="10" t="s">
        <v>395</v>
      </c>
      <c r="J9" s="11" t="s">
        <v>337</v>
      </c>
      <c r="K9" s="12">
        <v>10</v>
      </c>
      <c r="L9" s="13">
        <v>45</v>
      </c>
      <c r="M9" s="14">
        <f t="shared" ref="M9:M10" si="10">L9*K9</f>
        <v>450</v>
      </c>
      <c r="N9" s="15"/>
      <c r="O9" s="16" t="s">
        <v>137</v>
      </c>
      <c r="P9" s="17"/>
      <c r="Q9" s="18"/>
      <c r="R9" s="17">
        <f>M9+P9-Q9</f>
        <v>450</v>
      </c>
      <c r="S9" s="19"/>
      <c r="T9" s="19"/>
      <c r="U9" s="19"/>
      <c r="V9" s="19"/>
      <c r="W9" s="17"/>
      <c r="X9" s="20"/>
      <c r="Y9" s="19"/>
      <c r="Z9" s="19"/>
      <c r="AA9" s="19"/>
      <c r="AB9" s="19"/>
      <c r="AC9" s="19"/>
      <c r="AD9" s="19"/>
      <c r="AE9" s="5"/>
      <c r="AF9" s="19"/>
      <c r="AG9" s="5"/>
      <c r="AH9" s="5"/>
      <c r="AI9" s="5"/>
      <c r="AJ9" s="19"/>
      <c r="AK9" s="19"/>
      <c r="AL9" s="5"/>
      <c r="AM9" s="17"/>
      <c r="AN9" s="19"/>
      <c r="AO9" s="19"/>
      <c r="AP9" s="19"/>
      <c r="AQ9" s="19"/>
      <c r="AR9" s="19"/>
      <c r="AS9" s="21"/>
      <c r="AT9" s="5"/>
      <c r="AU9" s="19"/>
      <c r="AV9" s="5"/>
      <c r="AW9" s="22"/>
      <c r="AX9" s="19"/>
      <c r="AY9" s="5"/>
      <c r="AZ9" s="19"/>
      <c r="BA9" s="5"/>
      <c r="BB9" s="5"/>
      <c r="BC9" s="19"/>
      <c r="BD9" s="19"/>
      <c r="BE9" s="19"/>
      <c r="BF9" s="19"/>
      <c r="BG9" s="19"/>
      <c r="BH9" s="19"/>
      <c r="BI9" s="19"/>
      <c r="BJ9" s="19"/>
      <c r="BK9" s="13"/>
      <c r="BL9" s="5"/>
      <c r="BM9" s="5"/>
      <c r="BN9" s="19"/>
      <c r="BO9" s="17"/>
      <c r="BP9" s="19"/>
      <c r="BQ9" s="17"/>
      <c r="BR9" s="19"/>
      <c r="BS9" s="13"/>
      <c r="BT9" s="5"/>
      <c r="BU9" s="23"/>
      <c r="BV9" s="23"/>
      <c r="BW9" s="24"/>
      <c r="BX9" s="5"/>
      <c r="BY9" s="5"/>
      <c r="BZ9" s="5"/>
      <c r="CA9" s="24"/>
      <c r="CB9" s="24"/>
      <c r="CC9" s="24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>
        <f t="shared" si="4"/>
        <v>450</v>
      </c>
      <c r="CV9" s="25">
        <f t="shared" si="5"/>
        <v>0</v>
      </c>
      <c r="CW9" s="26"/>
      <c r="CX9" s="5"/>
      <c r="CY9" s="5"/>
    </row>
    <row r="10" spans="1:103" x14ac:dyDescent="0.2">
      <c r="A10" s="2"/>
      <c r="B10" s="3"/>
      <c r="C10" s="4"/>
      <c r="D10" s="5"/>
      <c r="E10" s="6"/>
      <c r="F10" s="7"/>
      <c r="G10" s="8"/>
      <c r="H10" s="8"/>
      <c r="I10" s="10"/>
      <c r="J10" s="11" t="s">
        <v>342</v>
      </c>
      <c r="K10" s="12">
        <v>5</v>
      </c>
      <c r="L10" s="13">
        <v>87</v>
      </c>
      <c r="M10" s="14">
        <f t="shared" si="10"/>
        <v>435</v>
      </c>
      <c r="N10" s="15"/>
      <c r="O10" s="16" t="s">
        <v>137</v>
      </c>
      <c r="P10" s="17"/>
      <c r="Q10" s="18"/>
      <c r="R10" s="17">
        <f>M10+P10-Q10</f>
        <v>435</v>
      </c>
      <c r="S10" s="19"/>
      <c r="T10" s="19"/>
      <c r="U10" s="19"/>
      <c r="V10" s="19"/>
      <c r="W10" s="17"/>
      <c r="X10" s="20"/>
      <c r="Y10" s="19"/>
      <c r="Z10" s="19"/>
      <c r="AA10" s="19"/>
      <c r="AB10" s="19"/>
      <c r="AC10" s="19"/>
      <c r="AD10" s="19"/>
      <c r="AE10" s="5"/>
      <c r="AF10" s="19"/>
      <c r="AG10" s="5"/>
      <c r="AH10" s="5"/>
      <c r="AI10" s="5"/>
      <c r="AJ10" s="19"/>
      <c r="AK10" s="19"/>
      <c r="AL10" s="5"/>
      <c r="AM10" s="17"/>
      <c r="AN10" s="19"/>
      <c r="AO10" s="19"/>
      <c r="AP10" s="19"/>
      <c r="AQ10" s="19"/>
      <c r="AR10" s="19"/>
      <c r="AS10" s="21"/>
      <c r="AT10" s="5"/>
      <c r="AU10" s="19"/>
      <c r="AV10" s="5"/>
      <c r="AW10" s="22"/>
      <c r="AX10" s="19"/>
      <c r="AY10" s="5"/>
      <c r="AZ10" s="19"/>
      <c r="BA10" s="5"/>
      <c r="BB10" s="5"/>
      <c r="BC10" s="19"/>
      <c r="BD10" s="19"/>
      <c r="BE10" s="19"/>
      <c r="BF10" s="19"/>
      <c r="BG10" s="19"/>
      <c r="BH10" s="19"/>
      <c r="BI10" s="19"/>
      <c r="BJ10" s="19"/>
      <c r="BK10" s="13"/>
      <c r="BL10" s="5"/>
      <c r="BM10" s="5"/>
      <c r="BN10" s="19"/>
      <c r="BO10" s="17"/>
      <c r="BP10" s="19"/>
      <c r="BQ10" s="17"/>
      <c r="BR10" s="19"/>
      <c r="BS10" s="13"/>
      <c r="BT10" s="5"/>
      <c r="BU10" s="23"/>
      <c r="BV10" s="23"/>
      <c r="BW10" s="24"/>
      <c r="BX10" s="5"/>
      <c r="BY10" s="5"/>
      <c r="BZ10" s="5"/>
      <c r="CA10" s="24"/>
      <c r="CB10" s="24"/>
      <c r="CC10" s="24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>
        <f t="shared" si="4"/>
        <v>435</v>
      </c>
      <c r="CV10" s="25">
        <f t="shared" si="5"/>
        <v>0</v>
      </c>
      <c r="CW10" s="26"/>
      <c r="CX10" s="5"/>
      <c r="CY10" s="5"/>
    </row>
    <row r="11" spans="1:103" x14ac:dyDescent="0.2">
      <c r="A11" s="27"/>
      <c r="B11" s="28"/>
      <c r="C11" s="29"/>
      <c r="D11" s="30"/>
      <c r="E11" s="31"/>
      <c r="F11" s="32"/>
      <c r="G11" s="33"/>
      <c r="H11" s="34"/>
      <c r="I11" s="34"/>
      <c r="J11" s="35"/>
      <c r="K11" s="36"/>
      <c r="L11" s="37"/>
      <c r="M11" s="38">
        <f>SUM(M9:M10)</f>
        <v>885</v>
      </c>
      <c r="N11" s="38"/>
      <c r="O11" s="39" t="s">
        <v>137</v>
      </c>
      <c r="P11" s="38"/>
      <c r="Q11" s="38"/>
      <c r="R11" s="38">
        <f>SUM(R9:R10)</f>
        <v>885</v>
      </c>
      <c r="S11" s="38">
        <f t="shared" ref="S11:AD11" si="11">SUM(S9:S9)</f>
        <v>0</v>
      </c>
      <c r="T11" s="38">
        <f t="shared" si="11"/>
        <v>0</v>
      </c>
      <c r="U11" s="38">
        <f t="shared" si="11"/>
        <v>0</v>
      </c>
      <c r="V11" s="38">
        <f t="shared" si="11"/>
        <v>0</v>
      </c>
      <c r="W11" s="38">
        <f t="shared" si="11"/>
        <v>0</v>
      </c>
      <c r="X11" s="38">
        <f t="shared" si="11"/>
        <v>0</v>
      </c>
      <c r="Y11" s="38">
        <f t="shared" si="11"/>
        <v>0</v>
      </c>
      <c r="Z11" s="38">
        <f t="shared" si="11"/>
        <v>0</v>
      </c>
      <c r="AA11" s="38">
        <f t="shared" si="11"/>
        <v>0</v>
      </c>
      <c r="AB11" s="38">
        <f t="shared" si="11"/>
        <v>0</v>
      </c>
      <c r="AC11" s="38">
        <f t="shared" si="11"/>
        <v>0</v>
      </c>
      <c r="AD11" s="38">
        <f t="shared" si="11"/>
        <v>0</v>
      </c>
      <c r="AE11" s="30"/>
      <c r="AF11" s="38">
        <f>SUM(AF9:AF9)</f>
        <v>0</v>
      </c>
      <c r="AG11" s="30"/>
      <c r="AH11" s="30"/>
      <c r="AI11" s="30"/>
      <c r="AJ11" s="38">
        <f t="shared" ref="AJ11:AZ11" si="12">SUM(AJ9:AJ9)</f>
        <v>0</v>
      </c>
      <c r="AK11" s="38">
        <f t="shared" si="12"/>
        <v>0</v>
      </c>
      <c r="AL11" s="30"/>
      <c r="AM11" s="38">
        <f t="shared" si="12"/>
        <v>0</v>
      </c>
      <c r="AN11" s="38">
        <f t="shared" si="12"/>
        <v>0</v>
      </c>
      <c r="AO11" s="38">
        <f t="shared" si="12"/>
        <v>0</v>
      </c>
      <c r="AP11" s="38">
        <f t="shared" si="12"/>
        <v>0</v>
      </c>
      <c r="AQ11" s="38">
        <f t="shared" si="12"/>
        <v>0</v>
      </c>
      <c r="AR11" s="38">
        <f t="shared" si="12"/>
        <v>0</v>
      </c>
      <c r="AS11" s="38">
        <f t="shared" si="12"/>
        <v>0</v>
      </c>
      <c r="AT11" s="38">
        <f t="shared" si="12"/>
        <v>0</v>
      </c>
      <c r="AU11" s="38">
        <f t="shared" si="12"/>
        <v>0</v>
      </c>
      <c r="AV11" s="38">
        <f t="shared" si="12"/>
        <v>0</v>
      </c>
      <c r="AW11" s="38">
        <f t="shared" si="12"/>
        <v>0</v>
      </c>
      <c r="AX11" s="38">
        <f t="shared" si="12"/>
        <v>0</v>
      </c>
      <c r="AY11" s="38">
        <f t="shared" si="12"/>
        <v>0</v>
      </c>
      <c r="AZ11" s="38">
        <f t="shared" si="12"/>
        <v>0</v>
      </c>
      <c r="BA11" s="30"/>
      <c r="BB11" s="38">
        <f t="shared" ref="BB11:CT11" si="13">SUM(BB9:BB9)</f>
        <v>0</v>
      </c>
      <c r="BC11" s="38">
        <f t="shared" si="13"/>
        <v>0</v>
      </c>
      <c r="BD11" s="38">
        <f t="shared" si="13"/>
        <v>0</v>
      </c>
      <c r="BE11" s="38">
        <f t="shared" si="13"/>
        <v>0</v>
      </c>
      <c r="BF11" s="38">
        <f t="shared" si="13"/>
        <v>0</v>
      </c>
      <c r="BG11" s="38">
        <f t="shared" si="13"/>
        <v>0</v>
      </c>
      <c r="BH11" s="38">
        <f t="shared" si="13"/>
        <v>0</v>
      </c>
      <c r="BI11" s="38">
        <f t="shared" si="13"/>
        <v>0</v>
      </c>
      <c r="BJ11" s="38">
        <f t="shared" si="13"/>
        <v>0</v>
      </c>
      <c r="BK11" s="38">
        <f t="shared" si="13"/>
        <v>0</v>
      </c>
      <c r="BL11" s="38">
        <f t="shared" si="13"/>
        <v>0</v>
      </c>
      <c r="BM11" s="38">
        <f t="shared" si="13"/>
        <v>0</v>
      </c>
      <c r="BN11" s="38">
        <f t="shared" si="13"/>
        <v>0</v>
      </c>
      <c r="BO11" s="38">
        <f t="shared" si="13"/>
        <v>0</v>
      </c>
      <c r="BP11" s="38">
        <f t="shared" si="13"/>
        <v>0</v>
      </c>
      <c r="BQ11" s="38">
        <f t="shared" si="13"/>
        <v>0</v>
      </c>
      <c r="BR11" s="38">
        <f t="shared" si="13"/>
        <v>0</v>
      </c>
      <c r="BS11" s="38">
        <f t="shared" si="13"/>
        <v>0</v>
      </c>
      <c r="BT11" s="38">
        <f t="shared" si="13"/>
        <v>0</v>
      </c>
      <c r="BU11" s="38">
        <f t="shared" si="13"/>
        <v>0</v>
      </c>
      <c r="BV11" s="38">
        <f t="shared" si="13"/>
        <v>0</v>
      </c>
      <c r="BW11" s="38">
        <f t="shared" si="13"/>
        <v>0</v>
      </c>
      <c r="BX11" s="38">
        <f t="shared" si="13"/>
        <v>0</v>
      </c>
      <c r="BY11" s="38">
        <f t="shared" si="13"/>
        <v>0</v>
      </c>
      <c r="BZ11" s="38">
        <f t="shared" si="13"/>
        <v>0</v>
      </c>
      <c r="CA11" s="38">
        <f t="shared" si="13"/>
        <v>0</v>
      </c>
      <c r="CB11" s="38">
        <f t="shared" si="13"/>
        <v>0</v>
      </c>
      <c r="CC11" s="38">
        <f t="shared" si="13"/>
        <v>0</v>
      </c>
      <c r="CD11" s="38">
        <f t="shared" si="13"/>
        <v>0</v>
      </c>
      <c r="CE11" s="38">
        <f t="shared" si="13"/>
        <v>0</v>
      </c>
      <c r="CF11" s="38">
        <f t="shared" si="13"/>
        <v>0</v>
      </c>
      <c r="CG11" s="38">
        <f t="shared" si="13"/>
        <v>0</v>
      </c>
      <c r="CH11" s="38">
        <f t="shared" si="13"/>
        <v>0</v>
      </c>
      <c r="CI11" s="38">
        <f t="shared" si="13"/>
        <v>0</v>
      </c>
      <c r="CJ11" s="38">
        <f t="shared" si="13"/>
        <v>0</v>
      </c>
      <c r="CK11" s="38">
        <f t="shared" si="13"/>
        <v>0</v>
      </c>
      <c r="CL11" s="38">
        <f t="shared" si="13"/>
        <v>0</v>
      </c>
      <c r="CM11" s="38">
        <f t="shared" si="13"/>
        <v>0</v>
      </c>
      <c r="CN11" s="38">
        <f t="shared" si="13"/>
        <v>0</v>
      </c>
      <c r="CO11" s="38">
        <f t="shared" si="13"/>
        <v>0</v>
      </c>
      <c r="CP11" s="38">
        <f t="shared" si="13"/>
        <v>0</v>
      </c>
      <c r="CQ11" s="38">
        <f t="shared" si="13"/>
        <v>0</v>
      </c>
      <c r="CR11" s="38">
        <f t="shared" si="13"/>
        <v>0</v>
      </c>
      <c r="CS11" s="38">
        <f t="shared" si="13"/>
        <v>0</v>
      </c>
      <c r="CT11" s="38">
        <f t="shared" si="13"/>
        <v>0</v>
      </c>
      <c r="CU11" s="17">
        <f t="shared" si="4"/>
        <v>885</v>
      </c>
      <c r="CV11" s="25">
        <f t="shared" si="5"/>
        <v>0</v>
      </c>
      <c r="CW11" s="40"/>
      <c r="CX11" s="30"/>
      <c r="CY11" s="30"/>
    </row>
    <row r="12" spans="1:103" x14ac:dyDescent="0.2">
      <c r="A12" s="2">
        <v>45871</v>
      </c>
      <c r="B12" s="3" t="s">
        <v>350</v>
      </c>
      <c r="C12" s="4" t="s">
        <v>508</v>
      </c>
      <c r="D12" s="5" t="s">
        <v>133</v>
      </c>
      <c r="E12" s="6" t="s">
        <v>266</v>
      </c>
      <c r="F12" s="7"/>
      <c r="G12" s="8"/>
      <c r="H12" s="8"/>
      <c r="I12" s="10" t="s">
        <v>396</v>
      </c>
      <c r="J12" s="11" t="s">
        <v>342</v>
      </c>
      <c r="K12" s="12">
        <v>1</v>
      </c>
      <c r="L12" s="13">
        <v>80</v>
      </c>
      <c r="M12" s="14">
        <f t="shared" ref="M12" si="14">L12*K12</f>
        <v>80</v>
      </c>
      <c r="N12" s="15"/>
      <c r="O12" s="16" t="s">
        <v>137</v>
      </c>
      <c r="P12" s="17"/>
      <c r="Q12" s="18"/>
      <c r="R12" s="17">
        <f>M12+P12-Q12</f>
        <v>80</v>
      </c>
      <c r="S12" s="19"/>
      <c r="T12" s="19"/>
      <c r="U12" s="19"/>
      <c r="V12" s="19"/>
      <c r="W12" s="17"/>
      <c r="X12" s="20"/>
      <c r="Y12" s="19"/>
      <c r="Z12" s="19"/>
      <c r="AA12" s="19"/>
      <c r="AB12" s="19"/>
      <c r="AC12" s="19"/>
      <c r="AD12" s="19"/>
      <c r="AE12" s="5"/>
      <c r="AF12" s="19"/>
      <c r="AG12" s="5"/>
      <c r="AH12" s="5"/>
      <c r="AI12" s="5"/>
      <c r="AJ12" s="19"/>
      <c r="AK12" s="19"/>
      <c r="AL12" s="5"/>
      <c r="AM12" s="17"/>
      <c r="AN12" s="19"/>
      <c r="AO12" s="19"/>
      <c r="AP12" s="19"/>
      <c r="AQ12" s="19"/>
      <c r="AR12" s="19"/>
      <c r="AS12" s="21"/>
      <c r="AT12" s="5"/>
      <c r="AU12" s="19"/>
      <c r="AV12" s="5"/>
      <c r="AW12" s="22"/>
      <c r="AX12" s="19"/>
      <c r="AY12" s="5"/>
      <c r="AZ12" s="19"/>
      <c r="BA12" s="5"/>
      <c r="BB12" s="5"/>
      <c r="BC12" s="19"/>
      <c r="BD12" s="19"/>
      <c r="BE12" s="19"/>
      <c r="BF12" s="19"/>
      <c r="BG12" s="19"/>
      <c r="BH12" s="19"/>
      <c r="BI12" s="19"/>
      <c r="BJ12" s="19"/>
      <c r="BK12" s="13"/>
      <c r="BL12" s="5"/>
      <c r="BM12" s="5"/>
      <c r="BN12" s="19"/>
      <c r="BO12" s="17"/>
      <c r="BP12" s="19"/>
      <c r="BQ12" s="17"/>
      <c r="BR12" s="19"/>
      <c r="BS12" s="13"/>
      <c r="BT12" s="5"/>
      <c r="BU12" s="23"/>
      <c r="BV12" s="23"/>
      <c r="BW12" s="24"/>
      <c r="BX12" s="5"/>
      <c r="BY12" s="5"/>
      <c r="BZ12" s="5"/>
      <c r="CA12" s="24"/>
      <c r="CB12" s="24"/>
      <c r="CC12" s="24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>
        <f t="shared" si="4"/>
        <v>80</v>
      </c>
      <c r="CV12" s="25">
        <f t="shared" si="5"/>
        <v>0</v>
      </c>
      <c r="CW12" s="26"/>
      <c r="CX12" s="5"/>
      <c r="CY12" s="5"/>
    </row>
    <row r="13" spans="1:103" x14ac:dyDescent="0.2">
      <c r="A13" s="161"/>
      <c r="B13" s="162"/>
      <c r="C13" s="163"/>
      <c r="D13" s="164"/>
      <c r="E13" s="165"/>
      <c r="F13" s="166"/>
      <c r="G13" s="167"/>
      <c r="H13" s="168"/>
      <c r="I13" s="168"/>
      <c r="J13" s="169"/>
      <c r="K13" s="170"/>
      <c r="L13" s="171"/>
      <c r="M13" s="172">
        <f>SUM(M12:M12)</f>
        <v>80</v>
      </c>
      <c r="N13" s="172">
        <f>M13+M11</f>
        <v>965</v>
      </c>
      <c r="O13" s="173" t="s">
        <v>137</v>
      </c>
      <c r="P13" s="172"/>
      <c r="Q13" s="172"/>
      <c r="R13" s="172">
        <f>SUM(R12:R12)</f>
        <v>80</v>
      </c>
      <c r="S13" s="172">
        <f t="shared" ref="S13:AD13" si="15">SUM(S12:S12)</f>
        <v>0</v>
      </c>
      <c r="T13" s="172">
        <f t="shared" si="15"/>
        <v>0</v>
      </c>
      <c r="U13" s="172">
        <f t="shared" si="15"/>
        <v>0</v>
      </c>
      <c r="V13" s="172">
        <f t="shared" si="15"/>
        <v>0</v>
      </c>
      <c r="W13" s="172">
        <f t="shared" si="15"/>
        <v>0</v>
      </c>
      <c r="X13" s="172">
        <f t="shared" si="15"/>
        <v>0</v>
      </c>
      <c r="Y13" s="172">
        <f t="shared" si="15"/>
        <v>0</v>
      </c>
      <c r="Z13" s="172">
        <f t="shared" si="15"/>
        <v>0</v>
      </c>
      <c r="AA13" s="172">
        <f t="shared" si="15"/>
        <v>0</v>
      </c>
      <c r="AB13" s="172">
        <f t="shared" si="15"/>
        <v>0</v>
      </c>
      <c r="AC13" s="172">
        <f t="shared" si="15"/>
        <v>0</v>
      </c>
      <c r="AD13" s="172">
        <f t="shared" si="15"/>
        <v>0</v>
      </c>
      <c r="AE13" s="164"/>
      <c r="AF13" s="172">
        <f>SUM(AF12:AF12)</f>
        <v>0</v>
      </c>
      <c r="AG13" s="164"/>
      <c r="AH13" s="164"/>
      <c r="AI13" s="164"/>
      <c r="AJ13" s="172">
        <f t="shared" ref="AJ13:AZ13" si="16">SUM(AJ12:AJ12)</f>
        <v>0</v>
      </c>
      <c r="AK13" s="172">
        <f t="shared" si="16"/>
        <v>0</v>
      </c>
      <c r="AL13" s="164"/>
      <c r="AM13" s="172">
        <f t="shared" si="16"/>
        <v>0</v>
      </c>
      <c r="AN13" s="172">
        <f t="shared" si="16"/>
        <v>0</v>
      </c>
      <c r="AO13" s="172">
        <f t="shared" si="16"/>
        <v>0</v>
      </c>
      <c r="AP13" s="172">
        <f t="shared" si="16"/>
        <v>0</v>
      </c>
      <c r="AQ13" s="172">
        <f t="shared" si="16"/>
        <v>0</v>
      </c>
      <c r="AR13" s="172">
        <f t="shared" si="16"/>
        <v>0</v>
      </c>
      <c r="AS13" s="172">
        <f t="shared" si="16"/>
        <v>0</v>
      </c>
      <c r="AT13" s="172">
        <f t="shared" si="16"/>
        <v>0</v>
      </c>
      <c r="AU13" s="172">
        <f t="shared" si="16"/>
        <v>0</v>
      </c>
      <c r="AV13" s="172">
        <f t="shared" si="16"/>
        <v>0</v>
      </c>
      <c r="AW13" s="172">
        <f t="shared" si="16"/>
        <v>0</v>
      </c>
      <c r="AX13" s="172">
        <f t="shared" si="16"/>
        <v>0</v>
      </c>
      <c r="AY13" s="172">
        <f t="shared" si="16"/>
        <v>0</v>
      </c>
      <c r="AZ13" s="172">
        <f t="shared" si="16"/>
        <v>0</v>
      </c>
      <c r="BA13" s="164"/>
      <c r="BB13" s="172">
        <f t="shared" ref="BB13:CT13" si="17">SUM(BB12:BB12)</f>
        <v>0</v>
      </c>
      <c r="BC13" s="172">
        <f t="shared" si="17"/>
        <v>0</v>
      </c>
      <c r="BD13" s="172">
        <f t="shared" si="17"/>
        <v>0</v>
      </c>
      <c r="BE13" s="172">
        <f t="shared" si="17"/>
        <v>0</v>
      </c>
      <c r="BF13" s="172">
        <f t="shared" si="17"/>
        <v>0</v>
      </c>
      <c r="BG13" s="172">
        <f t="shared" si="17"/>
        <v>0</v>
      </c>
      <c r="BH13" s="172">
        <f t="shared" si="17"/>
        <v>0</v>
      </c>
      <c r="BI13" s="172">
        <f t="shared" si="17"/>
        <v>0</v>
      </c>
      <c r="BJ13" s="172">
        <f t="shared" si="17"/>
        <v>0</v>
      </c>
      <c r="BK13" s="172">
        <f t="shared" si="17"/>
        <v>0</v>
      </c>
      <c r="BL13" s="172">
        <f t="shared" si="17"/>
        <v>0</v>
      </c>
      <c r="BM13" s="172">
        <f t="shared" si="17"/>
        <v>0</v>
      </c>
      <c r="BN13" s="172">
        <f t="shared" si="17"/>
        <v>0</v>
      </c>
      <c r="BO13" s="172">
        <f t="shared" si="17"/>
        <v>0</v>
      </c>
      <c r="BP13" s="172">
        <f t="shared" si="17"/>
        <v>0</v>
      </c>
      <c r="BQ13" s="172">
        <f t="shared" si="17"/>
        <v>0</v>
      </c>
      <c r="BR13" s="172">
        <f t="shared" si="17"/>
        <v>0</v>
      </c>
      <c r="BS13" s="172">
        <f t="shared" si="17"/>
        <v>0</v>
      </c>
      <c r="BT13" s="172">
        <f t="shared" si="17"/>
        <v>0</v>
      </c>
      <c r="BU13" s="172">
        <f t="shared" si="17"/>
        <v>0</v>
      </c>
      <c r="BV13" s="172">
        <f t="shared" si="17"/>
        <v>0</v>
      </c>
      <c r="BW13" s="172">
        <f t="shared" si="17"/>
        <v>0</v>
      </c>
      <c r="BX13" s="172">
        <f t="shared" si="17"/>
        <v>0</v>
      </c>
      <c r="BY13" s="172">
        <f t="shared" si="17"/>
        <v>0</v>
      </c>
      <c r="BZ13" s="172">
        <f t="shared" si="17"/>
        <v>0</v>
      </c>
      <c r="CA13" s="172">
        <f t="shared" si="17"/>
        <v>0</v>
      </c>
      <c r="CB13" s="172">
        <f t="shared" si="17"/>
        <v>0</v>
      </c>
      <c r="CC13" s="172">
        <f t="shared" si="17"/>
        <v>0</v>
      </c>
      <c r="CD13" s="172">
        <f t="shared" si="17"/>
        <v>0</v>
      </c>
      <c r="CE13" s="172">
        <f t="shared" si="17"/>
        <v>0</v>
      </c>
      <c r="CF13" s="172">
        <f t="shared" si="17"/>
        <v>0</v>
      </c>
      <c r="CG13" s="172">
        <f t="shared" si="17"/>
        <v>0</v>
      </c>
      <c r="CH13" s="172">
        <f t="shared" si="17"/>
        <v>0</v>
      </c>
      <c r="CI13" s="172">
        <f t="shared" si="17"/>
        <v>0</v>
      </c>
      <c r="CJ13" s="172">
        <f t="shared" si="17"/>
        <v>0</v>
      </c>
      <c r="CK13" s="172">
        <f t="shared" si="17"/>
        <v>0</v>
      </c>
      <c r="CL13" s="172">
        <f t="shared" si="17"/>
        <v>0</v>
      </c>
      <c r="CM13" s="172">
        <f t="shared" si="17"/>
        <v>0</v>
      </c>
      <c r="CN13" s="172">
        <f t="shared" si="17"/>
        <v>0</v>
      </c>
      <c r="CO13" s="172">
        <f t="shared" si="17"/>
        <v>0</v>
      </c>
      <c r="CP13" s="172">
        <f t="shared" si="17"/>
        <v>0</v>
      </c>
      <c r="CQ13" s="172">
        <f t="shared" si="17"/>
        <v>0</v>
      </c>
      <c r="CR13" s="172">
        <f t="shared" si="17"/>
        <v>0</v>
      </c>
      <c r="CS13" s="172">
        <f t="shared" si="17"/>
        <v>0</v>
      </c>
      <c r="CT13" s="172">
        <f t="shared" si="17"/>
        <v>0</v>
      </c>
      <c r="CU13" s="17">
        <f t="shared" si="4"/>
        <v>80</v>
      </c>
      <c r="CV13" s="25">
        <f t="shared" si="5"/>
        <v>0</v>
      </c>
      <c r="CW13" s="176"/>
      <c r="CX13" s="164"/>
      <c r="CY13" s="164"/>
    </row>
    <row r="14" spans="1:103" x14ac:dyDescent="0.2">
      <c r="A14" s="2">
        <v>45876</v>
      </c>
      <c r="B14" s="3" t="s">
        <v>352</v>
      </c>
      <c r="C14" s="4" t="s">
        <v>509</v>
      </c>
      <c r="D14" s="5" t="s">
        <v>122</v>
      </c>
      <c r="E14" s="156" t="s">
        <v>335</v>
      </c>
      <c r="F14" s="156" t="s">
        <v>356</v>
      </c>
      <c r="G14" s="156" t="s">
        <v>199</v>
      </c>
      <c r="H14" s="156" t="s">
        <v>353</v>
      </c>
      <c r="I14" s="10" t="s">
        <v>354</v>
      </c>
      <c r="J14" s="11" t="s">
        <v>355</v>
      </c>
      <c r="K14" s="12">
        <v>9.34</v>
      </c>
      <c r="L14" s="13">
        <v>189</v>
      </c>
      <c r="M14" s="14">
        <f t="shared" ref="M14:M15" si="18">L14*K14</f>
        <v>1765.26</v>
      </c>
      <c r="N14" s="15"/>
      <c r="O14" s="16" t="s">
        <v>137</v>
      </c>
      <c r="P14" s="17">
        <f>M14*0.01</f>
        <v>17.6526</v>
      </c>
      <c r="Q14" s="18"/>
      <c r="R14" s="17">
        <f>M14+P14-Q14</f>
        <v>1782.9125999999999</v>
      </c>
      <c r="S14" s="19"/>
      <c r="T14" s="19"/>
      <c r="U14" s="19"/>
      <c r="V14" s="19"/>
      <c r="W14" s="17"/>
      <c r="X14" s="20"/>
      <c r="Y14" s="19"/>
      <c r="Z14" s="19"/>
      <c r="AA14" s="19"/>
      <c r="AB14" s="19"/>
      <c r="AC14" s="19"/>
      <c r="AD14" s="19"/>
      <c r="AE14" s="5"/>
      <c r="AF14" s="19"/>
      <c r="AG14" s="5"/>
      <c r="AH14" s="17"/>
      <c r="AI14" s="19"/>
      <c r="AJ14" s="19"/>
      <c r="AK14" s="19"/>
      <c r="AL14" s="19"/>
      <c r="AM14" s="17"/>
      <c r="AN14" s="19"/>
      <c r="AO14" s="19"/>
      <c r="AP14" s="19"/>
      <c r="AQ14" s="19"/>
      <c r="AR14" s="19"/>
      <c r="AS14" s="21"/>
      <c r="AT14" s="5"/>
      <c r="AU14" s="19"/>
      <c r="AV14" s="5"/>
      <c r="AW14" s="22"/>
      <c r="AX14" s="19"/>
      <c r="AY14" s="5"/>
      <c r="AZ14" s="19"/>
      <c r="BA14" s="5"/>
      <c r="BB14" s="5"/>
      <c r="BC14" s="19"/>
      <c r="BD14" s="19"/>
      <c r="BE14" s="19"/>
      <c r="BF14" s="19"/>
      <c r="BG14" s="19"/>
      <c r="BH14" s="19"/>
      <c r="BI14" s="19"/>
      <c r="BJ14" s="19"/>
      <c r="BK14" s="13"/>
      <c r="BL14" s="5"/>
      <c r="BM14" s="5"/>
      <c r="BN14" s="19"/>
      <c r="BO14" s="17"/>
      <c r="BP14" s="19"/>
      <c r="BQ14" s="17"/>
      <c r="BR14" s="19"/>
      <c r="BS14" s="13"/>
      <c r="BT14" s="5"/>
      <c r="BU14" s="23"/>
      <c r="BV14" s="23"/>
      <c r="BW14" s="24"/>
      <c r="BX14" s="5"/>
      <c r="BY14" s="5"/>
      <c r="BZ14" s="5"/>
      <c r="CA14" s="24"/>
      <c r="CB14" s="24"/>
      <c r="CC14" s="24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>
        <f t="shared" si="4"/>
        <v>1765.26</v>
      </c>
      <c r="CV14" s="25">
        <f t="shared" si="5"/>
        <v>0</v>
      </c>
      <c r="CW14" s="26"/>
      <c r="CX14" s="5"/>
      <c r="CY14" s="5"/>
    </row>
    <row r="15" spans="1:103" x14ac:dyDescent="0.2">
      <c r="A15" s="2"/>
      <c r="B15" s="3"/>
      <c r="C15" s="4"/>
      <c r="D15" s="5"/>
      <c r="E15" s="6"/>
      <c r="F15" s="7"/>
      <c r="G15" s="8"/>
      <c r="H15" s="9"/>
      <c r="I15" s="10"/>
      <c r="J15" s="11" t="s">
        <v>355</v>
      </c>
      <c r="K15" s="12">
        <v>10.78</v>
      </c>
      <c r="L15" s="13">
        <v>189</v>
      </c>
      <c r="M15" s="14">
        <f t="shared" si="18"/>
        <v>2037.4199999999998</v>
      </c>
      <c r="N15" s="15"/>
      <c r="O15" s="16" t="s">
        <v>137</v>
      </c>
      <c r="P15" s="17">
        <f>M15*0.01</f>
        <v>20.374199999999998</v>
      </c>
      <c r="Q15" s="18"/>
      <c r="R15" s="17">
        <f t="shared" ref="R15" si="19">M15+P15-Q15</f>
        <v>2057.7941999999998</v>
      </c>
      <c r="S15" s="19"/>
      <c r="T15" s="19"/>
      <c r="U15" s="19"/>
      <c r="V15" s="19"/>
      <c r="W15" s="17"/>
      <c r="X15" s="20"/>
      <c r="Y15" s="19"/>
      <c r="Z15" s="19"/>
      <c r="AA15" s="19"/>
      <c r="AB15" s="19"/>
      <c r="AC15" s="19"/>
      <c r="AD15" s="19"/>
      <c r="AE15" s="5"/>
      <c r="AF15" s="19"/>
      <c r="AG15" s="5"/>
      <c r="AH15" s="17"/>
      <c r="AI15" s="19"/>
      <c r="AJ15" s="19"/>
      <c r="AK15" s="19"/>
      <c r="AL15" s="19"/>
      <c r="AM15" s="17"/>
      <c r="AN15" s="19"/>
      <c r="AO15" s="19"/>
      <c r="AP15" s="19"/>
      <c r="AQ15" s="19"/>
      <c r="AR15" s="19"/>
      <c r="AS15" s="21"/>
      <c r="AT15" s="5"/>
      <c r="AU15" s="19"/>
      <c r="AV15" s="5"/>
      <c r="AW15" s="22"/>
      <c r="AX15" s="19"/>
      <c r="AY15" s="5"/>
      <c r="AZ15" s="19"/>
      <c r="BA15" s="5"/>
      <c r="BB15" s="5"/>
      <c r="BC15" s="19"/>
      <c r="BD15" s="19"/>
      <c r="BE15" s="19"/>
      <c r="BF15" s="19"/>
      <c r="BG15" s="19"/>
      <c r="BH15" s="19"/>
      <c r="BI15" s="19"/>
      <c r="BJ15" s="19"/>
      <c r="BK15" s="13"/>
      <c r="BL15" s="5"/>
      <c r="BM15" s="5"/>
      <c r="BN15" s="19"/>
      <c r="BO15" s="17"/>
      <c r="BP15" s="19"/>
      <c r="BQ15" s="17"/>
      <c r="BR15" s="19"/>
      <c r="BS15" s="13"/>
      <c r="BT15" s="5"/>
      <c r="BU15" s="23"/>
      <c r="BV15" s="23"/>
      <c r="BW15" s="24"/>
      <c r="BX15" s="5"/>
      <c r="BY15" s="5"/>
      <c r="BZ15" s="5"/>
      <c r="CA15" s="24"/>
      <c r="CB15" s="24"/>
      <c r="CC15" s="24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>
        <f t="shared" si="4"/>
        <v>2037.4199999999998</v>
      </c>
      <c r="CV15" s="25">
        <f t="shared" si="5"/>
        <v>0</v>
      </c>
      <c r="CW15" s="26"/>
      <c r="CX15" s="5"/>
      <c r="CY15" s="5"/>
    </row>
    <row r="16" spans="1:103" x14ac:dyDescent="0.2">
      <c r="A16" s="27"/>
      <c r="B16" s="28"/>
      <c r="C16" s="29"/>
      <c r="D16" s="30"/>
      <c r="E16" s="31"/>
      <c r="F16" s="32"/>
      <c r="G16" s="33"/>
      <c r="H16" s="34"/>
      <c r="I16" s="34"/>
      <c r="J16" s="35"/>
      <c r="K16" s="36"/>
      <c r="L16" s="37"/>
      <c r="M16" s="38">
        <f>SUM(M14:M15)</f>
        <v>3802.68</v>
      </c>
      <c r="N16" s="38"/>
      <c r="O16" s="39" t="s">
        <v>137</v>
      </c>
      <c r="P16" s="38">
        <f>SUM(P14:P15)</f>
        <v>38.026799999999994</v>
      </c>
      <c r="Q16" s="38">
        <f>SUM(Q14:Q15)</f>
        <v>0</v>
      </c>
      <c r="R16" s="38">
        <f>SUM(R14:R15)</f>
        <v>3840.7067999999999</v>
      </c>
      <c r="S16" s="38">
        <f t="shared" ref="S16:AD16" si="20">SUM(S14:S14)</f>
        <v>0</v>
      </c>
      <c r="T16" s="38">
        <f t="shared" si="20"/>
        <v>0</v>
      </c>
      <c r="U16" s="38">
        <f t="shared" si="20"/>
        <v>0</v>
      </c>
      <c r="V16" s="38">
        <f t="shared" si="20"/>
        <v>0</v>
      </c>
      <c r="W16" s="38">
        <f t="shared" si="20"/>
        <v>0</v>
      </c>
      <c r="X16" s="38">
        <f t="shared" si="20"/>
        <v>0</v>
      </c>
      <c r="Y16" s="38">
        <f t="shared" si="20"/>
        <v>0</v>
      </c>
      <c r="Z16" s="38">
        <f t="shared" si="20"/>
        <v>0</v>
      </c>
      <c r="AA16" s="38">
        <f t="shared" si="20"/>
        <v>0</v>
      </c>
      <c r="AB16" s="38">
        <f t="shared" si="20"/>
        <v>0</v>
      </c>
      <c r="AC16" s="38">
        <f t="shared" si="20"/>
        <v>0</v>
      </c>
      <c r="AD16" s="38">
        <f t="shared" si="20"/>
        <v>0</v>
      </c>
      <c r="AE16" s="30"/>
      <c r="AF16" s="38">
        <f>SUM(AF14:AF14)</f>
        <v>0</v>
      </c>
      <c r="AG16" s="30"/>
      <c r="AH16" s="38">
        <f t="shared" ref="AH16:AZ16" si="21">SUM(AH14:AH14)</f>
        <v>0</v>
      </c>
      <c r="AI16" s="38">
        <f t="shared" si="21"/>
        <v>0</v>
      </c>
      <c r="AJ16" s="38">
        <f t="shared" si="21"/>
        <v>0</v>
      </c>
      <c r="AK16" s="38">
        <f t="shared" si="21"/>
        <v>0</v>
      </c>
      <c r="AL16" s="38">
        <f t="shared" si="21"/>
        <v>0</v>
      </c>
      <c r="AM16" s="38">
        <f t="shared" si="21"/>
        <v>0</v>
      </c>
      <c r="AN16" s="38">
        <f t="shared" si="21"/>
        <v>0</v>
      </c>
      <c r="AO16" s="38">
        <f t="shared" si="21"/>
        <v>0</v>
      </c>
      <c r="AP16" s="38">
        <f t="shared" si="21"/>
        <v>0</v>
      </c>
      <c r="AQ16" s="38">
        <f t="shared" si="21"/>
        <v>0</v>
      </c>
      <c r="AR16" s="38">
        <f t="shared" si="21"/>
        <v>0</v>
      </c>
      <c r="AS16" s="38">
        <f t="shared" si="21"/>
        <v>0</v>
      </c>
      <c r="AT16" s="38">
        <f t="shared" si="21"/>
        <v>0</v>
      </c>
      <c r="AU16" s="38">
        <f t="shared" si="21"/>
        <v>0</v>
      </c>
      <c r="AV16" s="38">
        <f t="shared" si="21"/>
        <v>0</v>
      </c>
      <c r="AW16" s="38">
        <f t="shared" si="21"/>
        <v>0</v>
      </c>
      <c r="AX16" s="38">
        <f t="shared" si="21"/>
        <v>0</v>
      </c>
      <c r="AY16" s="38">
        <f t="shared" si="21"/>
        <v>0</v>
      </c>
      <c r="AZ16" s="38">
        <f t="shared" si="21"/>
        <v>0</v>
      </c>
      <c r="BA16" s="30"/>
      <c r="BB16" s="38">
        <f t="shared" ref="BB16:CT16" si="22">SUM(BB14:BB14)</f>
        <v>0</v>
      </c>
      <c r="BC16" s="38">
        <f t="shared" si="22"/>
        <v>0</v>
      </c>
      <c r="BD16" s="38">
        <f t="shared" si="22"/>
        <v>0</v>
      </c>
      <c r="BE16" s="38">
        <f t="shared" si="22"/>
        <v>0</v>
      </c>
      <c r="BF16" s="38">
        <f t="shared" si="22"/>
        <v>0</v>
      </c>
      <c r="BG16" s="38">
        <f t="shared" si="22"/>
        <v>0</v>
      </c>
      <c r="BH16" s="38">
        <f t="shared" si="22"/>
        <v>0</v>
      </c>
      <c r="BI16" s="38">
        <f t="shared" si="22"/>
        <v>0</v>
      </c>
      <c r="BJ16" s="38">
        <f t="shared" si="22"/>
        <v>0</v>
      </c>
      <c r="BK16" s="38">
        <f t="shared" si="22"/>
        <v>0</v>
      </c>
      <c r="BL16" s="38">
        <f t="shared" si="22"/>
        <v>0</v>
      </c>
      <c r="BM16" s="38">
        <f t="shared" si="22"/>
        <v>0</v>
      </c>
      <c r="BN16" s="38">
        <f t="shared" si="22"/>
        <v>0</v>
      </c>
      <c r="BO16" s="38">
        <f t="shared" si="22"/>
        <v>0</v>
      </c>
      <c r="BP16" s="38">
        <f t="shared" si="22"/>
        <v>0</v>
      </c>
      <c r="BQ16" s="38">
        <f t="shared" si="22"/>
        <v>0</v>
      </c>
      <c r="BR16" s="38">
        <f t="shared" si="22"/>
        <v>0</v>
      </c>
      <c r="BS16" s="38">
        <f t="shared" si="22"/>
        <v>0</v>
      </c>
      <c r="BT16" s="38">
        <f t="shared" si="22"/>
        <v>0</v>
      </c>
      <c r="BU16" s="38">
        <f t="shared" si="22"/>
        <v>0</v>
      </c>
      <c r="BV16" s="38">
        <f t="shared" si="22"/>
        <v>0</v>
      </c>
      <c r="BW16" s="38">
        <f t="shared" si="22"/>
        <v>0</v>
      </c>
      <c r="BX16" s="38">
        <f t="shared" si="22"/>
        <v>0</v>
      </c>
      <c r="BY16" s="38">
        <f t="shared" si="22"/>
        <v>0</v>
      </c>
      <c r="BZ16" s="38">
        <f t="shared" si="22"/>
        <v>0</v>
      </c>
      <c r="CA16" s="38">
        <f t="shared" si="22"/>
        <v>0</v>
      </c>
      <c r="CB16" s="38">
        <f t="shared" si="22"/>
        <v>0</v>
      </c>
      <c r="CC16" s="38">
        <f t="shared" si="22"/>
        <v>0</v>
      </c>
      <c r="CD16" s="38">
        <f t="shared" si="22"/>
        <v>0</v>
      </c>
      <c r="CE16" s="38">
        <f t="shared" si="22"/>
        <v>0</v>
      </c>
      <c r="CF16" s="38">
        <f t="shared" si="22"/>
        <v>0</v>
      </c>
      <c r="CG16" s="38">
        <f t="shared" si="22"/>
        <v>0</v>
      </c>
      <c r="CH16" s="38">
        <f t="shared" si="22"/>
        <v>0</v>
      </c>
      <c r="CI16" s="38">
        <f t="shared" si="22"/>
        <v>0</v>
      </c>
      <c r="CJ16" s="38">
        <f t="shared" si="22"/>
        <v>0</v>
      </c>
      <c r="CK16" s="38">
        <f t="shared" si="22"/>
        <v>0</v>
      </c>
      <c r="CL16" s="38">
        <f t="shared" si="22"/>
        <v>0</v>
      </c>
      <c r="CM16" s="38">
        <f t="shared" si="22"/>
        <v>0</v>
      </c>
      <c r="CN16" s="38">
        <f t="shared" si="22"/>
        <v>0</v>
      </c>
      <c r="CO16" s="38">
        <f t="shared" si="22"/>
        <v>0</v>
      </c>
      <c r="CP16" s="38">
        <f t="shared" si="22"/>
        <v>0</v>
      </c>
      <c r="CQ16" s="38">
        <f t="shared" si="22"/>
        <v>0</v>
      </c>
      <c r="CR16" s="38">
        <f t="shared" si="22"/>
        <v>0</v>
      </c>
      <c r="CS16" s="38">
        <f t="shared" si="22"/>
        <v>0</v>
      </c>
      <c r="CT16" s="38">
        <f t="shared" si="22"/>
        <v>0</v>
      </c>
      <c r="CU16" s="17">
        <f t="shared" si="4"/>
        <v>3802.68</v>
      </c>
      <c r="CV16" s="25">
        <f t="shared" si="5"/>
        <v>0</v>
      </c>
      <c r="CW16" s="40"/>
      <c r="CX16" s="30"/>
      <c r="CY16" s="30"/>
    </row>
    <row r="17" spans="1:103" x14ac:dyDescent="0.2">
      <c r="A17" s="2">
        <v>45875</v>
      </c>
      <c r="B17" s="3" t="s">
        <v>352</v>
      </c>
      <c r="C17" s="4" t="s">
        <v>476</v>
      </c>
      <c r="D17" s="5" t="s">
        <v>122</v>
      </c>
      <c r="E17" s="6" t="s">
        <v>341</v>
      </c>
      <c r="F17" s="7" t="s">
        <v>336</v>
      </c>
      <c r="G17" s="8" t="s">
        <v>199</v>
      </c>
      <c r="H17" s="9" t="s">
        <v>358</v>
      </c>
      <c r="I17" s="10" t="s">
        <v>359</v>
      </c>
      <c r="J17" s="11" t="s">
        <v>360</v>
      </c>
      <c r="K17" s="12">
        <v>10</v>
      </c>
      <c r="L17" s="13">
        <v>30.25</v>
      </c>
      <c r="M17" s="14">
        <f t="shared" ref="M17" si="23">L17*K17</f>
        <v>302.5</v>
      </c>
      <c r="N17" s="15"/>
      <c r="O17" s="16" t="s">
        <v>111</v>
      </c>
      <c r="P17" s="17">
        <f>M17/1.12*0.02</f>
        <v>5.4017857142857135</v>
      </c>
      <c r="Q17" s="18">
        <f>M17/1.12*0.12</f>
        <v>32.410714285714278</v>
      </c>
      <c r="R17" s="17">
        <f>M17+P17-Q17</f>
        <v>275.49107142857144</v>
      </c>
      <c r="S17" s="19"/>
      <c r="T17" s="19"/>
      <c r="U17" s="19"/>
      <c r="V17" s="19"/>
      <c r="W17" s="17"/>
      <c r="X17" s="20"/>
      <c r="Y17" s="19"/>
      <c r="Z17" s="19"/>
      <c r="AA17" s="19"/>
      <c r="AB17" s="19"/>
      <c r="AC17" s="19"/>
      <c r="AD17" s="19"/>
      <c r="AE17" s="5"/>
      <c r="AF17" s="19"/>
      <c r="AG17" s="5"/>
      <c r="AH17" s="17"/>
      <c r="AI17" s="19"/>
      <c r="AJ17" s="19"/>
      <c r="AK17" s="19"/>
      <c r="AL17" s="19"/>
      <c r="AM17" s="17"/>
      <c r="AN17" s="19"/>
      <c r="AO17" s="19"/>
      <c r="AP17" s="19"/>
      <c r="AQ17" s="19"/>
      <c r="AR17" s="19"/>
      <c r="AS17" s="21"/>
      <c r="AT17" s="5"/>
      <c r="AU17" s="19"/>
      <c r="AV17" s="5"/>
      <c r="AW17" s="22"/>
      <c r="AX17" s="19"/>
      <c r="AY17" s="5"/>
      <c r="AZ17" s="19"/>
      <c r="BA17" s="5"/>
      <c r="BB17" s="5"/>
      <c r="BC17" s="19"/>
      <c r="BD17" s="19"/>
      <c r="BE17" s="19"/>
      <c r="BF17" s="19"/>
      <c r="BG17" s="19"/>
      <c r="BH17" s="19"/>
      <c r="BI17" s="19"/>
      <c r="BJ17" s="19"/>
      <c r="BK17" s="13"/>
      <c r="BL17" s="5"/>
      <c r="BM17" s="5"/>
      <c r="BN17" s="19"/>
      <c r="BO17" s="17"/>
      <c r="BP17" s="19"/>
      <c r="BQ17" s="17"/>
      <c r="BR17" s="19"/>
      <c r="BS17" s="5"/>
      <c r="BT17" s="5"/>
      <c r="BU17" s="23"/>
      <c r="BV17" s="23"/>
      <c r="BW17" s="24"/>
      <c r="BX17" s="5"/>
      <c r="BY17" s="5"/>
      <c r="BZ17" s="5"/>
      <c r="CA17" s="24"/>
      <c r="CB17" s="24"/>
      <c r="CC17" s="24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>
        <f t="shared" si="4"/>
        <v>302.5</v>
      </c>
      <c r="CV17" s="25">
        <f t="shared" si="5"/>
        <v>0</v>
      </c>
      <c r="CW17" s="26"/>
      <c r="CX17" s="5"/>
      <c r="CY17" s="5"/>
    </row>
    <row r="18" spans="1:103" x14ac:dyDescent="0.2">
      <c r="A18" s="27"/>
      <c r="B18" s="28"/>
      <c r="C18" s="29"/>
      <c r="D18" s="30"/>
      <c r="E18" s="31"/>
      <c r="F18" s="32"/>
      <c r="G18" s="33"/>
      <c r="H18" s="34"/>
      <c r="I18" s="34"/>
      <c r="J18" s="35"/>
      <c r="K18" s="36"/>
      <c r="L18" s="37"/>
      <c r="M18" s="38">
        <f>SUM(M17:M17)</f>
        <v>302.5</v>
      </c>
      <c r="N18" s="38"/>
      <c r="O18" s="39" t="s">
        <v>111</v>
      </c>
      <c r="P18" s="38">
        <f>SUM(P17:P17)</f>
        <v>5.4017857142857135</v>
      </c>
      <c r="Q18" s="38">
        <f>SUM(Q17:Q17)</f>
        <v>32.410714285714278</v>
      </c>
      <c r="R18" s="38">
        <f>SUM(R17:R17)</f>
        <v>275.49107142857144</v>
      </c>
      <c r="S18" s="38">
        <f t="shared" ref="S18:AD18" si="24">SUM(S17:S17)</f>
        <v>0</v>
      </c>
      <c r="T18" s="38">
        <f t="shared" si="24"/>
        <v>0</v>
      </c>
      <c r="U18" s="38">
        <f t="shared" si="24"/>
        <v>0</v>
      </c>
      <c r="V18" s="38">
        <f t="shared" si="24"/>
        <v>0</v>
      </c>
      <c r="W18" s="38">
        <f t="shared" si="24"/>
        <v>0</v>
      </c>
      <c r="X18" s="38">
        <f t="shared" si="24"/>
        <v>0</v>
      </c>
      <c r="Y18" s="38">
        <f t="shared" si="24"/>
        <v>0</v>
      </c>
      <c r="Z18" s="38">
        <f t="shared" si="24"/>
        <v>0</v>
      </c>
      <c r="AA18" s="38">
        <f t="shared" si="24"/>
        <v>0</v>
      </c>
      <c r="AB18" s="38">
        <f t="shared" si="24"/>
        <v>0</v>
      </c>
      <c r="AC18" s="38">
        <f t="shared" si="24"/>
        <v>0</v>
      </c>
      <c r="AD18" s="38">
        <f t="shared" si="24"/>
        <v>0</v>
      </c>
      <c r="AE18" s="30"/>
      <c r="AF18" s="38">
        <f>SUM(AF17:AF17)</f>
        <v>0</v>
      </c>
      <c r="AG18" s="30"/>
      <c r="AH18" s="38">
        <f t="shared" ref="AH18:AZ18" si="25">SUM(AH17:AH17)</f>
        <v>0</v>
      </c>
      <c r="AI18" s="38">
        <f t="shared" si="25"/>
        <v>0</v>
      </c>
      <c r="AJ18" s="38">
        <f t="shared" si="25"/>
        <v>0</v>
      </c>
      <c r="AK18" s="38">
        <f t="shared" si="25"/>
        <v>0</v>
      </c>
      <c r="AL18" s="38">
        <f t="shared" si="25"/>
        <v>0</v>
      </c>
      <c r="AM18" s="38">
        <f t="shared" si="25"/>
        <v>0</v>
      </c>
      <c r="AN18" s="38">
        <f t="shared" si="25"/>
        <v>0</v>
      </c>
      <c r="AO18" s="38">
        <f t="shared" si="25"/>
        <v>0</v>
      </c>
      <c r="AP18" s="38">
        <f t="shared" si="25"/>
        <v>0</v>
      </c>
      <c r="AQ18" s="38">
        <f t="shared" si="25"/>
        <v>0</v>
      </c>
      <c r="AR18" s="38">
        <f t="shared" si="25"/>
        <v>0</v>
      </c>
      <c r="AS18" s="38">
        <f t="shared" si="25"/>
        <v>0</v>
      </c>
      <c r="AT18" s="38">
        <f t="shared" si="25"/>
        <v>0</v>
      </c>
      <c r="AU18" s="38">
        <f t="shared" si="25"/>
        <v>0</v>
      </c>
      <c r="AV18" s="38">
        <f t="shared" si="25"/>
        <v>0</v>
      </c>
      <c r="AW18" s="38">
        <f t="shared" si="25"/>
        <v>0</v>
      </c>
      <c r="AX18" s="38">
        <f t="shared" si="25"/>
        <v>0</v>
      </c>
      <c r="AY18" s="38">
        <f t="shared" si="25"/>
        <v>0</v>
      </c>
      <c r="AZ18" s="38">
        <f t="shared" si="25"/>
        <v>0</v>
      </c>
      <c r="BA18" s="30"/>
      <c r="BB18" s="38">
        <f t="shared" ref="BB18:CT18" si="26">SUM(BB17:BB17)</f>
        <v>0</v>
      </c>
      <c r="BC18" s="38">
        <f t="shared" si="26"/>
        <v>0</v>
      </c>
      <c r="BD18" s="38">
        <f t="shared" si="26"/>
        <v>0</v>
      </c>
      <c r="BE18" s="38">
        <f t="shared" si="26"/>
        <v>0</v>
      </c>
      <c r="BF18" s="38">
        <f t="shared" si="26"/>
        <v>0</v>
      </c>
      <c r="BG18" s="38">
        <f t="shared" si="26"/>
        <v>0</v>
      </c>
      <c r="BH18" s="38">
        <f t="shared" si="26"/>
        <v>0</v>
      </c>
      <c r="BI18" s="38">
        <f t="shared" si="26"/>
        <v>0</v>
      </c>
      <c r="BJ18" s="38">
        <f t="shared" si="26"/>
        <v>0</v>
      </c>
      <c r="BK18" s="38">
        <f t="shared" si="26"/>
        <v>0</v>
      </c>
      <c r="BL18" s="38">
        <f t="shared" si="26"/>
        <v>0</v>
      </c>
      <c r="BM18" s="38">
        <f t="shared" si="26"/>
        <v>0</v>
      </c>
      <c r="BN18" s="38">
        <f t="shared" si="26"/>
        <v>0</v>
      </c>
      <c r="BO18" s="38">
        <f t="shared" si="26"/>
        <v>0</v>
      </c>
      <c r="BP18" s="38">
        <f t="shared" si="26"/>
        <v>0</v>
      </c>
      <c r="BQ18" s="38">
        <f t="shared" si="26"/>
        <v>0</v>
      </c>
      <c r="BR18" s="38">
        <f t="shared" si="26"/>
        <v>0</v>
      </c>
      <c r="BS18" s="30"/>
      <c r="BT18" s="38">
        <f t="shared" si="26"/>
        <v>0</v>
      </c>
      <c r="BU18" s="38">
        <f t="shared" si="26"/>
        <v>0</v>
      </c>
      <c r="BV18" s="38">
        <f t="shared" si="26"/>
        <v>0</v>
      </c>
      <c r="BW18" s="38">
        <f t="shared" si="26"/>
        <v>0</v>
      </c>
      <c r="BX18" s="38">
        <f t="shared" si="26"/>
        <v>0</v>
      </c>
      <c r="BY18" s="38">
        <f t="shared" si="26"/>
        <v>0</v>
      </c>
      <c r="BZ18" s="38">
        <f t="shared" si="26"/>
        <v>0</v>
      </c>
      <c r="CA18" s="38">
        <f t="shared" si="26"/>
        <v>0</v>
      </c>
      <c r="CB18" s="38">
        <f t="shared" si="26"/>
        <v>0</v>
      </c>
      <c r="CC18" s="38">
        <f t="shared" si="26"/>
        <v>0</v>
      </c>
      <c r="CD18" s="38">
        <f t="shared" si="26"/>
        <v>0</v>
      </c>
      <c r="CE18" s="38">
        <f t="shared" si="26"/>
        <v>0</v>
      </c>
      <c r="CF18" s="38">
        <f t="shared" si="26"/>
        <v>0</v>
      </c>
      <c r="CG18" s="38">
        <f t="shared" si="26"/>
        <v>0</v>
      </c>
      <c r="CH18" s="38">
        <f t="shared" si="26"/>
        <v>0</v>
      </c>
      <c r="CI18" s="38">
        <f t="shared" si="26"/>
        <v>0</v>
      </c>
      <c r="CJ18" s="38">
        <f t="shared" si="26"/>
        <v>0</v>
      </c>
      <c r="CK18" s="38">
        <f t="shared" si="26"/>
        <v>0</v>
      </c>
      <c r="CL18" s="38">
        <f t="shared" si="26"/>
        <v>0</v>
      </c>
      <c r="CM18" s="38">
        <f t="shared" si="26"/>
        <v>0</v>
      </c>
      <c r="CN18" s="38">
        <f t="shared" si="26"/>
        <v>0</v>
      </c>
      <c r="CO18" s="38">
        <f t="shared" si="26"/>
        <v>0</v>
      </c>
      <c r="CP18" s="38">
        <f t="shared" si="26"/>
        <v>0</v>
      </c>
      <c r="CQ18" s="38">
        <f t="shared" si="26"/>
        <v>0</v>
      </c>
      <c r="CR18" s="38">
        <f t="shared" si="26"/>
        <v>0</v>
      </c>
      <c r="CS18" s="38">
        <f t="shared" si="26"/>
        <v>0</v>
      </c>
      <c r="CT18" s="38">
        <f t="shared" si="26"/>
        <v>0</v>
      </c>
      <c r="CU18" s="17">
        <f t="shared" si="4"/>
        <v>302.5</v>
      </c>
      <c r="CV18" s="25">
        <f t="shared" si="5"/>
        <v>0</v>
      </c>
      <c r="CW18" s="40"/>
      <c r="CX18" s="30"/>
      <c r="CY18" s="30"/>
    </row>
    <row r="19" spans="1:103" x14ac:dyDescent="0.2">
      <c r="A19" s="2">
        <v>45874</v>
      </c>
      <c r="B19" s="3" t="s">
        <v>352</v>
      </c>
      <c r="C19" s="4" t="s">
        <v>510</v>
      </c>
      <c r="D19" s="5" t="s">
        <v>122</v>
      </c>
      <c r="E19" s="6" t="s">
        <v>316</v>
      </c>
      <c r="F19" s="7" t="s">
        <v>229</v>
      </c>
      <c r="G19" s="8" t="s">
        <v>149</v>
      </c>
      <c r="H19" s="9" t="s">
        <v>358</v>
      </c>
      <c r="I19" s="10" t="s">
        <v>361</v>
      </c>
      <c r="J19" s="11" t="s">
        <v>362</v>
      </c>
      <c r="K19" s="12">
        <v>2</v>
      </c>
      <c r="L19" s="13">
        <v>54.5</v>
      </c>
      <c r="M19" s="14">
        <f>L19*K19</f>
        <v>109</v>
      </c>
      <c r="N19" s="15"/>
      <c r="O19" s="16" t="s">
        <v>111</v>
      </c>
      <c r="P19" s="17">
        <f>M19/1.12*0.02</f>
        <v>1.9464285714285712</v>
      </c>
      <c r="Q19" s="18">
        <f>M19/1.12*0.12</f>
        <v>11.678571428571427</v>
      </c>
      <c r="R19" s="5"/>
      <c r="S19" s="17">
        <f>M19+P19-Q19</f>
        <v>99.267857142857139</v>
      </c>
      <c r="T19" s="19"/>
      <c r="U19" s="19"/>
      <c r="V19" s="19"/>
      <c r="W19" s="17"/>
      <c r="X19" s="20"/>
      <c r="Y19" s="19"/>
      <c r="Z19" s="19"/>
      <c r="AA19" s="19"/>
      <c r="AB19" s="19"/>
      <c r="AC19" s="19"/>
      <c r="AD19" s="19"/>
      <c r="AE19" s="5"/>
      <c r="AF19" s="19"/>
      <c r="AG19" s="5"/>
      <c r="AH19" s="17"/>
      <c r="AI19" s="19"/>
      <c r="AJ19" s="19"/>
      <c r="AK19" s="19"/>
      <c r="AL19" s="19"/>
      <c r="AM19" s="17"/>
      <c r="AN19" s="19"/>
      <c r="AO19" s="19"/>
      <c r="AP19" s="19"/>
      <c r="AQ19" s="19"/>
      <c r="AR19" s="19"/>
      <c r="AS19" s="21"/>
      <c r="AT19" s="5"/>
      <c r="AU19" s="19"/>
      <c r="AV19" s="5"/>
      <c r="AW19" s="22"/>
      <c r="AX19" s="19"/>
      <c r="AY19" s="5"/>
      <c r="AZ19" s="19"/>
      <c r="BA19" s="5"/>
      <c r="BB19" s="5"/>
      <c r="BC19" s="19"/>
      <c r="BD19" s="19"/>
      <c r="BE19" s="19"/>
      <c r="BF19" s="19"/>
      <c r="BG19" s="19"/>
      <c r="BH19" s="19"/>
      <c r="BI19" s="19"/>
      <c r="BJ19" s="19"/>
      <c r="BK19" s="13"/>
      <c r="BL19" s="5"/>
      <c r="BM19" s="5"/>
      <c r="BN19" s="19"/>
      <c r="BO19" s="17"/>
      <c r="BP19" s="19"/>
      <c r="BQ19" s="17"/>
      <c r="BR19" s="19"/>
      <c r="BS19" s="5"/>
      <c r="BT19" s="5"/>
      <c r="BU19" s="23"/>
      <c r="BV19" s="23"/>
      <c r="BW19" s="24"/>
      <c r="BX19" s="5"/>
      <c r="BY19" s="5"/>
      <c r="BZ19" s="5"/>
      <c r="CA19" s="24"/>
      <c r="CB19" s="24"/>
      <c r="CC19" s="24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>
        <f t="shared" si="4"/>
        <v>109</v>
      </c>
      <c r="CV19" s="25">
        <f t="shared" si="5"/>
        <v>0</v>
      </c>
      <c r="CW19" s="26"/>
      <c r="CX19" s="5"/>
      <c r="CY19" s="5"/>
    </row>
    <row r="20" spans="1:103" x14ac:dyDescent="0.2">
      <c r="A20" s="2"/>
      <c r="B20" s="3"/>
      <c r="C20" s="4"/>
      <c r="D20" s="5"/>
      <c r="E20" s="6"/>
      <c r="F20" s="7"/>
      <c r="G20" s="8"/>
      <c r="H20" s="9"/>
      <c r="I20" s="10"/>
      <c r="J20" s="11" t="s">
        <v>363</v>
      </c>
      <c r="K20" s="12">
        <v>2</v>
      </c>
      <c r="L20" s="13">
        <v>54.75</v>
      </c>
      <c r="M20" s="14">
        <f>L20*K20</f>
        <v>109.5</v>
      </c>
      <c r="N20" s="15"/>
      <c r="O20" s="16" t="s">
        <v>111</v>
      </c>
      <c r="P20" s="17">
        <f>M20/1.12*0.02</f>
        <v>1.9553571428571428</v>
      </c>
      <c r="Q20" s="18">
        <f>M20/1.12*0.12</f>
        <v>11.732142857142856</v>
      </c>
      <c r="R20" s="5"/>
      <c r="S20" s="17">
        <f>M20+P20-Q20</f>
        <v>99.723214285714278</v>
      </c>
      <c r="T20" s="19"/>
      <c r="U20" s="19"/>
      <c r="V20" s="19"/>
      <c r="W20" s="17"/>
      <c r="X20" s="20"/>
      <c r="Y20" s="19"/>
      <c r="Z20" s="19"/>
      <c r="AA20" s="19"/>
      <c r="AB20" s="19"/>
      <c r="AC20" s="19"/>
      <c r="AD20" s="19"/>
      <c r="AE20" s="5"/>
      <c r="AF20" s="19"/>
      <c r="AG20" s="5"/>
      <c r="AH20" s="17"/>
      <c r="AI20" s="19"/>
      <c r="AJ20" s="19"/>
      <c r="AK20" s="19"/>
      <c r="AL20" s="19"/>
      <c r="AM20" s="17"/>
      <c r="AN20" s="19"/>
      <c r="AO20" s="19"/>
      <c r="AP20" s="19"/>
      <c r="AQ20" s="19"/>
      <c r="AR20" s="19"/>
      <c r="AS20" s="21"/>
      <c r="AT20" s="5"/>
      <c r="AU20" s="19"/>
      <c r="AV20" s="5"/>
      <c r="AW20" s="22"/>
      <c r="AX20" s="19"/>
      <c r="AY20" s="5"/>
      <c r="AZ20" s="19"/>
      <c r="BA20" s="5"/>
      <c r="BB20" s="5"/>
      <c r="BC20" s="19"/>
      <c r="BD20" s="19"/>
      <c r="BE20" s="19"/>
      <c r="BF20" s="19"/>
      <c r="BG20" s="19"/>
      <c r="BH20" s="19"/>
      <c r="BI20" s="19"/>
      <c r="BJ20" s="19"/>
      <c r="BK20" s="13"/>
      <c r="BL20" s="5"/>
      <c r="BM20" s="5"/>
      <c r="BN20" s="19"/>
      <c r="BO20" s="17"/>
      <c r="BP20" s="19"/>
      <c r="BQ20" s="17"/>
      <c r="BR20" s="19"/>
      <c r="BS20" s="5"/>
      <c r="BT20" s="5"/>
      <c r="BU20" s="23"/>
      <c r="BV20" s="23"/>
      <c r="BW20" s="24"/>
      <c r="BX20" s="5"/>
      <c r="BY20" s="5"/>
      <c r="BZ20" s="5"/>
      <c r="CA20" s="24"/>
      <c r="CB20" s="24"/>
      <c r="CC20" s="24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>
        <f t="shared" si="4"/>
        <v>109.5</v>
      </c>
      <c r="CV20" s="25">
        <f t="shared" si="5"/>
        <v>0</v>
      </c>
      <c r="CW20" s="26"/>
      <c r="CX20" s="5"/>
      <c r="CY20" s="5"/>
    </row>
    <row r="21" spans="1:103" x14ac:dyDescent="0.2">
      <c r="A21" s="27"/>
      <c r="B21" s="28"/>
      <c r="C21" s="29"/>
      <c r="D21" s="30"/>
      <c r="E21" s="31"/>
      <c r="F21" s="32"/>
      <c r="G21" s="33"/>
      <c r="H21" s="34"/>
      <c r="I21" s="34"/>
      <c r="J21" s="35"/>
      <c r="K21" s="36"/>
      <c r="L21" s="37"/>
      <c r="M21" s="38">
        <f>SUM(M19:M20)</f>
        <v>218.5</v>
      </c>
      <c r="N21" s="38"/>
      <c r="O21" s="39" t="s">
        <v>111</v>
      </c>
      <c r="P21" s="38">
        <f>SUM(P19:P20)</f>
        <v>3.901785714285714</v>
      </c>
      <c r="Q21" s="38">
        <f>SUM(Q19:Q20)</f>
        <v>23.410714285714285</v>
      </c>
      <c r="R21" s="30"/>
      <c r="S21" s="38">
        <f>SUM(S19:S20)</f>
        <v>198.99107142857142</v>
      </c>
      <c r="T21" s="38">
        <f t="shared" ref="T21:AD21" si="27">SUM(T19:T19)</f>
        <v>0</v>
      </c>
      <c r="U21" s="38">
        <f t="shared" si="27"/>
        <v>0</v>
      </c>
      <c r="V21" s="38">
        <f t="shared" si="27"/>
        <v>0</v>
      </c>
      <c r="W21" s="38">
        <f t="shared" si="27"/>
        <v>0</v>
      </c>
      <c r="X21" s="38">
        <f t="shared" si="27"/>
        <v>0</v>
      </c>
      <c r="Y21" s="38">
        <f t="shared" si="27"/>
        <v>0</v>
      </c>
      <c r="Z21" s="38">
        <f t="shared" si="27"/>
        <v>0</v>
      </c>
      <c r="AA21" s="38">
        <f t="shared" si="27"/>
        <v>0</v>
      </c>
      <c r="AB21" s="38">
        <f t="shared" si="27"/>
        <v>0</v>
      </c>
      <c r="AC21" s="38">
        <f t="shared" si="27"/>
        <v>0</v>
      </c>
      <c r="AD21" s="38">
        <f t="shared" si="27"/>
        <v>0</v>
      </c>
      <c r="AE21" s="30"/>
      <c r="AF21" s="38">
        <f>SUM(AF19:AF19)</f>
        <v>0</v>
      </c>
      <c r="AG21" s="30"/>
      <c r="AH21" s="38">
        <f t="shared" ref="AH21:AZ21" si="28">SUM(AH19:AH19)</f>
        <v>0</v>
      </c>
      <c r="AI21" s="38">
        <f t="shared" si="28"/>
        <v>0</v>
      </c>
      <c r="AJ21" s="38">
        <f t="shared" si="28"/>
        <v>0</v>
      </c>
      <c r="AK21" s="38">
        <f t="shared" si="28"/>
        <v>0</v>
      </c>
      <c r="AL21" s="38">
        <f t="shared" si="28"/>
        <v>0</v>
      </c>
      <c r="AM21" s="38">
        <f t="shared" si="28"/>
        <v>0</v>
      </c>
      <c r="AN21" s="38">
        <f t="shared" si="28"/>
        <v>0</v>
      </c>
      <c r="AO21" s="38">
        <f t="shared" si="28"/>
        <v>0</v>
      </c>
      <c r="AP21" s="38">
        <f t="shared" si="28"/>
        <v>0</v>
      </c>
      <c r="AQ21" s="38">
        <f t="shared" si="28"/>
        <v>0</v>
      </c>
      <c r="AR21" s="38">
        <f t="shared" si="28"/>
        <v>0</v>
      </c>
      <c r="AS21" s="38">
        <f t="shared" si="28"/>
        <v>0</v>
      </c>
      <c r="AT21" s="38">
        <f t="shared" si="28"/>
        <v>0</v>
      </c>
      <c r="AU21" s="38">
        <f t="shared" si="28"/>
        <v>0</v>
      </c>
      <c r="AV21" s="38">
        <f t="shared" si="28"/>
        <v>0</v>
      </c>
      <c r="AW21" s="38">
        <f t="shared" si="28"/>
        <v>0</v>
      </c>
      <c r="AX21" s="38">
        <f t="shared" si="28"/>
        <v>0</v>
      </c>
      <c r="AY21" s="38">
        <f t="shared" si="28"/>
        <v>0</v>
      </c>
      <c r="AZ21" s="38">
        <f t="shared" si="28"/>
        <v>0</v>
      </c>
      <c r="BA21" s="30"/>
      <c r="BB21" s="38">
        <f t="shared" ref="BB21:CT21" si="29">SUM(BB19:BB19)</f>
        <v>0</v>
      </c>
      <c r="BC21" s="38">
        <f t="shared" si="29"/>
        <v>0</v>
      </c>
      <c r="BD21" s="38">
        <f t="shared" si="29"/>
        <v>0</v>
      </c>
      <c r="BE21" s="38">
        <f t="shared" si="29"/>
        <v>0</v>
      </c>
      <c r="BF21" s="38">
        <f t="shared" si="29"/>
        <v>0</v>
      </c>
      <c r="BG21" s="38">
        <f t="shared" si="29"/>
        <v>0</v>
      </c>
      <c r="BH21" s="38">
        <f t="shared" si="29"/>
        <v>0</v>
      </c>
      <c r="BI21" s="38">
        <f t="shared" si="29"/>
        <v>0</v>
      </c>
      <c r="BJ21" s="38">
        <f t="shared" si="29"/>
        <v>0</v>
      </c>
      <c r="BK21" s="38">
        <f t="shared" si="29"/>
        <v>0</v>
      </c>
      <c r="BL21" s="38">
        <f t="shared" si="29"/>
        <v>0</v>
      </c>
      <c r="BM21" s="38">
        <f t="shared" si="29"/>
        <v>0</v>
      </c>
      <c r="BN21" s="38">
        <f t="shared" si="29"/>
        <v>0</v>
      </c>
      <c r="BO21" s="38">
        <f t="shared" si="29"/>
        <v>0</v>
      </c>
      <c r="BP21" s="38">
        <f t="shared" si="29"/>
        <v>0</v>
      </c>
      <c r="BQ21" s="38">
        <f t="shared" si="29"/>
        <v>0</v>
      </c>
      <c r="BR21" s="38">
        <f t="shared" si="29"/>
        <v>0</v>
      </c>
      <c r="BS21" s="30"/>
      <c r="BT21" s="38">
        <f t="shared" si="29"/>
        <v>0</v>
      </c>
      <c r="BU21" s="38">
        <f t="shared" si="29"/>
        <v>0</v>
      </c>
      <c r="BV21" s="38">
        <f t="shared" si="29"/>
        <v>0</v>
      </c>
      <c r="BW21" s="38">
        <f t="shared" si="29"/>
        <v>0</v>
      </c>
      <c r="BX21" s="38">
        <f t="shared" si="29"/>
        <v>0</v>
      </c>
      <c r="BY21" s="38">
        <f t="shared" si="29"/>
        <v>0</v>
      </c>
      <c r="BZ21" s="38">
        <f t="shared" si="29"/>
        <v>0</v>
      </c>
      <c r="CA21" s="38">
        <f t="shared" si="29"/>
        <v>0</v>
      </c>
      <c r="CB21" s="38">
        <f t="shared" si="29"/>
        <v>0</v>
      </c>
      <c r="CC21" s="38">
        <f t="shared" si="29"/>
        <v>0</v>
      </c>
      <c r="CD21" s="38">
        <f t="shared" si="29"/>
        <v>0</v>
      </c>
      <c r="CE21" s="38">
        <f t="shared" si="29"/>
        <v>0</v>
      </c>
      <c r="CF21" s="38">
        <f t="shared" si="29"/>
        <v>0</v>
      </c>
      <c r="CG21" s="38">
        <f t="shared" si="29"/>
        <v>0</v>
      </c>
      <c r="CH21" s="38">
        <f t="shared" si="29"/>
        <v>0</v>
      </c>
      <c r="CI21" s="38">
        <f t="shared" si="29"/>
        <v>0</v>
      </c>
      <c r="CJ21" s="38">
        <f t="shared" si="29"/>
        <v>0</v>
      </c>
      <c r="CK21" s="38">
        <f t="shared" si="29"/>
        <v>0</v>
      </c>
      <c r="CL21" s="38">
        <f t="shared" si="29"/>
        <v>0</v>
      </c>
      <c r="CM21" s="38">
        <f t="shared" si="29"/>
        <v>0</v>
      </c>
      <c r="CN21" s="38">
        <f t="shared" si="29"/>
        <v>0</v>
      </c>
      <c r="CO21" s="38">
        <f t="shared" si="29"/>
        <v>0</v>
      </c>
      <c r="CP21" s="38">
        <f t="shared" si="29"/>
        <v>0</v>
      </c>
      <c r="CQ21" s="38">
        <f t="shared" si="29"/>
        <v>0</v>
      </c>
      <c r="CR21" s="38">
        <f t="shared" si="29"/>
        <v>0</v>
      </c>
      <c r="CS21" s="38">
        <f t="shared" si="29"/>
        <v>0</v>
      </c>
      <c r="CT21" s="38">
        <f t="shared" si="29"/>
        <v>0</v>
      </c>
      <c r="CU21" s="17">
        <f t="shared" si="4"/>
        <v>218.49999999999997</v>
      </c>
      <c r="CV21" s="25">
        <f t="shared" si="5"/>
        <v>0</v>
      </c>
      <c r="CW21" s="40"/>
      <c r="CX21" s="30"/>
      <c r="CY21" s="30"/>
    </row>
    <row r="22" spans="1:103" x14ac:dyDescent="0.2">
      <c r="A22" s="2">
        <v>45875</v>
      </c>
      <c r="B22" s="3" t="s">
        <v>352</v>
      </c>
      <c r="C22" s="4" t="s">
        <v>511</v>
      </c>
      <c r="D22" s="5" t="s">
        <v>122</v>
      </c>
      <c r="E22" s="6" t="s">
        <v>365</v>
      </c>
      <c r="F22" s="7" t="s">
        <v>366</v>
      </c>
      <c r="G22" s="8" t="s">
        <v>367</v>
      </c>
      <c r="H22" s="9">
        <v>121305</v>
      </c>
      <c r="I22" s="10" t="s">
        <v>368</v>
      </c>
      <c r="J22" s="11" t="s">
        <v>369</v>
      </c>
      <c r="K22" s="12">
        <v>4</v>
      </c>
      <c r="L22" s="13">
        <v>315</v>
      </c>
      <c r="M22" s="14">
        <f>L22*K22</f>
        <v>1260</v>
      </c>
      <c r="N22" s="15"/>
      <c r="O22" s="16" t="s">
        <v>137</v>
      </c>
      <c r="P22" s="17">
        <f>M22*0.02</f>
        <v>25.2</v>
      </c>
      <c r="Q22" s="18"/>
      <c r="R22" s="17">
        <f>M22+P22-Q22</f>
        <v>1285.2</v>
      </c>
      <c r="S22" s="5"/>
      <c r="T22" s="19"/>
      <c r="U22" s="19"/>
      <c r="V22" s="19"/>
      <c r="W22" s="17"/>
      <c r="X22" s="20"/>
      <c r="Y22" s="19"/>
      <c r="Z22" s="19"/>
      <c r="AA22" s="19"/>
      <c r="AB22" s="19"/>
      <c r="AC22" s="19"/>
      <c r="AD22" s="19"/>
      <c r="AE22" s="5"/>
      <c r="AF22" s="19"/>
      <c r="AG22" s="5"/>
      <c r="AH22" s="17"/>
      <c r="AI22" s="19"/>
      <c r="AJ22" s="19"/>
      <c r="AK22" s="19"/>
      <c r="AL22" s="19"/>
      <c r="AM22" s="17"/>
      <c r="AN22" s="19"/>
      <c r="AO22" s="19"/>
      <c r="AP22" s="19"/>
      <c r="AQ22" s="19"/>
      <c r="AR22" s="19"/>
      <c r="AS22" s="21"/>
      <c r="AT22" s="5"/>
      <c r="AU22" s="19"/>
      <c r="AV22" s="5"/>
      <c r="AW22" s="22"/>
      <c r="AX22" s="19"/>
      <c r="AY22" s="5"/>
      <c r="AZ22" s="19"/>
      <c r="BA22" s="5"/>
      <c r="BB22" s="5"/>
      <c r="BC22" s="19"/>
      <c r="BD22" s="19"/>
      <c r="BE22" s="19"/>
      <c r="BF22" s="19"/>
      <c r="BG22" s="19"/>
      <c r="BH22" s="19"/>
      <c r="BI22" s="19"/>
      <c r="BJ22" s="19"/>
      <c r="BK22" s="13"/>
      <c r="BL22" s="5"/>
      <c r="BM22" s="5"/>
      <c r="BN22" s="19"/>
      <c r="BO22" s="17"/>
      <c r="BP22" s="19"/>
      <c r="BQ22" s="17"/>
      <c r="BR22" s="19"/>
      <c r="BS22" s="5"/>
      <c r="BT22" s="5"/>
      <c r="BU22" s="23"/>
      <c r="BV22" s="23"/>
      <c r="BW22" s="24"/>
      <c r="BX22" s="5"/>
      <c r="BY22" s="5"/>
      <c r="BZ22" s="5"/>
      <c r="CA22" s="24"/>
      <c r="CB22" s="24"/>
      <c r="CC22" s="24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>
        <f t="shared" si="4"/>
        <v>1260</v>
      </c>
      <c r="CV22" s="25">
        <f t="shared" si="5"/>
        <v>0</v>
      </c>
      <c r="CW22" s="26"/>
      <c r="CX22" s="5"/>
      <c r="CY22" s="5"/>
    </row>
    <row r="23" spans="1:103" x14ac:dyDescent="0.2">
      <c r="A23" s="27"/>
      <c r="B23" s="28"/>
      <c r="C23" s="29"/>
      <c r="D23" s="30"/>
      <c r="E23" s="31"/>
      <c r="F23" s="32"/>
      <c r="G23" s="33"/>
      <c r="H23" s="34"/>
      <c r="I23" s="34"/>
      <c r="J23" s="35"/>
      <c r="K23" s="36"/>
      <c r="L23" s="37"/>
      <c r="M23" s="38">
        <f>SUM(M22:M22)</f>
        <v>1260</v>
      </c>
      <c r="N23" s="38"/>
      <c r="O23" s="39" t="s">
        <v>137</v>
      </c>
      <c r="P23" s="38">
        <f>SUM(P22:P22)</f>
        <v>25.2</v>
      </c>
      <c r="Q23" s="38"/>
      <c r="R23" s="38">
        <f>SUM(R22:R22)</f>
        <v>1285.2</v>
      </c>
      <c r="S23" s="30"/>
      <c r="T23" s="38">
        <f t="shared" ref="T23:AD23" si="30">SUM(T22:T22)</f>
        <v>0</v>
      </c>
      <c r="U23" s="38">
        <f t="shared" si="30"/>
        <v>0</v>
      </c>
      <c r="V23" s="38">
        <f t="shared" si="30"/>
        <v>0</v>
      </c>
      <c r="W23" s="38">
        <f t="shared" si="30"/>
        <v>0</v>
      </c>
      <c r="X23" s="38">
        <f t="shared" si="30"/>
        <v>0</v>
      </c>
      <c r="Y23" s="38">
        <f t="shared" si="30"/>
        <v>0</v>
      </c>
      <c r="Z23" s="38">
        <f t="shared" si="30"/>
        <v>0</v>
      </c>
      <c r="AA23" s="38">
        <f t="shared" si="30"/>
        <v>0</v>
      </c>
      <c r="AB23" s="38">
        <f t="shared" si="30"/>
        <v>0</v>
      </c>
      <c r="AC23" s="38">
        <f t="shared" si="30"/>
        <v>0</v>
      </c>
      <c r="AD23" s="38">
        <f t="shared" si="30"/>
        <v>0</v>
      </c>
      <c r="AE23" s="30"/>
      <c r="AF23" s="38">
        <f>SUM(AF22:AF22)</f>
        <v>0</v>
      </c>
      <c r="AG23" s="30"/>
      <c r="AH23" s="38">
        <f t="shared" ref="AH23:AZ23" si="31">SUM(AH22:AH22)</f>
        <v>0</v>
      </c>
      <c r="AI23" s="38">
        <f t="shared" si="31"/>
        <v>0</v>
      </c>
      <c r="AJ23" s="38">
        <f t="shared" si="31"/>
        <v>0</v>
      </c>
      <c r="AK23" s="38">
        <f t="shared" si="31"/>
        <v>0</v>
      </c>
      <c r="AL23" s="38">
        <f t="shared" si="31"/>
        <v>0</v>
      </c>
      <c r="AM23" s="38">
        <f t="shared" si="31"/>
        <v>0</v>
      </c>
      <c r="AN23" s="38">
        <f t="shared" si="31"/>
        <v>0</v>
      </c>
      <c r="AO23" s="38">
        <f t="shared" si="31"/>
        <v>0</v>
      </c>
      <c r="AP23" s="38">
        <f t="shared" si="31"/>
        <v>0</v>
      </c>
      <c r="AQ23" s="38">
        <f t="shared" si="31"/>
        <v>0</v>
      </c>
      <c r="AR23" s="38">
        <f t="shared" si="31"/>
        <v>0</v>
      </c>
      <c r="AS23" s="38">
        <f t="shared" si="31"/>
        <v>0</v>
      </c>
      <c r="AT23" s="38">
        <f t="shared" si="31"/>
        <v>0</v>
      </c>
      <c r="AU23" s="38">
        <f t="shared" si="31"/>
        <v>0</v>
      </c>
      <c r="AV23" s="38">
        <f t="shared" si="31"/>
        <v>0</v>
      </c>
      <c r="AW23" s="38">
        <f t="shared" si="31"/>
        <v>0</v>
      </c>
      <c r="AX23" s="38">
        <f t="shared" si="31"/>
        <v>0</v>
      </c>
      <c r="AY23" s="38">
        <f t="shared" si="31"/>
        <v>0</v>
      </c>
      <c r="AZ23" s="38">
        <f t="shared" si="31"/>
        <v>0</v>
      </c>
      <c r="BA23" s="30"/>
      <c r="BB23" s="38">
        <f t="shared" ref="BB23:CT23" si="32">SUM(BB22:BB22)</f>
        <v>0</v>
      </c>
      <c r="BC23" s="38">
        <f t="shared" si="32"/>
        <v>0</v>
      </c>
      <c r="BD23" s="38">
        <f t="shared" si="32"/>
        <v>0</v>
      </c>
      <c r="BE23" s="38">
        <f t="shared" si="32"/>
        <v>0</v>
      </c>
      <c r="BF23" s="38">
        <f t="shared" si="32"/>
        <v>0</v>
      </c>
      <c r="BG23" s="38">
        <f t="shared" si="32"/>
        <v>0</v>
      </c>
      <c r="BH23" s="38">
        <f t="shared" si="32"/>
        <v>0</v>
      </c>
      <c r="BI23" s="38">
        <f t="shared" si="32"/>
        <v>0</v>
      </c>
      <c r="BJ23" s="38">
        <f t="shared" si="32"/>
        <v>0</v>
      </c>
      <c r="BK23" s="38">
        <f t="shared" si="32"/>
        <v>0</v>
      </c>
      <c r="BL23" s="38">
        <f t="shared" si="32"/>
        <v>0</v>
      </c>
      <c r="BM23" s="38">
        <f t="shared" si="32"/>
        <v>0</v>
      </c>
      <c r="BN23" s="38">
        <f t="shared" si="32"/>
        <v>0</v>
      </c>
      <c r="BO23" s="38">
        <f t="shared" si="32"/>
        <v>0</v>
      </c>
      <c r="BP23" s="38">
        <f t="shared" si="32"/>
        <v>0</v>
      </c>
      <c r="BQ23" s="38">
        <f t="shared" si="32"/>
        <v>0</v>
      </c>
      <c r="BR23" s="38">
        <f t="shared" si="32"/>
        <v>0</v>
      </c>
      <c r="BS23" s="30"/>
      <c r="BT23" s="38">
        <f t="shared" si="32"/>
        <v>0</v>
      </c>
      <c r="BU23" s="38">
        <f t="shared" si="32"/>
        <v>0</v>
      </c>
      <c r="BV23" s="38">
        <f t="shared" si="32"/>
        <v>0</v>
      </c>
      <c r="BW23" s="38">
        <f t="shared" si="32"/>
        <v>0</v>
      </c>
      <c r="BX23" s="38">
        <f t="shared" si="32"/>
        <v>0</v>
      </c>
      <c r="BY23" s="38">
        <f t="shared" si="32"/>
        <v>0</v>
      </c>
      <c r="BZ23" s="38">
        <f t="shared" si="32"/>
        <v>0</v>
      </c>
      <c r="CA23" s="38">
        <f t="shared" si="32"/>
        <v>0</v>
      </c>
      <c r="CB23" s="38">
        <f t="shared" si="32"/>
        <v>0</v>
      </c>
      <c r="CC23" s="38">
        <f t="shared" si="32"/>
        <v>0</v>
      </c>
      <c r="CD23" s="38">
        <f t="shared" si="32"/>
        <v>0</v>
      </c>
      <c r="CE23" s="38">
        <f t="shared" si="32"/>
        <v>0</v>
      </c>
      <c r="CF23" s="38">
        <f t="shared" si="32"/>
        <v>0</v>
      </c>
      <c r="CG23" s="38">
        <f t="shared" si="32"/>
        <v>0</v>
      </c>
      <c r="CH23" s="38">
        <f t="shared" si="32"/>
        <v>0</v>
      </c>
      <c r="CI23" s="38">
        <f t="shared" si="32"/>
        <v>0</v>
      </c>
      <c r="CJ23" s="38">
        <f t="shared" si="32"/>
        <v>0</v>
      </c>
      <c r="CK23" s="38">
        <f t="shared" si="32"/>
        <v>0</v>
      </c>
      <c r="CL23" s="38">
        <f t="shared" si="32"/>
        <v>0</v>
      </c>
      <c r="CM23" s="38">
        <f t="shared" si="32"/>
        <v>0</v>
      </c>
      <c r="CN23" s="38">
        <f t="shared" si="32"/>
        <v>0</v>
      </c>
      <c r="CO23" s="38">
        <f t="shared" si="32"/>
        <v>0</v>
      </c>
      <c r="CP23" s="38">
        <f t="shared" si="32"/>
        <v>0</v>
      </c>
      <c r="CQ23" s="38">
        <f t="shared" si="32"/>
        <v>0</v>
      </c>
      <c r="CR23" s="38">
        <f t="shared" si="32"/>
        <v>0</v>
      </c>
      <c r="CS23" s="38">
        <f t="shared" si="32"/>
        <v>0</v>
      </c>
      <c r="CT23" s="38">
        <f t="shared" si="32"/>
        <v>0</v>
      </c>
      <c r="CU23" s="17">
        <f t="shared" si="4"/>
        <v>1260</v>
      </c>
      <c r="CV23" s="25">
        <f t="shared" si="5"/>
        <v>0</v>
      </c>
      <c r="CW23" s="40"/>
      <c r="CX23" s="30"/>
      <c r="CY23" s="30"/>
    </row>
    <row r="24" spans="1:103" x14ac:dyDescent="0.2">
      <c r="A24" s="2">
        <v>45873</v>
      </c>
      <c r="B24" s="3" t="s">
        <v>352</v>
      </c>
      <c r="C24" s="4" t="s">
        <v>477</v>
      </c>
      <c r="D24" s="5" t="s">
        <v>122</v>
      </c>
      <c r="E24" s="6" t="s">
        <v>335</v>
      </c>
      <c r="F24" s="7" t="s">
        <v>336</v>
      </c>
      <c r="G24" s="8" t="s">
        <v>357</v>
      </c>
      <c r="H24" s="9" t="s">
        <v>371</v>
      </c>
      <c r="I24" s="10" t="s">
        <v>372</v>
      </c>
      <c r="J24" s="11" t="s">
        <v>355</v>
      </c>
      <c r="K24" s="12">
        <v>9.85</v>
      </c>
      <c r="L24" s="13">
        <v>189</v>
      </c>
      <c r="M24" s="14">
        <f t="shared" ref="M24" si="33">L24*K24</f>
        <v>1861.6499999999999</v>
      </c>
      <c r="N24" s="15"/>
      <c r="O24" s="16" t="s">
        <v>137</v>
      </c>
      <c r="P24" s="17">
        <f>M24*0.01</f>
        <v>18.616499999999998</v>
      </c>
      <c r="Q24" s="18"/>
      <c r="R24" s="17">
        <f>M24+P24-Q24</f>
        <v>1880.2665</v>
      </c>
      <c r="S24" s="19"/>
      <c r="T24" s="19"/>
      <c r="U24" s="19"/>
      <c r="V24" s="19"/>
      <c r="W24" s="17"/>
      <c r="X24" s="20"/>
      <c r="Y24" s="19"/>
      <c r="Z24" s="19"/>
      <c r="AA24" s="19"/>
      <c r="AB24" s="19"/>
      <c r="AC24" s="19"/>
      <c r="AD24" s="19"/>
      <c r="AE24" s="5"/>
      <c r="AF24" s="19"/>
      <c r="AG24" s="5"/>
      <c r="AH24" s="17"/>
      <c r="AI24" s="19"/>
      <c r="AJ24" s="19"/>
      <c r="AK24" s="19"/>
      <c r="AL24" s="19"/>
      <c r="AM24" s="17"/>
      <c r="AN24" s="19"/>
      <c r="AO24" s="19"/>
      <c r="AP24" s="19"/>
      <c r="AQ24" s="19"/>
      <c r="AR24" s="19"/>
      <c r="AS24" s="21"/>
      <c r="AT24" s="5"/>
      <c r="AU24" s="19"/>
      <c r="AV24" s="5"/>
      <c r="AW24" s="22"/>
      <c r="AX24" s="19"/>
      <c r="AY24" s="5"/>
      <c r="AZ24" s="19"/>
      <c r="BA24" s="5"/>
      <c r="BB24" s="5"/>
      <c r="BC24" s="19"/>
      <c r="BD24" s="19"/>
      <c r="BE24" s="19"/>
      <c r="BF24" s="19"/>
      <c r="BG24" s="19"/>
      <c r="BH24" s="19"/>
      <c r="BI24" s="19"/>
      <c r="BJ24" s="19"/>
      <c r="BK24" s="13"/>
      <c r="BL24" s="5"/>
      <c r="BM24" s="5"/>
      <c r="BN24" s="19"/>
      <c r="BO24" s="17"/>
      <c r="BP24" s="19"/>
      <c r="BQ24" s="17"/>
      <c r="BR24" s="19"/>
      <c r="BS24" s="13"/>
      <c r="BT24" s="5"/>
      <c r="BU24" s="23"/>
      <c r="BV24" s="23"/>
      <c r="BW24" s="24"/>
      <c r="BX24" s="5"/>
      <c r="BY24" s="5"/>
      <c r="BZ24" s="5"/>
      <c r="CA24" s="24"/>
      <c r="CB24" s="24"/>
      <c r="CC24" s="24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>
        <f t="shared" si="4"/>
        <v>1861.6499999999999</v>
      </c>
      <c r="CV24" s="25">
        <f t="shared" si="5"/>
        <v>0</v>
      </c>
      <c r="CW24" s="26"/>
      <c r="CX24" s="5"/>
      <c r="CY24" s="5"/>
    </row>
    <row r="25" spans="1:103" x14ac:dyDescent="0.2">
      <c r="A25" s="27"/>
      <c r="B25" s="28"/>
      <c r="C25" s="29"/>
      <c r="D25" s="30"/>
      <c r="E25" s="31"/>
      <c r="F25" s="32"/>
      <c r="G25" s="33"/>
      <c r="H25" s="34"/>
      <c r="I25" s="34"/>
      <c r="J25" s="35"/>
      <c r="K25" s="36"/>
      <c r="L25" s="37"/>
      <c r="M25" s="38">
        <f>SUM(M24:M24)</f>
        <v>1861.6499999999999</v>
      </c>
      <c r="N25" s="38"/>
      <c r="O25" s="39" t="s">
        <v>137</v>
      </c>
      <c r="P25" s="38">
        <f>SUM(P24:P24)</f>
        <v>18.616499999999998</v>
      </c>
      <c r="Q25" s="38"/>
      <c r="R25" s="38">
        <f>SUM(R24:R24)</f>
        <v>1880.2665</v>
      </c>
      <c r="S25" s="38">
        <f t="shared" ref="S25:AD25" si="34">SUM(S24:S24)</f>
        <v>0</v>
      </c>
      <c r="T25" s="38">
        <f t="shared" si="34"/>
        <v>0</v>
      </c>
      <c r="U25" s="38">
        <f t="shared" si="34"/>
        <v>0</v>
      </c>
      <c r="V25" s="38">
        <f t="shared" si="34"/>
        <v>0</v>
      </c>
      <c r="W25" s="38">
        <f t="shared" si="34"/>
        <v>0</v>
      </c>
      <c r="X25" s="38">
        <f t="shared" si="34"/>
        <v>0</v>
      </c>
      <c r="Y25" s="38">
        <f t="shared" si="34"/>
        <v>0</v>
      </c>
      <c r="Z25" s="38">
        <f t="shared" si="34"/>
        <v>0</v>
      </c>
      <c r="AA25" s="38">
        <f t="shared" si="34"/>
        <v>0</v>
      </c>
      <c r="AB25" s="38">
        <f t="shared" si="34"/>
        <v>0</v>
      </c>
      <c r="AC25" s="38">
        <f t="shared" si="34"/>
        <v>0</v>
      </c>
      <c r="AD25" s="38">
        <f t="shared" si="34"/>
        <v>0</v>
      </c>
      <c r="AE25" s="30"/>
      <c r="AF25" s="38">
        <f>SUM(AF24:AF24)</f>
        <v>0</v>
      </c>
      <c r="AG25" s="30"/>
      <c r="AH25" s="38">
        <f t="shared" ref="AH25:AZ25" si="35">SUM(AH24:AH24)</f>
        <v>0</v>
      </c>
      <c r="AI25" s="38">
        <f t="shared" si="35"/>
        <v>0</v>
      </c>
      <c r="AJ25" s="38">
        <f t="shared" si="35"/>
        <v>0</v>
      </c>
      <c r="AK25" s="38">
        <f t="shared" si="35"/>
        <v>0</v>
      </c>
      <c r="AL25" s="38">
        <f t="shared" si="35"/>
        <v>0</v>
      </c>
      <c r="AM25" s="38">
        <f t="shared" si="35"/>
        <v>0</v>
      </c>
      <c r="AN25" s="38">
        <f t="shared" si="35"/>
        <v>0</v>
      </c>
      <c r="AO25" s="38">
        <f t="shared" si="35"/>
        <v>0</v>
      </c>
      <c r="AP25" s="38">
        <f t="shared" si="35"/>
        <v>0</v>
      </c>
      <c r="AQ25" s="38">
        <f t="shared" si="35"/>
        <v>0</v>
      </c>
      <c r="AR25" s="38">
        <f t="shared" si="35"/>
        <v>0</v>
      </c>
      <c r="AS25" s="38">
        <f t="shared" si="35"/>
        <v>0</v>
      </c>
      <c r="AT25" s="38">
        <f t="shared" si="35"/>
        <v>0</v>
      </c>
      <c r="AU25" s="38">
        <f t="shared" si="35"/>
        <v>0</v>
      </c>
      <c r="AV25" s="38">
        <f t="shared" si="35"/>
        <v>0</v>
      </c>
      <c r="AW25" s="38">
        <f t="shared" si="35"/>
        <v>0</v>
      </c>
      <c r="AX25" s="38">
        <f t="shared" si="35"/>
        <v>0</v>
      </c>
      <c r="AY25" s="38">
        <f t="shared" si="35"/>
        <v>0</v>
      </c>
      <c r="AZ25" s="38">
        <f t="shared" si="35"/>
        <v>0</v>
      </c>
      <c r="BA25" s="30"/>
      <c r="BB25" s="38">
        <f t="shared" ref="BB25:CT25" si="36">SUM(BB24:BB24)</f>
        <v>0</v>
      </c>
      <c r="BC25" s="38">
        <f t="shared" si="36"/>
        <v>0</v>
      </c>
      <c r="BD25" s="38">
        <f t="shared" si="36"/>
        <v>0</v>
      </c>
      <c r="BE25" s="38">
        <f t="shared" si="36"/>
        <v>0</v>
      </c>
      <c r="BF25" s="38">
        <f t="shared" si="36"/>
        <v>0</v>
      </c>
      <c r="BG25" s="38">
        <f t="shared" si="36"/>
        <v>0</v>
      </c>
      <c r="BH25" s="38">
        <f t="shared" si="36"/>
        <v>0</v>
      </c>
      <c r="BI25" s="38">
        <f t="shared" si="36"/>
        <v>0</v>
      </c>
      <c r="BJ25" s="38">
        <f t="shared" si="36"/>
        <v>0</v>
      </c>
      <c r="BK25" s="38">
        <f t="shared" si="36"/>
        <v>0</v>
      </c>
      <c r="BL25" s="38">
        <f t="shared" si="36"/>
        <v>0</v>
      </c>
      <c r="BM25" s="38">
        <f t="shared" si="36"/>
        <v>0</v>
      </c>
      <c r="BN25" s="38">
        <f t="shared" si="36"/>
        <v>0</v>
      </c>
      <c r="BO25" s="38">
        <f t="shared" si="36"/>
        <v>0</v>
      </c>
      <c r="BP25" s="38">
        <f t="shared" si="36"/>
        <v>0</v>
      </c>
      <c r="BQ25" s="38">
        <f t="shared" si="36"/>
        <v>0</v>
      </c>
      <c r="BR25" s="38">
        <f t="shared" si="36"/>
        <v>0</v>
      </c>
      <c r="BS25" s="38">
        <f t="shared" si="36"/>
        <v>0</v>
      </c>
      <c r="BT25" s="38">
        <f t="shared" si="36"/>
        <v>0</v>
      </c>
      <c r="BU25" s="38">
        <f t="shared" si="36"/>
        <v>0</v>
      </c>
      <c r="BV25" s="38">
        <f t="shared" si="36"/>
        <v>0</v>
      </c>
      <c r="BW25" s="38">
        <f t="shared" si="36"/>
        <v>0</v>
      </c>
      <c r="BX25" s="38">
        <f t="shared" si="36"/>
        <v>0</v>
      </c>
      <c r="BY25" s="38">
        <f t="shared" si="36"/>
        <v>0</v>
      </c>
      <c r="BZ25" s="38">
        <f t="shared" si="36"/>
        <v>0</v>
      </c>
      <c r="CA25" s="38">
        <f t="shared" si="36"/>
        <v>0</v>
      </c>
      <c r="CB25" s="38">
        <f t="shared" si="36"/>
        <v>0</v>
      </c>
      <c r="CC25" s="38">
        <f t="shared" si="36"/>
        <v>0</v>
      </c>
      <c r="CD25" s="38">
        <f t="shared" si="36"/>
        <v>0</v>
      </c>
      <c r="CE25" s="38">
        <f t="shared" si="36"/>
        <v>0</v>
      </c>
      <c r="CF25" s="38">
        <f t="shared" si="36"/>
        <v>0</v>
      </c>
      <c r="CG25" s="38">
        <f t="shared" si="36"/>
        <v>0</v>
      </c>
      <c r="CH25" s="38">
        <f t="shared" si="36"/>
        <v>0</v>
      </c>
      <c r="CI25" s="38">
        <f t="shared" si="36"/>
        <v>0</v>
      </c>
      <c r="CJ25" s="38">
        <f t="shared" si="36"/>
        <v>0</v>
      </c>
      <c r="CK25" s="38">
        <f t="shared" si="36"/>
        <v>0</v>
      </c>
      <c r="CL25" s="38">
        <f t="shared" si="36"/>
        <v>0</v>
      </c>
      <c r="CM25" s="38">
        <f t="shared" si="36"/>
        <v>0</v>
      </c>
      <c r="CN25" s="38">
        <f t="shared" si="36"/>
        <v>0</v>
      </c>
      <c r="CO25" s="38">
        <f t="shared" si="36"/>
        <v>0</v>
      </c>
      <c r="CP25" s="38">
        <f t="shared" si="36"/>
        <v>0</v>
      </c>
      <c r="CQ25" s="38">
        <f t="shared" si="36"/>
        <v>0</v>
      </c>
      <c r="CR25" s="38">
        <f t="shared" si="36"/>
        <v>0</v>
      </c>
      <c r="CS25" s="38">
        <f t="shared" si="36"/>
        <v>0</v>
      </c>
      <c r="CT25" s="38">
        <f t="shared" si="36"/>
        <v>0</v>
      </c>
      <c r="CU25" s="17">
        <f t="shared" si="4"/>
        <v>1861.6499999999999</v>
      </c>
      <c r="CV25" s="25">
        <f t="shared" si="5"/>
        <v>0</v>
      </c>
      <c r="CW25" s="40"/>
      <c r="CX25" s="30"/>
      <c r="CY25" s="30"/>
    </row>
    <row r="26" spans="1:103" x14ac:dyDescent="0.2">
      <c r="A26" s="2">
        <v>45874</v>
      </c>
      <c r="B26" s="3" t="s">
        <v>352</v>
      </c>
      <c r="C26" s="4" t="s">
        <v>478</v>
      </c>
      <c r="D26" s="5" t="s">
        <v>122</v>
      </c>
      <c r="E26" s="6" t="s">
        <v>341</v>
      </c>
      <c r="F26" s="7" t="s">
        <v>336</v>
      </c>
      <c r="G26" s="8" t="s">
        <v>149</v>
      </c>
      <c r="H26" s="9" t="s">
        <v>373</v>
      </c>
      <c r="I26" s="10" t="s">
        <v>374</v>
      </c>
      <c r="J26" s="11" t="s">
        <v>375</v>
      </c>
      <c r="K26" s="12">
        <v>9.9</v>
      </c>
      <c r="L26" s="13">
        <v>289</v>
      </c>
      <c r="M26" s="14">
        <f t="shared" ref="M26" si="37">L26*K26</f>
        <v>2861.1</v>
      </c>
      <c r="N26" s="15"/>
      <c r="O26" s="16" t="s">
        <v>111</v>
      </c>
      <c r="P26" s="17">
        <f>M26*0.01</f>
        <v>28.611000000000001</v>
      </c>
      <c r="Q26" s="18"/>
      <c r="R26" s="17">
        <f>M26+P26-Q26</f>
        <v>2889.7109999999998</v>
      </c>
      <c r="S26" s="19"/>
      <c r="T26" s="19"/>
      <c r="U26" s="19"/>
      <c r="V26" s="19"/>
      <c r="W26" s="17"/>
      <c r="X26" s="20"/>
      <c r="Y26" s="19"/>
      <c r="Z26" s="19"/>
      <c r="AA26" s="19"/>
      <c r="AB26" s="19"/>
      <c r="AC26" s="19"/>
      <c r="AD26" s="19"/>
      <c r="AE26" s="5"/>
      <c r="AF26" s="19"/>
      <c r="AG26" s="5"/>
      <c r="AH26" s="17"/>
      <c r="AI26" s="19"/>
      <c r="AJ26" s="19"/>
      <c r="AK26" s="19"/>
      <c r="AL26" s="19"/>
      <c r="AM26" s="17"/>
      <c r="AN26" s="19"/>
      <c r="AO26" s="19"/>
      <c r="AP26" s="19"/>
      <c r="AQ26" s="19"/>
      <c r="AR26" s="19"/>
      <c r="AS26" s="21"/>
      <c r="AT26" s="5"/>
      <c r="AU26" s="19"/>
      <c r="AV26" s="5"/>
      <c r="AW26" s="22"/>
      <c r="AX26" s="19"/>
      <c r="AY26" s="5"/>
      <c r="AZ26" s="19"/>
      <c r="BA26" s="5"/>
      <c r="BB26" s="5"/>
      <c r="BC26" s="19"/>
      <c r="BD26" s="19"/>
      <c r="BE26" s="19"/>
      <c r="BF26" s="19"/>
      <c r="BG26" s="19"/>
      <c r="BH26" s="19"/>
      <c r="BI26" s="19"/>
      <c r="BJ26" s="19"/>
      <c r="BK26" s="13"/>
      <c r="BL26" s="5"/>
      <c r="BM26" s="5"/>
      <c r="BN26" s="19"/>
      <c r="BO26" s="17"/>
      <c r="BP26" s="19"/>
      <c r="BQ26" s="17"/>
      <c r="BR26" s="19"/>
      <c r="BS26" s="13"/>
      <c r="BT26" s="5"/>
      <c r="BU26" s="23"/>
      <c r="BV26" s="23"/>
      <c r="BW26" s="24"/>
      <c r="BX26" s="5"/>
      <c r="BY26" s="5"/>
      <c r="BZ26" s="5"/>
      <c r="CA26" s="24"/>
      <c r="CB26" s="24"/>
      <c r="CC26" s="24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>
        <f t="shared" si="4"/>
        <v>2861.1</v>
      </c>
      <c r="CV26" s="25">
        <f t="shared" si="5"/>
        <v>0</v>
      </c>
      <c r="CW26" s="26"/>
      <c r="CX26" s="5"/>
      <c r="CY26" s="5"/>
    </row>
    <row r="27" spans="1:103" x14ac:dyDescent="0.2">
      <c r="A27" s="27"/>
      <c r="B27" s="28"/>
      <c r="C27" s="29"/>
      <c r="D27" s="30"/>
      <c r="E27" s="31"/>
      <c r="F27" s="32"/>
      <c r="G27" s="33"/>
      <c r="H27" s="34"/>
      <c r="I27" s="34"/>
      <c r="J27" s="35"/>
      <c r="K27" s="36"/>
      <c r="L27" s="37"/>
      <c r="M27" s="38">
        <f>SUM(M26:M26)</f>
        <v>2861.1</v>
      </c>
      <c r="N27" s="38"/>
      <c r="O27" s="39" t="s">
        <v>111</v>
      </c>
      <c r="P27" s="38">
        <f>SUM(P26:P26)</f>
        <v>28.611000000000001</v>
      </c>
      <c r="Q27" s="38"/>
      <c r="R27" s="38">
        <f>SUM(R26:R26)</f>
        <v>2889.7109999999998</v>
      </c>
      <c r="S27" s="38">
        <f t="shared" ref="S27:AD27" si="38">SUM(S26:S26)</f>
        <v>0</v>
      </c>
      <c r="T27" s="38">
        <f t="shared" si="38"/>
        <v>0</v>
      </c>
      <c r="U27" s="38">
        <f t="shared" si="38"/>
        <v>0</v>
      </c>
      <c r="V27" s="38">
        <f t="shared" si="38"/>
        <v>0</v>
      </c>
      <c r="W27" s="38">
        <f t="shared" si="38"/>
        <v>0</v>
      </c>
      <c r="X27" s="38">
        <f t="shared" si="38"/>
        <v>0</v>
      </c>
      <c r="Y27" s="38">
        <f t="shared" si="38"/>
        <v>0</v>
      </c>
      <c r="Z27" s="38">
        <f t="shared" si="38"/>
        <v>0</v>
      </c>
      <c r="AA27" s="38">
        <f t="shared" si="38"/>
        <v>0</v>
      </c>
      <c r="AB27" s="38">
        <f t="shared" si="38"/>
        <v>0</v>
      </c>
      <c r="AC27" s="38">
        <f t="shared" si="38"/>
        <v>0</v>
      </c>
      <c r="AD27" s="38">
        <f t="shared" si="38"/>
        <v>0</v>
      </c>
      <c r="AE27" s="30"/>
      <c r="AF27" s="38">
        <f>SUM(AF26:AF26)</f>
        <v>0</v>
      </c>
      <c r="AG27" s="30"/>
      <c r="AH27" s="38">
        <f t="shared" ref="AH27:AZ27" si="39">SUM(AH26:AH26)</f>
        <v>0</v>
      </c>
      <c r="AI27" s="38">
        <f t="shared" si="39"/>
        <v>0</v>
      </c>
      <c r="AJ27" s="38">
        <f t="shared" si="39"/>
        <v>0</v>
      </c>
      <c r="AK27" s="38">
        <f t="shared" si="39"/>
        <v>0</v>
      </c>
      <c r="AL27" s="38">
        <f t="shared" si="39"/>
        <v>0</v>
      </c>
      <c r="AM27" s="38">
        <f t="shared" si="39"/>
        <v>0</v>
      </c>
      <c r="AN27" s="38">
        <f t="shared" si="39"/>
        <v>0</v>
      </c>
      <c r="AO27" s="38">
        <f t="shared" si="39"/>
        <v>0</v>
      </c>
      <c r="AP27" s="38">
        <f t="shared" si="39"/>
        <v>0</v>
      </c>
      <c r="AQ27" s="38">
        <f t="shared" si="39"/>
        <v>0</v>
      </c>
      <c r="AR27" s="38">
        <f t="shared" si="39"/>
        <v>0</v>
      </c>
      <c r="AS27" s="38">
        <f t="shared" si="39"/>
        <v>0</v>
      </c>
      <c r="AT27" s="38">
        <f t="shared" si="39"/>
        <v>0</v>
      </c>
      <c r="AU27" s="38">
        <f t="shared" si="39"/>
        <v>0</v>
      </c>
      <c r="AV27" s="38">
        <f t="shared" si="39"/>
        <v>0</v>
      </c>
      <c r="AW27" s="38">
        <f t="shared" si="39"/>
        <v>0</v>
      </c>
      <c r="AX27" s="38">
        <f t="shared" si="39"/>
        <v>0</v>
      </c>
      <c r="AY27" s="38">
        <f t="shared" si="39"/>
        <v>0</v>
      </c>
      <c r="AZ27" s="38">
        <f t="shared" si="39"/>
        <v>0</v>
      </c>
      <c r="BA27" s="30"/>
      <c r="BB27" s="38">
        <f t="shared" ref="BB27:CT27" si="40">SUM(BB26:BB26)</f>
        <v>0</v>
      </c>
      <c r="BC27" s="38">
        <f t="shared" si="40"/>
        <v>0</v>
      </c>
      <c r="BD27" s="38">
        <f t="shared" si="40"/>
        <v>0</v>
      </c>
      <c r="BE27" s="38">
        <f t="shared" si="40"/>
        <v>0</v>
      </c>
      <c r="BF27" s="38">
        <f t="shared" si="40"/>
        <v>0</v>
      </c>
      <c r="BG27" s="38">
        <f t="shared" si="40"/>
        <v>0</v>
      </c>
      <c r="BH27" s="38">
        <f t="shared" si="40"/>
        <v>0</v>
      </c>
      <c r="BI27" s="38">
        <f t="shared" si="40"/>
        <v>0</v>
      </c>
      <c r="BJ27" s="38">
        <f t="shared" si="40"/>
        <v>0</v>
      </c>
      <c r="BK27" s="38">
        <f t="shared" si="40"/>
        <v>0</v>
      </c>
      <c r="BL27" s="38">
        <f t="shared" si="40"/>
        <v>0</v>
      </c>
      <c r="BM27" s="38">
        <f t="shared" si="40"/>
        <v>0</v>
      </c>
      <c r="BN27" s="38">
        <f t="shared" si="40"/>
        <v>0</v>
      </c>
      <c r="BO27" s="38">
        <f t="shared" si="40"/>
        <v>0</v>
      </c>
      <c r="BP27" s="38">
        <f t="shared" si="40"/>
        <v>0</v>
      </c>
      <c r="BQ27" s="38">
        <f t="shared" si="40"/>
        <v>0</v>
      </c>
      <c r="BR27" s="38">
        <f t="shared" si="40"/>
        <v>0</v>
      </c>
      <c r="BS27" s="38">
        <f t="shared" si="40"/>
        <v>0</v>
      </c>
      <c r="BT27" s="38">
        <f t="shared" si="40"/>
        <v>0</v>
      </c>
      <c r="BU27" s="38">
        <f t="shared" si="40"/>
        <v>0</v>
      </c>
      <c r="BV27" s="38">
        <f t="shared" si="40"/>
        <v>0</v>
      </c>
      <c r="BW27" s="38">
        <f t="shared" si="40"/>
        <v>0</v>
      </c>
      <c r="BX27" s="38">
        <f t="shared" si="40"/>
        <v>0</v>
      </c>
      <c r="BY27" s="38">
        <f t="shared" si="40"/>
        <v>0</v>
      </c>
      <c r="BZ27" s="38">
        <f t="shared" si="40"/>
        <v>0</v>
      </c>
      <c r="CA27" s="38">
        <f t="shared" si="40"/>
        <v>0</v>
      </c>
      <c r="CB27" s="38">
        <f t="shared" si="40"/>
        <v>0</v>
      </c>
      <c r="CC27" s="38">
        <f t="shared" si="40"/>
        <v>0</v>
      </c>
      <c r="CD27" s="38">
        <f t="shared" si="40"/>
        <v>0</v>
      </c>
      <c r="CE27" s="38">
        <f t="shared" si="40"/>
        <v>0</v>
      </c>
      <c r="CF27" s="38">
        <f t="shared" si="40"/>
        <v>0</v>
      </c>
      <c r="CG27" s="38">
        <f t="shared" si="40"/>
        <v>0</v>
      </c>
      <c r="CH27" s="38">
        <f t="shared" si="40"/>
        <v>0</v>
      </c>
      <c r="CI27" s="38">
        <f t="shared" si="40"/>
        <v>0</v>
      </c>
      <c r="CJ27" s="38">
        <f t="shared" si="40"/>
        <v>0</v>
      </c>
      <c r="CK27" s="38">
        <f t="shared" si="40"/>
        <v>0</v>
      </c>
      <c r="CL27" s="38">
        <f t="shared" si="40"/>
        <v>0</v>
      </c>
      <c r="CM27" s="38">
        <f t="shared" si="40"/>
        <v>0</v>
      </c>
      <c r="CN27" s="38">
        <f t="shared" si="40"/>
        <v>0</v>
      </c>
      <c r="CO27" s="38">
        <f t="shared" si="40"/>
        <v>0</v>
      </c>
      <c r="CP27" s="38">
        <f t="shared" si="40"/>
        <v>0</v>
      </c>
      <c r="CQ27" s="38">
        <f t="shared" si="40"/>
        <v>0</v>
      </c>
      <c r="CR27" s="38">
        <f t="shared" si="40"/>
        <v>0</v>
      </c>
      <c r="CS27" s="38">
        <f t="shared" si="40"/>
        <v>0</v>
      </c>
      <c r="CT27" s="38">
        <f t="shared" si="40"/>
        <v>0</v>
      </c>
      <c r="CU27" s="17">
        <f t="shared" si="4"/>
        <v>2861.1</v>
      </c>
      <c r="CV27" s="25">
        <f t="shared" si="5"/>
        <v>0</v>
      </c>
      <c r="CW27" s="40"/>
      <c r="CX27" s="30"/>
      <c r="CY27" s="30"/>
    </row>
    <row r="28" spans="1:103" x14ac:dyDescent="0.2">
      <c r="A28" s="2">
        <v>45874</v>
      </c>
      <c r="B28" s="3" t="s">
        <v>352</v>
      </c>
      <c r="C28" s="4" t="s">
        <v>479</v>
      </c>
      <c r="D28" s="5" t="s">
        <v>122</v>
      </c>
      <c r="E28" s="6" t="s">
        <v>341</v>
      </c>
      <c r="F28" s="7" t="s">
        <v>294</v>
      </c>
      <c r="G28" s="8" t="s">
        <v>149</v>
      </c>
      <c r="H28" s="9" t="s">
        <v>376</v>
      </c>
      <c r="I28" s="10" t="s">
        <v>377</v>
      </c>
      <c r="J28" s="11" t="s">
        <v>378</v>
      </c>
      <c r="K28" s="12">
        <v>4</v>
      </c>
      <c r="L28" s="13">
        <v>54</v>
      </c>
      <c r="M28" s="14">
        <f t="shared" ref="M28:M29" si="41">L28*K28</f>
        <v>216</v>
      </c>
      <c r="N28" s="15"/>
      <c r="O28" s="16" t="s">
        <v>111</v>
      </c>
      <c r="P28" s="17">
        <f>M28/1.12*0.01</f>
        <v>1.9285714285714284</v>
      </c>
      <c r="Q28" s="18">
        <f>M28/1.12*0.12</f>
        <v>23.142857142857139</v>
      </c>
      <c r="R28" s="17">
        <f>M28+P28-Q28</f>
        <v>194.78571428571428</v>
      </c>
      <c r="S28" s="19"/>
      <c r="T28" s="19"/>
      <c r="U28" s="19"/>
      <c r="V28" s="19"/>
      <c r="W28" s="17"/>
      <c r="X28" s="20"/>
      <c r="Y28" s="19"/>
      <c r="Z28" s="19"/>
      <c r="AA28" s="19"/>
      <c r="AB28" s="19"/>
      <c r="AC28" s="19"/>
      <c r="AD28" s="19"/>
      <c r="AE28" s="5"/>
      <c r="AF28" s="19"/>
      <c r="AG28" s="5"/>
      <c r="AH28" s="17"/>
      <c r="AI28" s="19"/>
      <c r="AJ28" s="19"/>
      <c r="AK28" s="19"/>
      <c r="AL28" s="19"/>
      <c r="AM28" s="17"/>
      <c r="AN28" s="19"/>
      <c r="AO28" s="19"/>
      <c r="AP28" s="19"/>
      <c r="AQ28" s="19"/>
      <c r="AR28" s="19"/>
      <c r="AS28" s="21"/>
      <c r="AT28" s="5"/>
      <c r="AU28" s="19"/>
      <c r="AV28" s="5"/>
      <c r="AW28" s="22"/>
      <c r="AX28" s="19"/>
      <c r="AY28" s="5"/>
      <c r="AZ28" s="19"/>
      <c r="BA28" s="5"/>
      <c r="BB28" s="5"/>
      <c r="BC28" s="19"/>
      <c r="BD28" s="19"/>
      <c r="BE28" s="19"/>
      <c r="BF28" s="19"/>
      <c r="BG28" s="19"/>
      <c r="BH28" s="19"/>
      <c r="BI28" s="19"/>
      <c r="BJ28" s="19"/>
      <c r="BK28" s="13"/>
      <c r="BL28" s="5"/>
      <c r="BM28" s="5"/>
      <c r="BN28" s="19"/>
      <c r="BO28" s="17"/>
      <c r="BP28" s="19"/>
      <c r="BQ28" s="17"/>
      <c r="BR28" s="19"/>
      <c r="BS28" s="13"/>
      <c r="BT28" s="5"/>
      <c r="BU28" s="23"/>
      <c r="BV28" s="23"/>
      <c r="BW28" s="24"/>
      <c r="BX28" s="5"/>
      <c r="BY28" s="5"/>
      <c r="BZ28" s="5"/>
      <c r="CA28" s="24"/>
      <c r="CB28" s="24"/>
      <c r="CC28" s="24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>
        <f t="shared" si="4"/>
        <v>216</v>
      </c>
      <c r="CV28" s="25">
        <f t="shared" si="5"/>
        <v>0</v>
      </c>
      <c r="CW28" s="26"/>
      <c r="CX28" s="5"/>
      <c r="CY28" s="5"/>
    </row>
    <row r="29" spans="1:103" x14ac:dyDescent="0.2">
      <c r="A29" s="2"/>
      <c r="B29" s="3"/>
      <c r="C29" s="4"/>
      <c r="D29" s="5"/>
      <c r="E29" s="6"/>
      <c r="F29" s="7"/>
      <c r="G29" s="8"/>
      <c r="H29" s="9"/>
      <c r="I29" s="10"/>
      <c r="J29" s="11" t="s">
        <v>379</v>
      </c>
      <c r="K29" s="12">
        <v>5</v>
      </c>
      <c r="L29" s="13">
        <v>96</v>
      </c>
      <c r="M29" s="14">
        <f t="shared" si="41"/>
        <v>480</v>
      </c>
      <c r="N29" s="15"/>
      <c r="O29" s="16" t="s">
        <v>111</v>
      </c>
      <c r="P29" s="17">
        <f t="shared" ref="P29" si="42">M29/1.12*0.01</f>
        <v>4.2857142857142856</v>
      </c>
      <c r="Q29" s="18">
        <f t="shared" ref="Q29" si="43">M29/1.12*0.12</f>
        <v>51.428571428571423</v>
      </c>
      <c r="R29" s="17">
        <f t="shared" ref="R29" si="44">M29+P29-Q29</f>
        <v>432.85714285714283</v>
      </c>
      <c r="S29" s="19"/>
      <c r="T29" s="19"/>
      <c r="U29" s="19"/>
      <c r="V29" s="19"/>
      <c r="W29" s="17"/>
      <c r="X29" s="20"/>
      <c r="Y29" s="19"/>
      <c r="Z29" s="19"/>
      <c r="AA29" s="19"/>
      <c r="AB29" s="19"/>
      <c r="AC29" s="19"/>
      <c r="AD29" s="19"/>
      <c r="AE29" s="5"/>
      <c r="AF29" s="19"/>
      <c r="AG29" s="5"/>
      <c r="AH29" s="17"/>
      <c r="AI29" s="19"/>
      <c r="AJ29" s="19"/>
      <c r="AK29" s="19"/>
      <c r="AL29" s="19"/>
      <c r="AM29" s="17"/>
      <c r="AN29" s="19"/>
      <c r="AO29" s="19"/>
      <c r="AP29" s="19"/>
      <c r="AQ29" s="19"/>
      <c r="AR29" s="19"/>
      <c r="AS29" s="21"/>
      <c r="AT29" s="5"/>
      <c r="AU29" s="19"/>
      <c r="AV29" s="5"/>
      <c r="AW29" s="22"/>
      <c r="AX29" s="19"/>
      <c r="AY29" s="5"/>
      <c r="AZ29" s="19"/>
      <c r="BA29" s="5"/>
      <c r="BB29" s="5"/>
      <c r="BC29" s="19"/>
      <c r="BD29" s="19"/>
      <c r="BE29" s="19"/>
      <c r="BF29" s="19"/>
      <c r="BG29" s="19"/>
      <c r="BH29" s="19"/>
      <c r="BI29" s="19"/>
      <c r="BJ29" s="19"/>
      <c r="BK29" s="13"/>
      <c r="BL29" s="5"/>
      <c r="BM29" s="5"/>
      <c r="BN29" s="19"/>
      <c r="BO29" s="17"/>
      <c r="BP29" s="19"/>
      <c r="BQ29" s="17"/>
      <c r="BR29" s="19"/>
      <c r="BS29" s="13"/>
      <c r="BT29" s="5"/>
      <c r="BU29" s="23"/>
      <c r="BV29" s="23"/>
      <c r="BW29" s="24"/>
      <c r="BX29" s="5"/>
      <c r="BY29" s="5"/>
      <c r="BZ29" s="5"/>
      <c r="CA29" s="24"/>
      <c r="CB29" s="24"/>
      <c r="CC29" s="24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>
        <f t="shared" si="4"/>
        <v>480</v>
      </c>
      <c r="CV29" s="25">
        <f t="shared" si="5"/>
        <v>0</v>
      </c>
      <c r="CW29" s="26"/>
      <c r="CX29" s="5"/>
      <c r="CY29" s="5"/>
    </row>
    <row r="30" spans="1:103" x14ac:dyDescent="0.2">
      <c r="A30" s="27"/>
      <c r="B30" s="28"/>
      <c r="C30" s="29"/>
      <c r="D30" s="30"/>
      <c r="E30" s="31"/>
      <c r="F30" s="32"/>
      <c r="G30" s="33"/>
      <c r="H30" s="34"/>
      <c r="I30" s="34"/>
      <c r="J30" s="35"/>
      <c r="K30" s="36"/>
      <c r="L30" s="37"/>
      <c r="M30" s="38">
        <f>SUM(M28:M29)</f>
        <v>696</v>
      </c>
      <c r="N30" s="38"/>
      <c r="O30" s="39" t="s">
        <v>111</v>
      </c>
      <c r="P30" s="38">
        <f>SUM(P28:P29)</f>
        <v>6.2142857142857135</v>
      </c>
      <c r="Q30" s="38">
        <f>SUM(Q28:Q29)</f>
        <v>74.571428571428555</v>
      </c>
      <c r="R30" s="38">
        <f>SUM(R28:R29)</f>
        <v>627.64285714285711</v>
      </c>
      <c r="S30" s="38">
        <f t="shared" ref="S30:AD30" si="45">SUM(S28:S28)</f>
        <v>0</v>
      </c>
      <c r="T30" s="38">
        <f t="shared" si="45"/>
        <v>0</v>
      </c>
      <c r="U30" s="38">
        <f t="shared" si="45"/>
        <v>0</v>
      </c>
      <c r="V30" s="38">
        <f t="shared" si="45"/>
        <v>0</v>
      </c>
      <c r="W30" s="38">
        <f t="shared" si="45"/>
        <v>0</v>
      </c>
      <c r="X30" s="38">
        <f t="shared" si="45"/>
        <v>0</v>
      </c>
      <c r="Y30" s="38">
        <f t="shared" si="45"/>
        <v>0</v>
      </c>
      <c r="Z30" s="38">
        <f t="shared" si="45"/>
        <v>0</v>
      </c>
      <c r="AA30" s="38">
        <f t="shared" si="45"/>
        <v>0</v>
      </c>
      <c r="AB30" s="38">
        <f t="shared" si="45"/>
        <v>0</v>
      </c>
      <c r="AC30" s="38">
        <f t="shared" si="45"/>
        <v>0</v>
      </c>
      <c r="AD30" s="38">
        <f t="shared" si="45"/>
        <v>0</v>
      </c>
      <c r="AE30" s="30"/>
      <c r="AF30" s="38">
        <f>SUM(AF28:AF28)</f>
        <v>0</v>
      </c>
      <c r="AG30" s="30"/>
      <c r="AH30" s="38">
        <f t="shared" ref="AH30:AZ30" si="46">SUM(AH28:AH28)</f>
        <v>0</v>
      </c>
      <c r="AI30" s="38">
        <f t="shared" si="46"/>
        <v>0</v>
      </c>
      <c r="AJ30" s="38">
        <f t="shared" si="46"/>
        <v>0</v>
      </c>
      <c r="AK30" s="38">
        <f t="shared" si="46"/>
        <v>0</v>
      </c>
      <c r="AL30" s="38">
        <f t="shared" si="46"/>
        <v>0</v>
      </c>
      <c r="AM30" s="38">
        <f t="shared" si="46"/>
        <v>0</v>
      </c>
      <c r="AN30" s="38">
        <f t="shared" si="46"/>
        <v>0</v>
      </c>
      <c r="AO30" s="38">
        <f t="shared" si="46"/>
        <v>0</v>
      </c>
      <c r="AP30" s="38">
        <f t="shared" si="46"/>
        <v>0</v>
      </c>
      <c r="AQ30" s="38">
        <f t="shared" si="46"/>
        <v>0</v>
      </c>
      <c r="AR30" s="38">
        <f t="shared" si="46"/>
        <v>0</v>
      </c>
      <c r="AS30" s="38">
        <f t="shared" si="46"/>
        <v>0</v>
      </c>
      <c r="AT30" s="38">
        <f t="shared" si="46"/>
        <v>0</v>
      </c>
      <c r="AU30" s="38">
        <f t="shared" si="46"/>
        <v>0</v>
      </c>
      <c r="AV30" s="38">
        <f t="shared" si="46"/>
        <v>0</v>
      </c>
      <c r="AW30" s="38">
        <f t="shared" si="46"/>
        <v>0</v>
      </c>
      <c r="AX30" s="38">
        <f t="shared" si="46"/>
        <v>0</v>
      </c>
      <c r="AY30" s="38">
        <f t="shared" si="46"/>
        <v>0</v>
      </c>
      <c r="AZ30" s="38">
        <f t="shared" si="46"/>
        <v>0</v>
      </c>
      <c r="BA30" s="30"/>
      <c r="BB30" s="38">
        <f t="shared" ref="BB30:CT30" si="47">SUM(BB28:BB28)</f>
        <v>0</v>
      </c>
      <c r="BC30" s="38">
        <f t="shared" si="47"/>
        <v>0</v>
      </c>
      <c r="BD30" s="38">
        <f t="shared" si="47"/>
        <v>0</v>
      </c>
      <c r="BE30" s="38">
        <f t="shared" si="47"/>
        <v>0</v>
      </c>
      <c r="BF30" s="38">
        <f t="shared" si="47"/>
        <v>0</v>
      </c>
      <c r="BG30" s="38">
        <f t="shared" si="47"/>
        <v>0</v>
      </c>
      <c r="BH30" s="38">
        <f t="shared" si="47"/>
        <v>0</v>
      </c>
      <c r="BI30" s="38">
        <f t="shared" si="47"/>
        <v>0</v>
      </c>
      <c r="BJ30" s="38">
        <f t="shared" si="47"/>
        <v>0</v>
      </c>
      <c r="BK30" s="38">
        <f t="shared" si="47"/>
        <v>0</v>
      </c>
      <c r="BL30" s="38">
        <f t="shared" si="47"/>
        <v>0</v>
      </c>
      <c r="BM30" s="38">
        <f t="shared" si="47"/>
        <v>0</v>
      </c>
      <c r="BN30" s="38">
        <f t="shared" si="47"/>
        <v>0</v>
      </c>
      <c r="BO30" s="38">
        <f t="shared" si="47"/>
        <v>0</v>
      </c>
      <c r="BP30" s="38">
        <f t="shared" si="47"/>
        <v>0</v>
      </c>
      <c r="BQ30" s="38">
        <f t="shared" si="47"/>
        <v>0</v>
      </c>
      <c r="BR30" s="38">
        <f t="shared" si="47"/>
        <v>0</v>
      </c>
      <c r="BS30" s="38">
        <f t="shared" si="47"/>
        <v>0</v>
      </c>
      <c r="BT30" s="38">
        <f t="shared" si="47"/>
        <v>0</v>
      </c>
      <c r="BU30" s="38">
        <f t="shared" si="47"/>
        <v>0</v>
      </c>
      <c r="BV30" s="38">
        <f t="shared" si="47"/>
        <v>0</v>
      </c>
      <c r="BW30" s="38">
        <f t="shared" si="47"/>
        <v>0</v>
      </c>
      <c r="BX30" s="38">
        <f t="shared" si="47"/>
        <v>0</v>
      </c>
      <c r="BY30" s="38">
        <f t="shared" si="47"/>
        <v>0</v>
      </c>
      <c r="BZ30" s="38">
        <f t="shared" si="47"/>
        <v>0</v>
      </c>
      <c r="CA30" s="38">
        <f t="shared" si="47"/>
        <v>0</v>
      </c>
      <c r="CB30" s="38">
        <f t="shared" si="47"/>
        <v>0</v>
      </c>
      <c r="CC30" s="38">
        <f t="shared" si="47"/>
        <v>0</v>
      </c>
      <c r="CD30" s="38">
        <f t="shared" si="47"/>
        <v>0</v>
      </c>
      <c r="CE30" s="38">
        <f t="shared" si="47"/>
        <v>0</v>
      </c>
      <c r="CF30" s="38">
        <f t="shared" si="47"/>
        <v>0</v>
      </c>
      <c r="CG30" s="38">
        <f t="shared" si="47"/>
        <v>0</v>
      </c>
      <c r="CH30" s="38">
        <f t="shared" si="47"/>
        <v>0</v>
      </c>
      <c r="CI30" s="38">
        <f t="shared" si="47"/>
        <v>0</v>
      </c>
      <c r="CJ30" s="38">
        <f t="shared" si="47"/>
        <v>0</v>
      </c>
      <c r="CK30" s="38">
        <f t="shared" si="47"/>
        <v>0</v>
      </c>
      <c r="CL30" s="38">
        <f t="shared" si="47"/>
        <v>0</v>
      </c>
      <c r="CM30" s="38">
        <f t="shared" si="47"/>
        <v>0</v>
      </c>
      <c r="CN30" s="38">
        <f t="shared" si="47"/>
        <v>0</v>
      </c>
      <c r="CO30" s="38">
        <f t="shared" si="47"/>
        <v>0</v>
      </c>
      <c r="CP30" s="38">
        <f t="shared" si="47"/>
        <v>0</v>
      </c>
      <c r="CQ30" s="38">
        <f t="shared" si="47"/>
        <v>0</v>
      </c>
      <c r="CR30" s="38">
        <f t="shared" si="47"/>
        <v>0</v>
      </c>
      <c r="CS30" s="38">
        <f t="shared" si="47"/>
        <v>0</v>
      </c>
      <c r="CT30" s="38">
        <f t="shared" si="47"/>
        <v>0</v>
      </c>
      <c r="CU30" s="17">
        <f t="shared" si="4"/>
        <v>696</v>
      </c>
      <c r="CV30" s="25">
        <f t="shared" si="5"/>
        <v>0</v>
      </c>
      <c r="CW30" s="40"/>
      <c r="CX30" s="30"/>
      <c r="CY30" s="30"/>
    </row>
    <row r="31" spans="1:103" x14ac:dyDescent="0.2">
      <c r="A31" s="2">
        <v>45874</v>
      </c>
      <c r="B31" s="3" t="s">
        <v>352</v>
      </c>
      <c r="C31" s="4" t="s">
        <v>480</v>
      </c>
      <c r="D31" s="5" t="s">
        <v>122</v>
      </c>
      <c r="E31" s="6" t="s">
        <v>380</v>
      </c>
      <c r="F31" s="7" t="s">
        <v>296</v>
      </c>
      <c r="G31" s="8" t="s">
        <v>164</v>
      </c>
      <c r="H31" s="9">
        <v>91904</v>
      </c>
      <c r="I31" s="10" t="s">
        <v>381</v>
      </c>
      <c r="J31" s="11" t="s">
        <v>382</v>
      </c>
      <c r="K31" s="12">
        <v>2</v>
      </c>
      <c r="L31" s="13">
        <v>229</v>
      </c>
      <c r="M31" s="14">
        <f t="shared" ref="M31:M38" si="48">L31*K31</f>
        <v>458</v>
      </c>
      <c r="N31" s="15"/>
      <c r="O31" s="16" t="s">
        <v>111</v>
      </c>
      <c r="P31" s="17">
        <f>M31/1.12*0.01</f>
        <v>4.0892857142857135</v>
      </c>
      <c r="Q31" s="18">
        <v>49.074444444000001</v>
      </c>
      <c r="R31" s="5"/>
      <c r="S31" s="17">
        <f>M31+P31-Q31</f>
        <v>413.01484127028573</v>
      </c>
      <c r="T31" s="19"/>
      <c r="U31" s="19"/>
      <c r="V31" s="19"/>
      <c r="W31" s="17"/>
      <c r="X31" s="20"/>
      <c r="Y31" s="19"/>
      <c r="Z31" s="19"/>
      <c r="AA31" s="19"/>
      <c r="AB31" s="19"/>
      <c r="AC31" s="19"/>
      <c r="AD31" s="19"/>
      <c r="AE31" s="5"/>
      <c r="AF31" s="19"/>
      <c r="AG31" s="5"/>
      <c r="AH31" s="17"/>
      <c r="AI31" s="19"/>
      <c r="AJ31" s="19"/>
      <c r="AK31" s="19"/>
      <c r="AL31" s="19"/>
      <c r="AM31" s="17"/>
      <c r="AN31" s="19"/>
      <c r="AO31" s="19"/>
      <c r="AP31" s="19"/>
      <c r="AQ31" s="19"/>
      <c r="AR31" s="19"/>
      <c r="AS31" s="21"/>
      <c r="AT31" s="5"/>
      <c r="AU31" s="19"/>
      <c r="AV31" s="5"/>
      <c r="AW31" s="22"/>
      <c r="AX31" s="19"/>
      <c r="AY31" s="5"/>
      <c r="AZ31" s="19"/>
      <c r="BA31" s="5"/>
      <c r="BB31" s="5"/>
      <c r="BC31" s="19"/>
      <c r="BD31" s="19"/>
      <c r="BE31" s="19"/>
      <c r="BF31" s="19"/>
      <c r="BG31" s="19"/>
      <c r="BH31" s="19"/>
      <c r="BI31" s="19"/>
      <c r="BJ31" s="19"/>
      <c r="BK31" s="13"/>
      <c r="BL31" s="5"/>
      <c r="BM31" s="5"/>
      <c r="BN31" s="19"/>
      <c r="BO31" s="17"/>
      <c r="BP31" s="19"/>
      <c r="BQ31" s="17"/>
      <c r="BR31" s="19"/>
      <c r="BS31" s="13"/>
      <c r="BT31" s="5"/>
      <c r="BU31" s="23"/>
      <c r="BV31" s="23"/>
      <c r="BW31" s="24"/>
      <c r="BX31" s="5"/>
      <c r="BY31" s="5"/>
      <c r="BZ31" s="5"/>
      <c r="CA31" s="24"/>
      <c r="CB31" s="24"/>
      <c r="CC31" s="24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>
        <f t="shared" si="4"/>
        <v>458</v>
      </c>
      <c r="CV31" s="25">
        <f t="shared" si="5"/>
        <v>0</v>
      </c>
      <c r="CW31" s="26"/>
      <c r="CX31" s="5"/>
      <c r="CY31" s="5"/>
    </row>
    <row r="32" spans="1:103" x14ac:dyDescent="0.2">
      <c r="A32" s="2">
        <v>45874</v>
      </c>
      <c r="B32" s="3"/>
      <c r="C32" s="4"/>
      <c r="D32" s="5"/>
      <c r="E32" s="6"/>
      <c r="F32" s="7"/>
      <c r="G32" s="8"/>
      <c r="H32" s="9"/>
      <c r="I32" s="10"/>
      <c r="J32" s="11" t="s">
        <v>383</v>
      </c>
      <c r="K32" s="12">
        <v>2</v>
      </c>
      <c r="L32" s="13">
        <v>329</v>
      </c>
      <c r="M32" s="14">
        <f t="shared" si="48"/>
        <v>658</v>
      </c>
      <c r="N32" s="15"/>
      <c r="O32" s="16" t="s">
        <v>111</v>
      </c>
      <c r="P32" s="17">
        <f t="shared" ref="P32:P38" si="49">M32/1.12*0.01</f>
        <v>5.875</v>
      </c>
      <c r="Q32" s="18">
        <v>70.504444444000001</v>
      </c>
      <c r="R32" s="5"/>
      <c r="S32" s="17">
        <f>M32+P32-Q32</f>
        <v>593.370555556</v>
      </c>
      <c r="T32" s="19"/>
      <c r="U32" s="19"/>
      <c r="V32" s="19"/>
      <c r="W32" s="17"/>
      <c r="X32" s="20"/>
      <c r="Y32" s="19"/>
      <c r="Z32" s="19"/>
      <c r="AA32" s="19"/>
      <c r="AB32" s="19"/>
      <c r="AC32" s="19"/>
      <c r="AD32" s="19"/>
      <c r="AE32" s="5"/>
      <c r="AF32" s="19"/>
      <c r="AG32" s="5"/>
      <c r="AH32" s="17"/>
      <c r="AI32" s="19"/>
      <c r="AJ32" s="19"/>
      <c r="AK32" s="19"/>
      <c r="AL32" s="19"/>
      <c r="AM32" s="17"/>
      <c r="AN32" s="19"/>
      <c r="AO32" s="19"/>
      <c r="AP32" s="19"/>
      <c r="AQ32" s="19"/>
      <c r="AR32" s="19"/>
      <c r="AS32" s="21"/>
      <c r="AT32" s="5"/>
      <c r="AU32" s="19"/>
      <c r="AV32" s="5"/>
      <c r="AW32" s="22"/>
      <c r="AX32" s="19"/>
      <c r="AY32" s="5"/>
      <c r="AZ32" s="19"/>
      <c r="BA32" s="5"/>
      <c r="BB32" s="5"/>
      <c r="BC32" s="19"/>
      <c r="BD32" s="19"/>
      <c r="BE32" s="19"/>
      <c r="BF32" s="19"/>
      <c r="BG32" s="19"/>
      <c r="BH32" s="19"/>
      <c r="BI32" s="19"/>
      <c r="BJ32" s="19"/>
      <c r="BK32" s="13"/>
      <c r="BL32" s="5"/>
      <c r="BM32" s="5"/>
      <c r="BN32" s="19"/>
      <c r="BO32" s="17"/>
      <c r="BP32" s="19"/>
      <c r="BQ32" s="17"/>
      <c r="BR32" s="19"/>
      <c r="BS32" s="13"/>
      <c r="BT32" s="5"/>
      <c r="BU32" s="23"/>
      <c r="BV32" s="23"/>
      <c r="BW32" s="24"/>
      <c r="BX32" s="5"/>
      <c r="BY32" s="5"/>
      <c r="BZ32" s="5"/>
      <c r="CA32" s="24"/>
      <c r="CB32" s="24"/>
      <c r="CC32" s="24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>
        <f t="shared" si="4"/>
        <v>658</v>
      </c>
      <c r="CV32" s="25">
        <f t="shared" si="5"/>
        <v>0</v>
      </c>
      <c r="CW32" s="26"/>
      <c r="CX32" s="5"/>
      <c r="CY32" s="5"/>
    </row>
    <row r="33" spans="1:103" x14ac:dyDescent="0.2">
      <c r="A33" s="2"/>
      <c r="B33" s="3"/>
      <c r="C33" s="4"/>
      <c r="D33" s="5"/>
      <c r="E33" s="6"/>
      <c r="F33" s="7"/>
      <c r="G33" s="8"/>
      <c r="H33" s="9"/>
      <c r="I33" s="10"/>
      <c r="J33" s="11" t="s">
        <v>360</v>
      </c>
      <c r="K33" s="12">
        <v>40</v>
      </c>
      <c r="L33" s="13">
        <v>31.75</v>
      </c>
      <c r="M33" s="14">
        <f t="shared" si="48"/>
        <v>1270</v>
      </c>
      <c r="N33" s="15"/>
      <c r="O33" s="16" t="s">
        <v>111</v>
      </c>
      <c r="P33" s="17">
        <f t="shared" si="49"/>
        <v>11.339285714285714</v>
      </c>
      <c r="Q33" s="18">
        <f t="shared" ref="Q33:Q34" si="50">M33/1.12*0.12</f>
        <v>136.07142857142856</v>
      </c>
      <c r="R33" s="17">
        <f t="shared" ref="R33:R38" si="51">M33+P33-Q33</f>
        <v>1145.2678571428573</v>
      </c>
      <c r="S33" s="19"/>
      <c r="T33" s="19"/>
      <c r="U33" s="19"/>
      <c r="V33" s="19"/>
      <c r="W33" s="17"/>
      <c r="X33" s="20"/>
      <c r="Y33" s="19"/>
      <c r="Z33" s="19"/>
      <c r="AA33" s="19"/>
      <c r="AB33" s="19"/>
      <c r="AC33" s="19"/>
      <c r="AD33" s="19"/>
      <c r="AE33" s="5"/>
      <c r="AF33" s="19"/>
      <c r="AG33" s="5"/>
      <c r="AH33" s="17"/>
      <c r="AI33" s="19"/>
      <c r="AJ33" s="19"/>
      <c r="AK33" s="19"/>
      <c r="AL33" s="19"/>
      <c r="AM33" s="17"/>
      <c r="AN33" s="19"/>
      <c r="AO33" s="19"/>
      <c r="AP33" s="19"/>
      <c r="AQ33" s="19"/>
      <c r="AR33" s="19"/>
      <c r="AS33" s="21"/>
      <c r="AT33" s="5"/>
      <c r="AU33" s="19"/>
      <c r="AV33" s="5"/>
      <c r="AW33" s="22"/>
      <c r="AX33" s="19"/>
      <c r="AY33" s="5"/>
      <c r="AZ33" s="19"/>
      <c r="BA33" s="5"/>
      <c r="BB33" s="5"/>
      <c r="BC33" s="19"/>
      <c r="BD33" s="19"/>
      <c r="BE33" s="19"/>
      <c r="BF33" s="19"/>
      <c r="BG33" s="19"/>
      <c r="BH33" s="19"/>
      <c r="BI33" s="19"/>
      <c r="BJ33" s="19"/>
      <c r="BK33" s="13"/>
      <c r="BL33" s="5"/>
      <c r="BM33" s="5"/>
      <c r="BN33" s="19"/>
      <c r="BO33" s="17"/>
      <c r="BP33" s="19"/>
      <c r="BQ33" s="17"/>
      <c r="BR33" s="19"/>
      <c r="BS33" s="13"/>
      <c r="BT33" s="5"/>
      <c r="BU33" s="23"/>
      <c r="BV33" s="23"/>
      <c r="BW33" s="24"/>
      <c r="BX33" s="5"/>
      <c r="BY33" s="5"/>
      <c r="BZ33" s="5"/>
      <c r="CA33" s="24"/>
      <c r="CB33" s="24"/>
      <c r="CC33" s="24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>
        <f t="shared" si="4"/>
        <v>1270</v>
      </c>
      <c r="CV33" s="25">
        <f t="shared" si="5"/>
        <v>0</v>
      </c>
      <c r="CW33" s="26"/>
      <c r="CX33" s="5"/>
      <c r="CY33" s="5"/>
    </row>
    <row r="34" spans="1:103" x14ac:dyDescent="0.2">
      <c r="A34" s="2"/>
      <c r="B34" s="3"/>
      <c r="C34" s="4"/>
      <c r="D34" s="5"/>
      <c r="E34" s="6"/>
      <c r="F34" s="7"/>
      <c r="G34" s="8"/>
      <c r="H34" s="9"/>
      <c r="I34" s="10"/>
      <c r="J34" s="11" t="s">
        <v>384</v>
      </c>
      <c r="K34" s="12">
        <v>5.1749999999999998</v>
      </c>
      <c r="L34" s="13">
        <v>240</v>
      </c>
      <c r="M34" s="14">
        <f t="shared" si="48"/>
        <v>1242</v>
      </c>
      <c r="N34" s="15"/>
      <c r="O34" s="16" t="s">
        <v>111</v>
      </c>
      <c r="P34" s="17">
        <f t="shared" si="49"/>
        <v>11.089285714285714</v>
      </c>
      <c r="Q34" s="18">
        <f t="shared" si="50"/>
        <v>133.07142857142856</v>
      </c>
      <c r="R34" s="17">
        <f t="shared" si="51"/>
        <v>1120.0178571428573</v>
      </c>
      <c r="S34" s="19"/>
      <c r="T34" s="19"/>
      <c r="U34" s="19"/>
      <c r="V34" s="19"/>
      <c r="W34" s="17"/>
      <c r="X34" s="20"/>
      <c r="Y34" s="19"/>
      <c r="Z34" s="19"/>
      <c r="AA34" s="19"/>
      <c r="AB34" s="19"/>
      <c r="AC34" s="19"/>
      <c r="AD34" s="19"/>
      <c r="AE34" s="5"/>
      <c r="AF34" s="19"/>
      <c r="AG34" s="5"/>
      <c r="AH34" s="17"/>
      <c r="AI34" s="19"/>
      <c r="AJ34" s="19"/>
      <c r="AK34" s="19"/>
      <c r="AL34" s="19"/>
      <c r="AM34" s="17"/>
      <c r="AN34" s="19"/>
      <c r="AO34" s="19"/>
      <c r="AP34" s="19"/>
      <c r="AQ34" s="19"/>
      <c r="AR34" s="19"/>
      <c r="AS34" s="21"/>
      <c r="AT34" s="5"/>
      <c r="AU34" s="19"/>
      <c r="AV34" s="5"/>
      <c r="AW34" s="22"/>
      <c r="AX34" s="19"/>
      <c r="AY34" s="5"/>
      <c r="AZ34" s="19"/>
      <c r="BA34" s="5"/>
      <c r="BB34" s="5"/>
      <c r="BC34" s="19"/>
      <c r="BD34" s="19"/>
      <c r="BE34" s="19"/>
      <c r="BF34" s="19"/>
      <c r="BG34" s="19"/>
      <c r="BH34" s="19"/>
      <c r="BI34" s="19"/>
      <c r="BJ34" s="19"/>
      <c r="BK34" s="13"/>
      <c r="BL34" s="5"/>
      <c r="BM34" s="5"/>
      <c r="BN34" s="19"/>
      <c r="BO34" s="17"/>
      <c r="BP34" s="19"/>
      <c r="BQ34" s="17"/>
      <c r="BR34" s="19"/>
      <c r="BS34" s="13"/>
      <c r="BT34" s="5"/>
      <c r="BU34" s="23"/>
      <c r="BV34" s="23"/>
      <c r="BW34" s="24"/>
      <c r="BX34" s="5"/>
      <c r="BY34" s="5"/>
      <c r="BZ34" s="5"/>
      <c r="CA34" s="24"/>
      <c r="CB34" s="24"/>
      <c r="CC34" s="24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>
        <f t="shared" si="4"/>
        <v>1242</v>
      </c>
      <c r="CV34" s="25">
        <f t="shared" si="5"/>
        <v>0</v>
      </c>
      <c r="CW34" s="26"/>
      <c r="CX34" s="5"/>
      <c r="CY34" s="5"/>
    </row>
    <row r="35" spans="1:103" x14ac:dyDescent="0.2">
      <c r="A35" s="2"/>
      <c r="B35" s="3"/>
      <c r="C35" s="4"/>
      <c r="D35" s="5"/>
      <c r="E35" s="6"/>
      <c r="F35" s="7"/>
      <c r="G35" s="8"/>
      <c r="H35" s="9"/>
      <c r="I35" s="10"/>
      <c r="J35" s="11" t="s">
        <v>384</v>
      </c>
      <c r="K35" s="12">
        <v>5.17</v>
      </c>
      <c r="L35" s="13">
        <v>240</v>
      </c>
      <c r="M35" s="14">
        <f t="shared" si="48"/>
        <v>1240.8</v>
      </c>
      <c r="N35" s="15"/>
      <c r="O35" s="16" t="s">
        <v>111</v>
      </c>
      <c r="P35" s="17">
        <f t="shared" si="49"/>
        <v>11.078571428571427</v>
      </c>
      <c r="Q35" s="18">
        <v>132.944444444</v>
      </c>
      <c r="R35" s="17">
        <f t="shared" si="51"/>
        <v>1118.9341269845713</v>
      </c>
      <c r="S35" s="19"/>
      <c r="T35" s="19"/>
      <c r="U35" s="19"/>
      <c r="V35" s="19"/>
      <c r="W35" s="17"/>
      <c r="X35" s="20"/>
      <c r="Y35" s="19"/>
      <c r="Z35" s="19"/>
      <c r="AA35" s="19"/>
      <c r="AB35" s="19"/>
      <c r="AC35" s="19"/>
      <c r="AD35" s="19"/>
      <c r="AE35" s="5"/>
      <c r="AF35" s="19"/>
      <c r="AG35" s="5"/>
      <c r="AH35" s="17"/>
      <c r="AI35" s="19"/>
      <c r="AJ35" s="19"/>
      <c r="AK35" s="19"/>
      <c r="AL35" s="19"/>
      <c r="AM35" s="17"/>
      <c r="AN35" s="19"/>
      <c r="AO35" s="19"/>
      <c r="AP35" s="19"/>
      <c r="AQ35" s="19"/>
      <c r="AR35" s="19"/>
      <c r="AS35" s="21"/>
      <c r="AT35" s="5"/>
      <c r="AU35" s="19"/>
      <c r="AV35" s="5"/>
      <c r="AW35" s="22"/>
      <c r="AX35" s="19"/>
      <c r="AY35" s="5"/>
      <c r="AZ35" s="19"/>
      <c r="BA35" s="5"/>
      <c r="BB35" s="5"/>
      <c r="BC35" s="19"/>
      <c r="BD35" s="19"/>
      <c r="BE35" s="19"/>
      <c r="BF35" s="19"/>
      <c r="BG35" s="19"/>
      <c r="BH35" s="19"/>
      <c r="BI35" s="19"/>
      <c r="BJ35" s="19"/>
      <c r="BK35" s="13"/>
      <c r="BL35" s="5"/>
      <c r="BM35" s="5"/>
      <c r="BN35" s="19"/>
      <c r="BO35" s="17"/>
      <c r="BP35" s="19"/>
      <c r="BQ35" s="17"/>
      <c r="BR35" s="19"/>
      <c r="BS35" s="13"/>
      <c r="BT35" s="5"/>
      <c r="BU35" s="23"/>
      <c r="BV35" s="23"/>
      <c r="BW35" s="24"/>
      <c r="BX35" s="5"/>
      <c r="BY35" s="5"/>
      <c r="BZ35" s="5"/>
      <c r="CA35" s="24"/>
      <c r="CB35" s="24"/>
      <c r="CC35" s="24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>
        <f t="shared" si="4"/>
        <v>1240.8</v>
      </c>
      <c r="CV35" s="25">
        <f t="shared" si="5"/>
        <v>0</v>
      </c>
      <c r="CW35" s="26"/>
      <c r="CX35" s="5"/>
      <c r="CY35" s="5"/>
    </row>
    <row r="36" spans="1:103" x14ac:dyDescent="0.2">
      <c r="A36" s="2"/>
      <c r="B36" s="3"/>
      <c r="C36" s="4"/>
      <c r="D36" s="5"/>
      <c r="E36" s="6"/>
      <c r="F36" s="7"/>
      <c r="G36" s="8"/>
      <c r="H36" s="9"/>
      <c r="I36" s="10"/>
      <c r="J36" s="11" t="s">
        <v>385</v>
      </c>
      <c r="K36" s="12">
        <v>3</v>
      </c>
      <c r="L36" s="13">
        <v>85</v>
      </c>
      <c r="M36" s="14">
        <f t="shared" si="48"/>
        <v>255</v>
      </c>
      <c r="N36" s="15"/>
      <c r="O36" s="16" t="s">
        <v>111</v>
      </c>
      <c r="P36" s="17">
        <f t="shared" si="49"/>
        <v>2.2767857142857144</v>
      </c>
      <c r="Q36" s="18">
        <v>27.324444444000001</v>
      </c>
      <c r="R36" s="17">
        <f t="shared" si="51"/>
        <v>229.95234127028573</v>
      </c>
      <c r="S36" s="19"/>
      <c r="T36" s="19"/>
      <c r="U36" s="19"/>
      <c r="V36" s="19"/>
      <c r="W36" s="17"/>
      <c r="X36" s="20"/>
      <c r="Y36" s="19"/>
      <c r="Z36" s="19"/>
      <c r="AA36" s="19"/>
      <c r="AB36" s="19"/>
      <c r="AC36" s="19"/>
      <c r="AD36" s="19"/>
      <c r="AE36" s="5"/>
      <c r="AF36" s="19"/>
      <c r="AG36" s="5"/>
      <c r="AH36" s="17"/>
      <c r="AI36" s="19"/>
      <c r="AJ36" s="19"/>
      <c r="AK36" s="19"/>
      <c r="AL36" s="19"/>
      <c r="AM36" s="17"/>
      <c r="AN36" s="19"/>
      <c r="AO36" s="19"/>
      <c r="AP36" s="19"/>
      <c r="AQ36" s="19"/>
      <c r="AR36" s="19"/>
      <c r="AS36" s="21"/>
      <c r="AT36" s="5"/>
      <c r="AU36" s="19"/>
      <c r="AV36" s="5"/>
      <c r="AW36" s="22"/>
      <c r="AX36" s="19"/>
      <c r="AY36" s="5"/>
      <c r="AZ36" s="19"/>
      <c r="BA36" s="5"/>
      <c r="BB36" s="5"/>
      <c r="BC36" s="19"/>
      <c r="BD36" s="19"/>
      <c r="BE36" s="19"/>
      <c r="BF36" s="19"/>
      <c r="BG36" s="19"/>
      <c r="BH36" s="19"/>
      <c r="BI36" s="19"/>
      <c r="BJ36" s="19"/>
      <c r="BK36" s="13"/>
      <c r="BL36" s="5"/>
      <c r="BM36" s="5"/>
      <c r="BN36" s="19"/>
      <c r="BO36" s="17"/>
      <c r="BP36" s="19"/>
      <c r="BQ36" s="17"/>
      <c r="BR36" s="19"/>
      <c r="BS36" s="13"/>
      <c r="BT36" s="5"/>
      <c r="BU36" s="23"/>
      <c r="BV36" s="23"/>
      <c r="BW36" s="24"/>
      <c r="BX36" s="5"/>
      <c r="BY36" s="5"/>
      <c r="BZ36" s="5"/>
      <c r="CA36" s="24"/>
      <c r="CB36" s="24"/>
      <c r="CC36" s="24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>
        <f t="shared" si="4"/>
        <v>255</v>
      </c>
      <c r="CV36" s="25">
        <f t="shared" si="5"/>
        <v>0</v>
      </c>
      <c r="CW36" s="26"/>
      <c r="CX36" s="5"/>
      <c r="CY36" s="5"/>
    </row>
    <row r="37" spans="1:103" x14ac:dyDescent="0.2">
      <c r="A37" s="2"/>
      <c r="B37" s="3"/>
      <c r="C37" s="4"/>
      <c r="D37" s="5"/>
      <c r="E37" s="6"/>
      <c r="F37" s="7"/>
      <c r="G37" s="8"/>
      <c r="H37" s="9"/>
      <c r="I37" s="10"/>
      <c r="J37" s="11" t="s">
        <v>386</v>
      </c>
      <c r="K37" s="12">
        <v>2</v>
      </c>
      <c r="L37" s="13">
        <v>85</v>
      </c>
      <c r="M37" s="14">
        <f t="shared" si="48"/>
        <v>170</v>
      </c>
      <c r="N37" s="15"/>
      <c r="O37" s="16" t="s">
        <v>111</v>
      </c>
      <c r="P37" s="17">
        <f t="shared" si="49"/>
        <v>1.5178571428571428</v>
      </c>
      <c r="Q37" s="18">
        <v>18.214444444400002</v>
      </c>
      <c r="R37" s="17">
        <f t="shared" si="51"/>
        <v>153.30341269845712</v>
      </c>
      <c r="S37" s="19"/>
      <c r="T37" s="19"/>
      <c r="U37" s="19"/>
      <c r="V37" s="19"/>
      <c r="W37" s="17"/>
      <c r="X37" s="20"/>
      <c r="Y37" s="19"/>
      <c r="Z37" s="19"/>
      <c r="AA37" s="19"/>
      <c r="AB37" s="19"/>
      <c r="AC37" s="19"/>
      <c r="AD37" s="19"/>
      <c r="AE37" s="5"/>
      <c r="AF37" s="19"/>
      <c r="AG37" s="5"/>
      <c r="AH37" s="17"/>
      <c r="AI37" s="19"/>
      <c r="AJ37" s="19"/>
      <c r="AK37" s="19"/>
      <c r="AL37" s="19"/>
      <c r="AM37" s="17"/>
      <c r="AN37" s="19"/>
      <c r="AO37" s="19"/>
      <c r="AP37" s="19"/>
      <c r="AQ37" s="19"/>
      <c r="AR37" s="19"/>
      <c r="AS37" s="21"/>
      <c r="AT37" s="5"/>
      <c r="AU37" s="19"/>
      <c r="AV37" s="5"/>
      <c r="AW37" s="22"/>
      <c r="AX37" s="19"/>
      <c r="AY37" s="5"/>
      <c r="AZ37" s="19"/>
      <c r="BA37" s="5"/>
      <c r="BB37" s="5"/>
      <c r="BC37" s="19"/>
      <c r="BD37" s="19"/>
      <c r="BE37" s="19"/>
      <c r="BF37" s="19"/>
      <c r="BG37" s="19"/>
      <c r="BH37" s="19"/>
      <c r="BI37" s="19"/>
      <c r="BJ37" s="19"/>
      <c r="BK37" s="13"/>
      <c r="BL37" s="5"/>
      <c r="BM37" s="5"/>
      <c r="BN37" s="19"/>
      <c r="BO37" s="17"/>
      <c r="BP37" s="19"/>
      <c r="BQ37" s="17"/>
      <c r="BR37" s="19"/>
      <c r="BS37" s="13"/>
      <c r="BT37" s="5"/>
      <c r="BU37" s="23"/>
      <c r="BV37" s="23"/>
      <c r="BW37" s="24"/>
      <c r="BX37" s="5"/>
      <c r="BY37" s="5"/>
      <c r="BZ37" s="5"/>
      <c r="CA37" s="24"/>
      <c r="CB37" s="24"/>
      <c r="CC37" s="24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>
        <f t="shared" si="4"/>
        <v>169.99999999999997</v>
      </c>
      <c r="CV37" s="25">
        <f t="shared" si="5"/>
        <v>0</v>
      </c>
      <c r="CW37" s="26"/>
      <c r="CX37" s="5"/>
      <c r="CY37" s="5"/>
    </row>
    <row r="38" spans="1:103" x14ac:dyDescent="0.2">
      <c r="A38" s="2"/>
      <c r="B38" s="3"/>
      <c r="C38" s="4"/>
      <c r="D38" s="5"/>
      <c r="E38" s="6"/>
      <c r="F38" s="7"/>
      <c r="G38" s="8"/>
      <c r="H38" s="9"/>
      <c r="I38" s="10"/>
      <c r="J38" s="11" t="s">
        <v>378</v>
      </c>
      <c r="K38" s="12">
        <v>1</v>
      </c>
      <c r="L38" s="13">
        <v>54</v>
      </c>
      <c r="M38" s="14">
        <f t="shared" si="48"/>
        <v>54</v>
      </c>
      <c r="N38" s="15"/>
      <c r="O38" s="16" t="s">
        <v>111</v>
      </c>
      <c r="P38" s="17">
        <f t="shared" si="49"/>
        <v>0.4821428571428571</v>
      </c>
      <c r="Q38" s="18">
        <v>5.7944555554999999</v>
      </c>
      <c r="R38" s="17">
        <f t="shared" si="51"/>
        <v>48.687687301642853</v>
      </c>
      <c r="S38" s="19"/>
      <c r="T38" s="19"/>
      <c r="U38" s="19"/>
      <c r="V38" s="19"/>
      <c r="W38" s="17"/>
      <c r="X38" s="20"/>
      <c r="Y38" s="19"/>
      <c r="Z38" s="19"/>
      <c r="AA38" s="19"/>
      <c r="AB38" s="19"/>
      <c r="AC38" s="19"/>
      <c r="AD38" s="19"/>
      <c r="AE38" s="5"/>
      <c r="AF38" s="19"/>
      <c r="AG38" s="5"/>
      <c r="AH38" s="17"/>
      <c r="AI38" s="19"/>
      <c r="AJ38" s="19"/>
      <c r="AK38" s="19"/>
      <c r="AL38" s="19"/>
      <c r="AM38" s="17"/>
      <c r="AN38" s="19"/>
      <c r="AO38" s="19"/>
      <c r="AP38" s="19"/>
      <c r="AQ38" s="19"/>
      <c r="AR38" s="19"/>
      <c r="AS38" s="21"/>
      <c r="AT38" s="5"/>
      <c r="AU38" s="19"/>
      <c r="AV38" s="5"/>
      <c r="AW38" s="22"/>
      <c r="AX38" s="19"/>
      <c r="AY38" s="5"/>
      <c r="AZ38" s="19"/>
      <c r="BA38" s="5"/>
      <c r="BB38" s="5"/>
      <c r="BC38" s="19"/>
      <c r="BD38" s="19"/>
      <c r="BE38" s="19"/>
      <c r="BF38" s="19"/>
      <c r="BG38" s="19"/>
      <c r="BH38" s="19"/>
      <c r="BI38" s="19"/>
      <c r="BJ38" s="19"/>
      <c r="BK38" s="13"/>
      <c r="BL38" s="5"/>
      <c r="BM38" s="5"/>
      <c r="BN38" s="19"/>
      <c r="BO38" s="17"/>
      <c r="BP38" s="19"/>
      <c r="BQ38" s="17"/>
      <c r="BR38" s="19"/>
      <c r="BS38" s="13"/>
      <c r="BT38" s="5"/>
      <c r="BU38" s="23"/>
      <c r="BV38" s="23"/>
      <c r="BW38" s="24"/>
      <c r="BX38" s="5"/>
      <c r="BY38" s="5"/>
      <c r="BZ38" s="5"/>
      <c r="CA38" s="24"/>
      <c r="CB38" s="24"/>
      <c r="CC38" s="24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>
        <f t="shared" si="4"/>
        <v>54</v>
      </c>
      <c r="CV38" s="25">
        <f t="shared" si="5"/>
        <v>0</v>
      </c>
      <c r="CW38" s="26"/>
      <c r="CX38" s="5"/>
      <c r="CY38" s="5"/>
    </row>
    <row r="39" spans="1:103" x14ac:dyDescent="0.2">
      <c r="A39" s="27"/>
      <c r="B39" s="28"/>
      <c r="C39" s="29"/>
      <c r="D39" s="30"/>
      <c r="E39" s="31"/>
      <c r="F39" s="32"/>
      <c r="G39" s="33"/>
      <c r="H39" s="34"/>
      <c r="I39" s="34"/>
      <c r="J39" s="35"/>
      <c r="K39" s="36"/>
      <c r="L39" s="37"/>
      <c r="M39" s="38">
        <f>SUM(M31:M38)</f>
        <v>5347.8</v>
      </c>
      <c r="N39" s="38"/>
      <c r="O39" s="39" t="s">
        <v>111</v>
      </c>
      <c r="P39" s="38">
        <f>SUM(P31:P38)</f>
        <v>47.748214285714283</v>
      </c>
      <c r="Q39" s="38">
        <f>SUM(Q31:Q38)</f>
        <v>572.99953491875715</v>
      </c>
      <c r="R39" s="38">
        <f>SUM(R31:R38)</f>
        <v>3816.1632825406714</v>
      </c>
      <c r="S39" s="38">
        <f>SUM(S31:S38)</f>
        <v>1006.3853968262857</v>
      </c>
      <c r="T39" s="38">
        <f t="shared" ref="T39:AD39" si="52">SUM(T31:T31)</f>
        <v>0</v>
      </c>
      <c r="U39" s="38">
        <f t="shared" si="52"/>
        <v>0</v>
      </c>
      <c r="V39" s="38">
        <f t="shared" si="52"/>
        <v>0</v>
      </c>
      <c r="W39" s="38">
        <f t="shared" si="52"/>
        <v>0</v>
      </c>
      <c r="X39" s="38">
        <f t="shared" si="52"/>
        <v>0</v>
      </c>
      <c r="Y39" s="38">
        <f t="shared" si="52"/>
        <v>0</v>
      </c>
      <c r="Z39" s="38">
        <f t="shared" si="52"/>
        <v>0</v>
      </c>
      <c r="AA39" s="38">
        <f t="shared" si="52"/>
        <v>0</v>
      </c>
      <c r="AB39" s="38">
        <f t="shared" si="52"/>
        <v>0</v>
      </c>
      <c r="AC39" s="38">
        <f t="shared" si="52"/>
        <v>0</v>
      </c>
      <c r="AD39" s="38">
        <f t="shared" si="52"/>
        <v>0</v>
      </c>
      <c r="AE39" s="30"/>
      <c r="AF39" s="38">
        <f>SUM(AF31:AF31)</f>
        <v>0</v>
      </c>
      <c r="AG39" s="30"/>
      <c r="AH39" s="38">
        <f t="shared" ref="AH39:AZ39" si="53">SUM(AH31:AH31)</f>
        <v>0</v>
      </c>
      <c r="AI39" s="38">
        <f t="shared" si="53"/>
        <v>0</v>
      </c>
      <c r="AJ39" s="38">
        <f t="shared" si="53"/>
        <v>0</v>
      </c>
      <c r="AK39" s="38">
        <f t="shared" si="53"/>
        <v>0</v>
      </c>
      <c r="AL39" s="38">
        <f t="shared" si="53"/>
        <v>0</v>
      </c>
      <c r="AM39" s="38">
        <f t="shared" si="53"/>
        <v>0</v>
      </c>
      <c r="AN39" s="38">
        <f t="shared" si="53"/>
        <v>0</v>
      </c>
      <c r="AO39" s="38">
        <f t="shared" si="53"/>
        <v>0</v>
      </c>
      <c r="AP39" s="38">
        <f t="shared" si="53"/>
        <v>0</v>
      </c>
      <c r="AQ39" s="38">
        <f t="shared" si="53"/>
        <v>0</v>
      </c>
      <c r="AR39" s="38">
        <f t="shared" si="53"/>
        <v>0</v>
      </c>
      <c r="AS39" s="38">
        <f t="shared" si="53"/>
        <v>0</v>
      </c>
      <c r="AT39" s="38">
        <f t="shared" si="53"/>
        <v>0</v>
      </c>
      <c r="AU39" s="38">
        <f t="shared" si="53"/>
        <v>0</v>
      </c>
      <c r="AV39" s="38">
        <f t="shared" si="53"/>
        <v>0</v>
      </c>
      <c r="AW39" s="38">
        <f t="shared" si="53"/>
        <v>0</v>
      </c>
      <c r="AX39" s="38">
        <f t="shared" si="53"/>
        <v>0</v>
      </c>
      <c r="AY39" s="38">
        <f t="shared" si="53"/>
        <v>0</v>
      </c>
      <c r="AZ39" s="38">
        <f t="shared" si="53"/>
        <v>0</v>
      </c>
      <c r="BA39" s="30"/>
      <c r="BB39" s="38">
        <f t="shared" ref="BB39:CT39" si="54">SUM(BB31:BB31)</f>
        <v>0</v>
      </c>
      <c r="BC39" s="38">
        <f t="shared" si="54"/>
        <v>0</v>
      </c>
      <c r="BD39" s="38">
        <f t="shared" si="54"/>
        <v>0</v>
      </c>
      <c r="BE39" s="38">
        <f t="shared" si="54"/>
        <v>0</v>
      </c>
      <c r="BF39" s="38">
        <f t="shared" si="54"/>
        <v>0</v>
      </c>
      <c r="BG39" s="38">
        <f t="shared" si="54"/>
        <v>0</v>
      </c>
      <c r="BH39" s="38">
        <f t="shared" si="54"/>
        <v>0</v>
      </c>
      <c r="BI39" s="38">
        <f t="shared" si="54"/>
        <v>0</v>
      </c>
      <c r="BJ39" s="38">
        <f t="shared" si="54"/>
        <v>0</v>
      </c>
      <c r="BK39" s="38">
        <f t="shared" si="54"/>
        <v>0</v>
      </c>
      <c r="BL39" s="38">
        <f t="shared" si="54"/>
        <v>0</v>
      </c>
      <c r="BM39" s="38">
        <f t="shared" si="54"/>
        <v>0</v>
      </c>
      <c r="BN39" s="38">
        <f t="shared" si="54"/>
        <v>0</v>
      </c>
      <c r="BO39" s="38">
        <f t="shared" si="54"/>
        <v>0</v>
      </c>
      <c r="BP39" s="38">
        <f t="shared" si="54"/>
        <v>0</v>
      </c>
      <c r="BQ39" s="38">
        <f t="shared" si="54"/>
        <v>0</v>
      </c>
      <c r="BR39" s="38">
        <f t="shared" si="54"/>
        <v>0</v>
      </c>
      <c r="BS39" s="38">
        <f t="shared" si="54"/>
        <v>0</v>
      </c>
      <c r="BT39" s="38">
        <f t="shared" si="54"/>
        <v>0</v>
      </c>
      <c r="BU39" s="38">
        <f t="shared" si="54"/>
        <v>0</v>
      </c>
      <c r="BV39" s="38">
        <f t="shared" si="54"/>
        <v>0</v>
      </c>
      <c r="BW39" s="38">
        <f t="shared" si="54"/>
        <v>0</v>
      </c>
      <c r="BX39" s="38">
        <f t="shared" si="54"/>
        <v>0</v>
      </c>
      <c r="BY39" s="38">
        <f t="shared" si="54"/>
        <v>0</v>
      </c>
      <c r="BZ39" s="38">
        <f t="shared" si="54"/>
        <v>0</v>
      </c>
      <c r="CA39" s="38">
        <f t="shared" si="54"/>
        <v>0</v>
      </c>
      <c r="CB39" s="38">
        <f t="shared" si="54"/>
        <v>0</v>
      </c>
      <c r="CC39" s="38">
        <f t="shared" si="54"/>
        <v>0</v>
      </c>
      <c r="CD39" s="38">
        <f t="shared" si="54"/>
        <v>0</v>
      </c>
      <c r="CE39" s="38">
        <f t="shared" si="54"/>
        <v>0</v>
      </c>
      <c r="CF39" s="38">
        <f t="shared" si="54"/>
        <v>0</v>
      </c>
      <c r="CG39" s="38">
        <f t="shared" si="54"/>
        <v>0</v>
      </c>
      <c r="CH39" s="38">
        <f t="shared" si="54"/>
        <v>0</v>
      </c>
      <c r="CI39" s="38">
        <f t="shared" si="54"/>
        <v>0</v>
      </c>
      <c r="CJ39" s="38">
        <f t="shared" si="54"/>
        <v>0</v>
      </c>
      <c r="CK39" s="38">
        <f t="shared" si="54"/>
        <v>0</v>
      </c>
      <c r="CL39" s="38">
        <f t="shared" si="54"/>
        <v>0</v>
      </c>
      <c r="CM39" s="38">
        <f t="shared" si="54"/>
        <v>0</v>
      </c>
      <c r="CN39" s="38">
        <f t="shared" si="54"/>
        <v>0</v>
      </c>
      <c r="CO39" s="38">
        <f t="shared" si="54"/>
        <v>0</v>
      </c>
      <c r="CP39" s="38">
        <f t="shared" si="54"/>
        <v>0</v>
      </c>
      <c r="CQ39" s="38">
        <f t="shared" si="54"/>
        <v>0</v>
      </c>
      <c r="CR39" s="38">
        <f t="shared" si="54"/>
        <v>0</v>
      </c>
      <c r="CS39" s="38">
        <f t="shared" si="54"/>
        <v>0</v>
      </c>
      <c r="CT39" s="38">
        <f t="shared" si="54"/>
        <v>0</v>
      </c>
      <c r="CU39" s="17">
        <f t="shared" si="4"/>
        <v>5347.8</v>
      </c>
      <c r="CV39" s="25">
        <f t="shared" si="5"/>
        <v>0</v>
      </c>
      <c r="CW39" s="40"/>
      <c r="CX39" s="30"/>
      <c r="CY39" s="30"/>
    </row>
    <row r="40" spans="1:103" x14ac:dyDescent="0.2">
      <c r="A40" s="2">
        <v>45874</v>
      </c>
      <c r="B40" s="3" t="s">
        <v>352</v>
      </c>
      <c r="C40" s="4" t="s">
        <v>481</v>
      </c>
      <c r="D40" s="5" t="s">
        <v>122</v>
      </c>
      <c r="E40" s="6" t="s">
        <v>387</v>
      </c>
      <c r="F40" s="7"/>
      <c r="G40" s="8" t="s">
        <v>388</v>
      </c>
      <c r="H40" s="9">
        <v>7847</v>
      </c>
      <c r="I40" s="10" t="s">
        <v>389</v>
      </c>
      <c r="J40" s="11" t="s">
        <v>369</v>
      </c>
      <c r="K40" s="12">
        <v>6</v>
      </c>
      <c r="L40" s="13">
        <v>315</v>
      </c>
      <c r="M40" s="14">
        <f t="shared" ref="M40" si="55">L40*K40</f>
        <v>1890</v>
      </c>
      <c r="N40" s="15"/>
      <c r="O40" s="16" t="s">
        <v>111</v>
      </c>
      <c r="P40" s="17">
        <f>M40/1.12*0.01</f>
        <v>16.874999999999996</v>
      </c>
      <c r="Q40" s="18">
        <f>M40/1.12*0.12</f>
        <v>202.49999999999997</v>
      </c>
      <c r="R40" s="17">
        <f>M40+P40-Q40</f>
        <v>1704.375</v>
      </c>
      <c r="S40" s="19"/>
      <c r="T40" s="19"/>
      <c r="U40" s="19"/>
      <c r="V40" s="19"/>
      <c r="W40" s="17"/>
      <c r="X40" s="20"/>
      <c r="Y40" s="19"/>
      <c r="Z40" s="19"/>
      <c r="AA40" s="19"/>
      <c r="AB40" s="19"/>
      <c r="AC40" s="19"/>
      <c r="AD40" s="19"/>
      <c r="AE40" s="5"/>
      <c r="AF40" s="19"/>
      <c r="AG40" s="5"/>
      <c r="AH40" s="17"/>
      <c r="AI40" s="19"/>
      <c r="AJ40" s="19"/>
      <c r="AK40" s="19"/>
      <c r="AL40" s="19"/>
      <c r="AM40" s="17"/>
      <c r="AN40" s="19"/>
      <c r="AO40" s="19"/>
      <c r="AP40" s="19"/>
      <c r="AQ40" s="19"/>
      <c r="AR40" s="19"/>
      <c r="AS40" s="21"/>
      <c r="AT40" s="5"/>
      <c r="AU40" s="19"/>
      <c r="AV40" s="5"/>
      <c r="AW40" s="22"/>
      <c r="AX40" s="19"/>
      <c r="AY40" s="5"/>
      <c r="AZ40" s="19"/>
      <c r="BA40" s="5"/>
      <c r="BB40" s="5"/>
      <c r="BC40" s="19"/>
      <c r="BD40" s="19"/>
      <c r="BE40" s="19"/>
      <c r="BF40" s="19"/>
      <c r="BG40" s="19"/>
      <c r="BH40" s="19"/>
      <c r="BI40" s="19"/>
      <c r="BJ40" s="19"/>
      <c r="BK40" s="13"/>
      <c r="BL40" s="5"/>
      <c r="BM40" s="5"/>
      <c r="BN40" s="19"/>
      <c r="BO40" s="17"/>
      <c r="BP40" s="19"/>
      <c r="BQ40" s="17"/>
      <c r="BR40" s="19"/>
      <c r="BS40" s="13"/>
      <c r="BT40" s="5"/>
      <c r="BU40" s="23"/>
      <c r="BV40" s="23"/>
      <c r="BW40" s="24"/>
      <c r="BX40" s="5"/>
      <c r="BY40" s="5"/>
      <c r="BZ40" s="5"/>
      <c r="CA40" s="24"/>
      <c r="CB40" s="24"/>
      <c r="CC40" s="24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>
        <f t="shared" si="4"/>
        <v>1890</v>
      </c>
      <c r="CV40" s="25">
        <f t="shared" si="5"/>
        <v>0</v>
      </c>
      <c r="CW40" s="26"/>
      <c r="CX40" s="5"/>
      <c r="CY40" s="5"/>
    </row>
    <row r="41" spans="1:103" x14ac:dyDescent="0.2">
      <c r="A41" s="27"/>
      <c r="B41" s="28"/>
      <c r="C41" s="29"/>
      <c r="D41" s="30"/>
      <c r="E41" s="31"/>
      <c r="F41" s="32"/>
      <c r="G41" s="33"/>
      <c r="H41" s="34"/>
      <c r="I41" s="34"/>
      <c r="J41" s="35"/>
      <c r="K41" s="36"/>
      <c r="L41" s="37"/>
      <c r="M41" s="38">
        <f>SUM(M40:M40)</f>
        <v>1890</v>
      </c>
      <c r="N41" s="38"/>
      <c r="O41" s="39" t="s">
        <v>111</v>
      </c>
      <c r="P41" s="38">
        <f>SUM(P40:P40)</f>
        <v>16.874999999999996</v>
      </c>
      <c r="Q41" s="38">
        <f>SUM(Q40:Q40)</f>
        <v>202.49999999999997</v>
      </c>
      <c r="R41" s="38">
        <f>SUM(R40:R40)</f>
        <v>1704.375</v>
      </c>
      <c r="S41" s="38">
        <f t="shared" ref="S41:AD41" si="56">SUM(S40:S40)</f>
        <v>0</v>
      </c>
      <c r="T41" s="38">
        <f t="shared" si="56"/>
        <v>0</v>
      </c>
      <c r="U41" s="38">
        <f t="shared" si="56"/>
        <v>0</v>
      </c>
      <c r="V41" s="38">
        <f t="shared" si="56"/>
        <v>0</v>
      </c>
      <c r="W41" s="38">
        <f t="shared" si="56"/>
        <v>0</v>
      </c>
      <c r="X41" s="38">
        <f t="shared" si="56"/>
        <v>0</v>
      </c>
      <c r="Y41" s="38">
        <f t="shared" si="56"/>
        <v>0</v>
      </c>
      <c r="Z41" s="38">
        <f t="shared" si="56"/>
        <v>0</v>
      </c>
      <c r="AA41" s="38">
        <f t="shared" si="56"/>
        <v>0</v>
      </c>
      <c r="AB41" s="38">
        <f t="shared" si="56"/>
        <v>0</v>
      </c>
      <c r="AC41" s="38">
        <f t="shared" si="56"/>
        <v>0</v>
      </c>
      <c r="AD41" s="38">
        <f t="shared" si="56"/>
        <v>0</v>
      </c>
      <c r="AE41" s="30"/>
      <c r="AF41" s="38">
        <f>SUM(AF40:AF40)</f>
        <v>0</v>
      </c>
      <c r="AG41" s="30"/>
      <c r="AH41" s="38">
        <f t="shared" ref="AH41:AZ41" si="57">SUM(AH40:AH40)</f>
        <v>0</v>
      </c>
      <c r="AI41" s="38">
        <f t="shared" si="57"/>
        <v>0</v>
      </c>
      <c r="AJ41" s="38">
        <f t="shared" si="57"/>
        <v>0</v>
      </c>
      <c r="AK41" s="38">
        <f t="shared" si="57"/>
        <v>0</v>
      </c>
      <c r="AL41" s="38">
        <f t="shared" si="57"/>
        <v>0</v>
      </c>
      <c r="AM41" s="38">
        <f t="shared" si="57"/>
        <v>0</v>
      </c>
      <c r="AN41" s="38">
        <f t="shared" si="57"/>
        <v>0</v>
      </c>
      <c r="AO41" s="38">
        <f t="shared" si="57"/>
        <v>0</v>
      </c>
      <c r="AP41" s="38">
        <f t="shared" si="57"/>
        <v>0</v>
      </c>
      <c r="AQ41" s="38">
        <f t="shared" si="57"/>
        <v>0</v>
      </c>
      <c r="AR41" s="38">
        <f t="shared" si="57"/>
        <v>0</v>
      </c>
      <c r="AS41" s="38">
        <f t="shared" si="57"/>
        <v>0</v>
      </c>
      <c r="AT41" s="38">
        <f t="shared" si="57"/>
        <v>0</v>
      </c>
      <c r="AU41" s="38">
        <f t="shared" si="57"/>
        <v>0</v>
      </c>
      <c r="AV41" s="38">
        <f t="shared" si="57"/>
        <v>0</v>
      </c>
      <c r="AW41" s="38">
        <f t="shared" si="57"/>
        <v>0</v>
      </c>
      <c r="AX41" s="38">
        <f t="shared" si="57"/>
        <v>0</v>
      </c>
      <c r="AY41" s="38">
        <f t="shared" si="57"/>
        <v>0</v>
      </c>
      <c r="AZ41" s="38">
        <f t="shared" si="57"/>
        <v>0</v>
      </c>
      <c r="BA41" s="30"/>
      <c r="BB41" s="38">
        <f t="shared" ref="BB41:CT41" si="58">SUM(BB40:BB40)</f>
        <v>0</v>
      </c>
      <c r="BC41" s="38">
        <f t="shared" si="58"/>
        <v>0</v>
      </c>
      <c r="BD41" s="38">
        <f t="shared" si="58"/>
        <v>0</v>
      </c>
      <c r="BE41" s="38">
        <f t="shared" si="58"/>
        <v>0</v>
      </c>
      <c r="BF41" s="38">
        <f t="shared" si="58"/>
        <v>0</v>
      </c>
      <c r="BG41" s="38">
        <f t="shared" si="58"/>
        <v>0</v>
      </c>
      <c r="BH41" s="38">
        <f t="shared" si="58"/>
        <v>0</v>
      </c>
      <c r="BI41" s="38">
        <f t="shared" si="58"/>
        <v>0</v>
      </c>
      <c r="BJ41" s="38">
        <f t="shared" si="58"/>
        <v>0</v>
      </c>
      <c r="BK41" s="38">
        <f t="shared" si="58"/>
        <v>0</v>
      </c>
      <c r="BL41" s="38">
        <f t="shared" si="58"/>
        <v>0</v>
      </c>
      <c r="BM41" s="38">
        <f t="shared" si="58"/>
        <v>0</v>
      </c>
      <c r="BN41" s="38">
        <f t="shared" si="58"/>
        <v>0</v>
      </c>
      <c r="BO41" s="38">
        <f t="shared" si="58"/>
        <v>0</v>
      </c>
      <c r="BP41" s="38">
        <f t="shared" si="58"/>
        <v>0</v>
      </c>
      <c r="BQ41" s="38">
        <f t="shared" si="58"/>
        <v>0</v>
      </c>
      <c r="BR41" s="38">
        <f t="shared" si="58"/>
        <v>0</v>
      </c>
      <c r="BS41" s="38">
        <f t="shared" si="58"/>
        <v>0</v>
      </c>
      <c r="BT41" s="38">
        <f t="shared" si="58"/>
        <v>0</v>
      </c>
      <c r="BU41" s="38">
        <f t="shared" si="58"/>
        <v>0</v>
      </c>
      <c r="BV41" s="38">
        <f t="shared" si="58"/>
        <v>0</v>
      </c>
      <c r="BW41" s="38">
        <f t="shared" si="58"/>
        <v>0</v>
      </c>
      <c r="BX41" s="38">
        <f t="shared" si="58"/>
        <v>0</v>
      </c>
      <c r="BY41" s="38">
        <f t="shared" si="58"/>
        <v>0</v>
      </c>
      <c r="BZ41" s="38">
        <f t="shared" si="58"/>
        <v>0</v>
      </c>
      <c r="CA41" s="38">
        <f t="shared" si="58"/>
        <v>0</v>
      </c>
      <c r="CB41" s="38">
        <f t="shared" si="58"/>
        <v>0</v>
      </c>
      <c r="CC41" s="38">
        <f t="shared" si="58"/>
        <v>0</v>
      </c>
      <c r="CD41" s="38">
        <f t="shared" si="58"/>
        <v>0</v>
      </c>
      <c r="CE41" s="38">
        <f t="shared" si="58"/>
        <v>0</v>
      </c>
      <c r="CF41" s="38">
        <f t="shared" si="58"/>
        <v>0</v>
      </c>
      <c r="CG41" s="38">
        <f t="shared" si="58"/>
        <v>0</v>
      </c>
      <c r="CH41" s="38">
        <f t="shared" si="58"/>
        <v>0</v>
      </c>
      <c r="CI41" s="38">
        <f t="shared" si="58"/>
        <v>0</v>
      </c>
      <c r="CJ41" s="38">
        <f t="shared" si="58"/>
        <v>0</v>
      </c>
      <c r="CK41" s="38">
        <f t="shared" si="58"/>
        <v>0</v>
      </c>
      <c r="CL41" s="38">
        <f t="shared" si="58"/>
        <v>0</v>
      </c>
      <c r="CM41" s="38">
        <f t="shared" si="58"/>
        <v>0</v>
      </c>
      <c r="CN41" s="38">
        <f t="shared" si="58"/>
        <v>0</v>
      </c>
      <c r="CO41" s="38">
        <f t="shared" si="58"/>
        <v>0</v>
      </c>
      <c r="CP41" s="38">
        <f t="shared" si="58"/>
        <v>0</v>
      </c>
      <c r="CQ41" s="38">
        <f t="shared" si="58"/>
        <v>0</v>
      </c>
      <c r="CR41" s="38">
        <f t="shared" si="58"/>
        <v>0</v>
      </c>
      <c r="CS41" s="38">
        <f t="shared" si="58"/>
        <v>0</v>
      </c>
      <c r="CT41" s="38">
        <f t="shared" si="58"/>
        <v>0</v>
      </c>
      <c r="CU41" s="17">
        <f t="shared" si="4"/>
        <v>1890</v>
      </c>
      <c r="CV41" s="25">
        <f t="shared" si="5"/>
        <v>0</v>
      </c>
      <c r="CW41" s="40"/>
      <c r="CX41" s="30"/>
      <c r="CY41" s="30"/>
    </row>
    <row r="42" spans="1:103" x14ac:dyDescent="0.2">
      <c r="A42" s="2">
        <v>45874</v>
      </c>
      <c r="B42" s="3" t="s">
        <v>352</v>
      </c>
      <c r="C42" s="4" t="s">
        <v>482</v>
      </c>
      <c r="D42" s="5" t="s">
        <v>122</v>
      </c>
      <c r="E42" s="6" t="s">
        <v>266</v>
      </c>
      <c r="F42" s="7"/>
      <c r="G42" s="8"/>
      <c r="H42" s="9"/>
      <c r="I42" s="10" t="s">
        <v>483</v>
      </c>
      <c r="J42" s="11" t="s">
        <v>390</v>
      </c>
      <c r="K42" s="12">
        <v>15</v>
      </c>
      <c r="L42" s="13">
        <v>180</v>
      </c>
      <c r="M42" s="14">
        <f t="shared" ref="M42" si="59">L42*K42</f>
        <v>2700</v>
      </c>
      <c r="N42" s="15"/>
      <c r="O42" s="16" t="s">
        <v>137</v>
      </c>
      <c r="P42" s="17"/>
      <c r="Q42" s="18"/>
      <c r="R42" s="17">
        <f>M42+P42-Q42</f>
        <v>2700</v>
      </c>
      <c r="S42" s="19"/>
      <c r="T42" s="19"/>
      <c r="U42" s="19"/>
      <c r="V42" s="19"/>
      <c r="W42" s="17"/>
      <c r="X42" s="20"/>
      <c r="Y42" s="19"/>
      <c r="Z42" s="19"/>
      <c r="AA42" s="19"/>
      <c r="AB42" s="19"/>
      <c r="AC42" s="19"/>
      <c r="AD42" s="19"/>
      <c r="AE42" s="5"/>
      <c r="AF42" s="19"/>
      <c r="AG42" s="5"/>
      <c r="AH42" s="17"/>
      <c r="AI42" s="19"/>
      <c r="AJ42" s="19"/>
      <c r="AK42" s="19"/>
      <c r="AL42" s="19"/>
      <c r="AM42" s="17"/>
      <c r="AN42" s="19"/>
      <c r="AO42" s="19"/>
      <c r="AP42" s="19"/>
      <c r="AQ42" s="19"/>
      <c r="AR42" s="19"/>
      <c r="AS42" s="21"/>
      <c r="AT42" s="5"/>
      <c r="AU42" s="19"/>
      <c r="AV42" s="5"/>
      <c r="AW42" s="22"/>
      <c r="AX42" s="19"/>
      <c r="AY42" s="5"/>
      <c r="AZ42" s="19"/>
      <c r="BA42" s="5"/>
      <c r="BB42" s="5"/>
      <c r="BC42" s="19"/>
      <c r="BD42" s="19"/>
      <c r="BE42" s="19"/>
      <c r="BF42" s="19"/>
      <c r="BG42" s="19"/>
      <c r="BH42" s="19"/>
      <c r="BI42" s="19"/>
      <c r="BJ42" s="19"/>
      <c r="BK42" s="13"/>
      <c r="BL42" s="5"/>
      <c r="BM42" s="5"/>
      <c r="BN42" s="19"/>
      <c r="BO42" s="17"/>
      <c r="BP42" s="19"/>
      <c r="BQ42" s="17"/>
      <c r="BR42" s="19"/>
      <c r="BS42" s="13"/>
      <c r="BT42" s="5"/>
      <c r="BU42" s="23"/>
      <c r="BV42" s="23"/>
      <c r="BW42" s="24"/>
      <c r="BX42" s="5"/>
      <c r="BY42" s="5"/>
      <c r="BZ42" s="5"/>
      <c r="CA42" s="24"/>
      <c r="CB42" s="24"/>
      <c r="CC42" s="24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>
        <f t="shared" si="4"/>
        <v>2700</v>
      </c>
      <c r="CV42" s="25">
        <f t="shared" si="5"/>
        <v>0</v>
      </c>
      <c r="CW42" s="26"/>
      <c r="CX42" s="5"/>
      <c r="CY42" s="5"/>
    </row>
    <row r="43" spans="1:103" x14ac:dyDescent="0.2">
      <c r="A43" s="27"/>
      <c r="B43" s="28"/>
      <c r="C43" s="29"/>
      <c r="D43" s="30"/>
      <c r="E43" s="31"/>
      <c r="F43" s="32"/>
      <c r="G43" s="33"/>
      <c r="H43" s="34"/>
      <c r="I43" s="34"/>
      <c r="J43" s="35"/>
      <c r="K43" s="36"/>
      <c r="L43" s="37"/>
      <c r="M43" s="38">
        <f>SUM(M42:M42)</f>
        <v>2700</v>
      </c>
      <c r="N43" s="38"/>
      <c r="O43" s="39" t="s">
        <v>137</v>
      </c>
      <c r="P43" s="38"/>
      <c r="Q43" s="38"/>
      <c r="R43" s="38">
        <f>SUM(R42:R42)</f>
        <v>2700</v>
      </c>
      <c r="S43" s="38">
        <f t="shared" ref="S43:AD43" si="60">SUM(S42:S42)</f>
        <v>0</v>
      </c>
      <c r="T43" s="38">
        <f t="shared" si="60"/>
        <v>0</v>
      </c>
      <c r="U43" s="38">
        <f t="shared" si="60"/>
        <v>0</v>
      </c>
      <c r="V43" s="38">
        <f t="shared" si="60"/>
        <v>0</v>
      </c>
      <c r="W43" s="38">
        <f t="shared" si="60"/>
        <v>0</v>
      </c>
      <c r="X43" s="38">
        <f t="shared" si="60"/>
        <v>0</v>
      </c>
      <c r="Y43" s="38">
        <f t="shared" si="60"/>
        <v>0</v>
      </c>
      <c r="Z43" s="38">
        <f t="shared" si="60"/>
        <v>0</v>
      </c>
      <c r="AA43" s="38">
        <f t="shared" si="60"/>
        <v>0</v>
      </c>
      <c r="AB43" s="38">
        <f t="shared" si="60"/>
        <v>0</v>
      </c>
      <c r="AC43" s="38">
        <f t="shared" si="60"/>
        <v>0</v>
      </c>
      <c r="AD43" s="38">
        <f t="shared" si="60"/>
        <v>0</v>
      </c>
      <c r="AE43" s="30"/>
      <c r="AF43" s="38">
        <f>SUM(AF42:AF42)</f>
        <v>0</v>
      </c>
      <c r="AG43" s="30"/>
      <c r="AH43" s="38">
        <f t="shared" ref="AH43:AZ43" si="61">SUM(AH42:AH42)</f>
        <v>0</v>
      </c>
      <c r="AI43" s="38">
        <f t="shared" si="61"/>
        <v>0</v>
      </c>
      <c r="AJ43" s="38">
        <f t="shared" si="61"/>
        <v>0</v>
      </c>
      <c r="AK43" s="38">
        <f t="shared" si="61"/>
        <v>0</v>
      </c>
      <c r="AL43" s="38">
        <f t="shared" si="61"/>
        <v>0</v>
      </c>
      <c r="AM43" s="38">
        <f t="shared" si="61"/>
        <v>0</v>
      </c>
      <c r="AN43" s="38">
        <f t="shared" si="61"/>
        <v>0</v>
      </c>
      <c r="AO43" s="38">
        <f t="shared" si="61"/>
        <v>0</v>
      </c>
      <c r="AP43" s="38">
        <f t="shared" si="61"/>
        <v>0</v>
      </c>
      <c r="AQ43" s="38">
        <f t="shared" si="61"/>
        <v>0</v>
      </c>
      <c r="AR43" s="38">
        <f t="shared" si="61"/>
        <v>0</v>
      </c>
      <c r="AS43" s="38">
        <f t="shared" si="61"/>
        <v>0</v>
      </c>
      <c r="AT43" s="38">
        <f t="shared" si="61"/>
        <v>0</v>
      </c>
      <c r="AU43" s="38">
        <f t="shared" si="61"/>
        <v>0</v>
      </c>
      <c r="AV43" s="38">
        <f t="shared" si="61"/>
        <v>0</v>
      </c>
      <c r="AW43" s="38">
        <f t="shared" si="61"/>
        <v>0</v>
      </c>
      <c r="AX43" s="38">
        <f t="shared" si="61"/>
        <v>0</v>
      </c>
      <c r="AY43" s="38">
        <f t="shared" si="61"/>
        <v>0</v>
      </c>
      <c r="AZ43" s="38">
        <f t="shared" si="61"/>
        <v>0</v>
      </c>
      <c r="BA43" s="30"/>
      <c r="BB43" s="38">
        <f t="shared" ref="BB43:CT43" si="62">SUM(BB42:BB42)</f>
        <v>0</v>
      </c>
      <c r="BC43" s="38">
        <f t="shared" si="62"/>
        <v>0</v>
      </c>
      <c r="BD43" s="38">
        <f t="shared" si="62"/>
        <v>0</v>
      </c>
      <c r="BE43" s="38">
        <f t="shared" si="62"/>
        <v>0</v>
      </c>
      <c r="BF43" s="38">
        <f t="shared" si="62"/>
        <v>0</v>
      </c>
      <c r="BG43" s="38">
        <f t="shared" si="62"/>
        <v>0</v>
      </c>
      <c r="BH43" s="38">
        <f t="shared" si="62"/>
        <v>0</v>
      </c>
      <c r="BI43" s="38">
        <f t="shared" si="62"/>
        <v>0</v>
      </c>
      <c r="BJ43" s="38">
        <f t="shared" si="62"/>
        <v>0</v>
      </c>
      <c r="BK43" s="38">
        <f t="shared" si="62"/>
        <v>0</v>
      </c>
      <c r="BL43" s="38">
        <f t="shared" si="62"/>
        <v>0</v>
      </c>
      <c r="BM43" s="38">
        <f t="shared" si="62"/>
        <v>0</v>
      </c>
      <c r="BN43" s="38">
        <f t="shared" si="62"/>
        <v>0</v>
      </c>
      <c r="BO43" s="38">
        <f t="shared" si="62"/>
        <v>0</v>
      </c>
      <c r="BP43" s="38">
        <f t="shared" si="62"/>
        <v>0</v>
      </c>
      <c r="BQ43" s="38">
        <f t="shared" si="62"/>
        <v>0</v>
      </c>
      <c r="BR43" s="38">
        <f t="shared" si="62"/>
        <v>0</v>
      </c>
      <c r="BS43" s="38">
        <f t="shared" si="62"/>
        <v>0</v>
      </c>
      <c r="BT43" s="38">
        <f t="shared" si="62"/>
        <v>0</v>
      </c>
      <c r="BU43" s="38">
        <f t="shared" si="62"/>
        <v>0</v>
      </c>
      <c r="BV43" s="38">
        <f t="shared" si="62"/>
        <v>0</v>
      </c>
      <c r="BW43" s="38">
        <f t="shared" si="62"/>
        <v>0</v>
      </c>
      <c r="BX43" s="38">
        <f t="shared" si="62"/>
        <v>0</v>
      </c>
      <c r="BY43" s="38">
        <f t="shared" si="62"/>
        <v>0</v>
      </c>
      <c r="BZ43" s="38">
        <f t="shared" si="62"/>
        <v>0</v>
      </c>
      <c r="CA43" s="38">
        <f t="shared" si="62"/>
        <v>0</v>
      </c>
      <c r="CB43" s="38">
        <f t="shared" si="62"/>
        <v>0</v>
      </c>
      <c r="CC43" s="38">
        <f t="shared" si="62"/>
        <v>0</v>
      </c>
      <c r="CD43" s="38">
        <f t="shared" si="62"/>
        <v>0</v>
      </c>
      <c r="CE43" s="38">
        <f t="shared" si="62"/>
        <v>0</v>
      </c>
      <c r="CF43" s="38">
        <f t="shared" si="62"/>
        <v>0</v>
      </c>
      <c r="CG43" s="38">
        <f t="shared" si="62"/>
        <v>0</v>
      </c>
      <c r="CH43" s="38">
        <f t="shared" si="62"/>
        <v>0</v>
      </c>
      <c r="CI43" s="38">
        <f t="shared" si="62"/>
        <v>0</v>
      </c>
      <c r="CJ43" s="38">
        <f t="shared" si="62"/>
        <v>0</v>
      </c>
      <c r="CK43" s="38">
        <f t="shared" si="62"/>
        <v>0</v>
      </c>
      <c r="CL43" s="38">
        <f t="shared" si="62"/>
        <v>0</v>
      </c>
      <c r="CM43" s="38">
        <f t="shared" si="62"/>
        <v>0</v>
      </c>
      <c r="CN43" s="38">
        <f t="shared" si="62"/>
        <v>0</v>
      </c>
      <c r="CO43" s="38">
        <f t="shared" si="62"/>
        <v>0</v>
      </c>
      <c r="CP43" s="38">
        <f t="shared" si="62"/>
        <v>0</v>
      </c>
      <c r="CQ43" s="38">
        <f t="shared" si="62"/>
        <v>0</v>
      </c>
      <c r="CR43" s="38">
        <f t="shared" si="62"/>
        <v>0</v>
      </c>
      <c r="CS43" s="38">
        <f t="shared" si="62"/>
        <v>0</v>
      </c>
      <c r="CT43" s="38">
        <f t="shared" si="62"/>
        <v>0</v>
      </c>
      <c r="CU43" s="17">
        <f t="shared" si="4"/>
        <v>2700</v>
      </c>
      <c r="CV43" s="25">
        <f t="shared" si="5"/>
        <v>0</v>
      </c>
      <c r="CW43" s="40"/>
      <c r="CX43" s="30"/>
      <c r="CY43" s="30"/>
    </row>
    <row r="44" spans="1:103" x14ac:dyDescent="0.2">
      <c r="A44" s="2">
        <v>45877</v>
      </c>
      <c r="B44" s="3" t="s">
        <v>352</v>
      </c>
      <c r="C44" s="4" t="s">
        <v>484</v>
      </c>
      <c r="D44" s="5" t="s">
        <v>122</v>
      </c>
      <c r="E44" s="6"/>
      <c r="F44" s="7"/>
      <c r="G44" s="8"/>
      <c r="H44" s="9"/>
      <c r="I44" s="10"/>
      <c r="J44" s="11" t="s">
        <v>226</v>
      </c>
      <c r="K44" s="12">
        <v>1</v>
      </c>
      <c r="L44" s="13">
        <v>135</v>
      </c>
      <c r="M44" s="14">
        <f t="shared" ref="M44" si="63">L44*K44</f>
        <v>135</v>
      </c>
      <c r="N44" s="15"/>
      <c r="O44" s="16" t="s">
        <v>137</v>
      </c>
      <c r="P44" s="17"/>
      <c r="Q44" s="18"/>
      <c r="R44" s="5"/>
      <c r="S44" s="19"/>
      <c r="T44" s="19"/>
      <c r="U44" s="19"/>
      <c r="V44" s="19"/>
      <c r="W44" s="17"/>
      <c r="X44" s="20"/>
      <c r="Y44" s="19"/>
      <c r="Z44" s="19"/>
      <c r="AA44" s="19"/>
      <c r="AB44" s="19"/>
      <c r="AC44" s="19"/>
      <c r="AD44" s="19"/>
      <c r="AE44" s="5"/>
      <c r="AF44" s="19"/>
      <c r="AG44" s="5"/>
      <c r="AH44" s="17"/>
      <c r="AI44" s="19"/>
      <c r="AJ44" s="19"/>
      <c r="AK44" s="19"/>
      <c r="AL44" s="19"/>
      <c r="AM44" s="17"/>
      <c r="AN44" s="19"/>
      <c r="AO44" s="19"/>
      <c r="AP44" s="19"/>
      <c r="AQ44" s="19"/>
      <c r="AR44" s="19"/>
      <c r="AS44" s="21"/>
      <c r="AT44" s="5"/>
      <c r="AU44" s="19"/>
      <c r="AV44" s="5"/>
      <c r="AW44" s="22"/>
      <c r="AX44" s="19"/>
      <c r="AY44" s="5"/>
      <c r="AZ44" s="19"/>
      <c r="BA44" s="5"/>
      <c r="BB44" s="5"/>
      <c r="BC44" s="17">
        <f>M44+P44-Q44</f>
        <v>135</v>
      </c>
      <c r="BD44" s="19"/>
      <c r="BE44" s="19"/>
      <c r="BF44" s="19"/>
      <c r="BG44" s="19"/>
      <c r="BH44" s="19"/>
      <c r="BI44" s="19"/>
      <c r="BJ44" s="19"/>
      <c r="BK44" s="13"/>
      <c r="BL44" s="5"/>
      <c r="BM44" s="5"/>
      <c r="BN44" s="19"/>
      <c r="BO44" s="17"/>
      <c r="BP44" s="19"/>
      <c r="BQ44" s="17"/>
      <c r="BR44" s="19"/>
      <c r="BS44" s="13"/>
      <c r="BT44" s="5"/>
      <c r="BU44" s="23"/>
      <c r="BV44" s="23"/>
      <c r="BW44" s="24"/>
      <c r="BX44" s="5"/>
      <c r="BY44" s="5"/>
      <c r="BZ44" s="5"/>
      <c r="CA44" s="24"/>
      <c r="CB44" s="24"/>
      <c r="CC44" s="24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>
        <f t="shared" si="4"/>
        <v>135</v>
      </c>
      <c r="CV44" s="25">
        <f t="shared" si="5"/>
        <v>0</v>
      </c>
      <c r="CW44" s="26"/>
      <c r="CX44" s="5"/>
      <c r="CY44" s="5"/>
    </row>
    <row r="45" spans="1:103" x14ac:dyDescent="0.2">
      <c r="A45" s="27"/>
      <c r="B45" s="28"/>
      <c r="C45" s="29"/>
      <c r="D45" s="30"/>
      <c r="E45" s="31"/>
      <c r="F45" s="32"/>
      <c r="G45" s="33"/>
      <c r="H45" s="34"/>
      <c r="I45" s="34"/>
      <c r="J45" s="35"/>
      <c r="K45" s="36"/>
      <c r="L45" s="37"/>
      <c r="M45" s="38">
        <f>SUM(M44:M44)</f>
        <v>135</v>
      </c>
      <c r="N45" s="38"/>
      <c r="O45" s="39" t="s">
        <v>137</v>
      </c>
      <c r="P45" s="38"/>
      <c r="Q45" s="38"/>
      <c r="R45" s="30"/>
      <c r="S45" s="38">
        <f t="shared" ref="S45:AD45" si="64">SUM(S44:S44)</f>
        <v>0</v>
      </c>
      <c r="T45" s="38">
        <f t="shared" si="64"/>
        <v>0</v>
      </c>
      <c r="U45" s="38">
        <f t="shared" si="64"/>
        <v>0</v>
      </c>
      <c r="V45" s="38">
        <f t="shared" si="64"/>
        <v>0</v>
      </c>
      <c r="W45" s="38">
        <f t="shared" si="64"/>
        <v>0</v>
      </c>
      <c r="X45" s="38">
        <f t="shared" si="64"/>
        <v>0</v>
      </c>
      <c r="Y45" s="38">
        <f t="shared" si="64"/>
        <v>0</v>
      </c>
      <c r="Z45" s="38">
        <f t="shared" si="64"/>
        <v>0</v>
      </c>
      <c r="AA45" s="38">
        <f t="shared" si="64"/>
        <v>0</v>
      </c>
      <c r="AB45" s="38">
        <f t="shared" si="64"/>
        <v>0</v>
      </c>
      <c r="AC45" s="38">
        <f t="shared" si="64"/>
        <v>0</v>
      </c>
      <c r="AD45" s="38">
        <f t="shared" si="64"/>
        <v>0</v>
      </c>
      <c r="AE45" s="30"/>
      <c r="AF45" s="38">
        <f>SUM(AF44:AF44)</f>
        <v>0</v>
      </c>
      <c r="AG45" s="30"/>
      <c r="AH45" s="38">
        <f t="shared" ref="AH45:AZ45" si="65">SUM(AH44:AH44)</f>
        <v>0</v>
      </c>
      <c r="AI45" s="38">
        <f t="shared" si="65"/>
        <v>0</v>
      </c>
      <c r="AJ45" s="38">
        <f t="shared" si="65"/>
        <v>0</v>
      </c>
      <c r="AK45" s="38">
        <f t="shared" si="65"/>
        <v>0</v>
      </c>
      <c r="AL45" s="38">
        <f t="shared" si="65"/>
        <v>0</v>
      </c>
      <c r="AM45" s="38">
        <f t="shared" si="65"/>
        <v>0</v>
      </c>
      <c r="AN45" s="38">
        <f t="shared" si="65"/>
        <v>0</v>
      </c>
      <c r="AO45" s="38">
        <f t="shared" si="65"/>
        <v>0</v>
      </c>
      <c r="AP45" s="38">
        <f t="shared" si="65"/>
        <v>0</v>
      </c>
      <c r="AQ45" s="38">
        <f t="shared" si="65"/>
        <v>0</v>
      </c>
      <c r="AR45" s="38">
        <f t="shared" si="65"/>
        <v>0</v>
      </c>
      <c r="AS45" s="38">
        <f t="shared" si="65"/>
        <v>0</v>
      </c>
      <c r="AT45" s="38">
        <f t="shared" si="65"/>
        <v>0</v>
      </c>
      <c r="AU45" s="38">
        <f t="shared" si="65"/>
        <v>0</v>
      </c>
      <c r="AV45" s="38">
        <f t="shared" si="65"/>
        <v>0</v>
      </c>
      <c r="AW45" s="38">
        <f t="shared" si="65"/>
        <v>0</v>
      </c>
      <c r="AX45" s="38">
        <f t="shared" si="65"/>
        <v>0</v>
      </c>
      <c r="AY45" s="38">
        <f t="shared" si="65"/>
        <v>0</v>
      </c>
      <c r="AZ45" s="38">
        <f t="shared" si="65"/>
        <v>0</v>
      </c>
      <c r="BA45" s="30"/>
      <c r="BB45" s="38">
        <f t="shared" ref="BB45:CT45" si="66">SUM(BB44:BB44)</f>
        <v>0</v>
      </c>
      <c r="BC45" s="38">
        <f>SUM(BC44:BC44)</f>
        <v>135</v>
      </c>
      <c r="BD45" s="38">
        <f t="shared" si="66"/>
        <v>0</v>
      </c>
      <c r="BE45" s="38">
        <f t="shared" si="66"/>
        <v>0</v>
      </c>
      <c r="BF45" s="38">
        <f t="shared" si="66"/>
        <v>0</v>
      </c>
      <c r="BG45" s="38">
        <f t="shared" si="66"/>
        <v>0</v>
      </c>
      <c r="BH45" s="38">
        <f t="shared" si="66"/>
        <v>0</v>
      </c>
      <c r="BI45" s="38">
        <f t="shared" si="66"/>
        <v>0</v>
      </c>
      <c r="BJ45" s="38">
        <f t="shared" si="66"/>
        <v>0</v>
      </c>
      <c r="BK45" s="38">
        <f t="shared" si="66"/>
        <v>0</v>
      </c>
      <c r="BL45" s="38">
        <f t="shared" si="66"/>
        <v>0</v>
      </c>
      <c r="BM45" s="38">
        <f t="shared" si="66"/>
        <v>0</v>
      </c>
      <c r="BN45" s="38">
        <f t="shared" si="66"/>
        <v>0</v>
      </c>
      <c r="BO45" s="38">
        <f t="shared" si="66"/>
        <v>0</v>
      </c>
      <c r="BP45" s="38">
        <f t="shared" si="66"/>
        <v>0</v>
      </c>
      <c r="BQ45" s="38">
        <f t="shared" si="66"/>
        <v>0</v>
      </c>
      <c r="BR45" s="38">
        <f t="shared" si="66"/>
        <v>0</v>
      </c>
      <c r="BS45" s="38">
        <f t="shared" si="66"/>
        <v>0</v>
      </c>
      <c r="BT45" s="38">
        <f t="shared" si="66"/>
        <v>0</v>
      </c>
      <c r="BU45" s="38">
        <f t="shared" si="66"/>
        <v>0</v>
      </c>
      <c r="BV45" s="38">
        <f t="shared" si="66"/>
        <v>0</v>
      </c>
      <c r="BW45" s="38">
        <f t="shared" si="66"/>
        <v>0</v>
      </c>
      <c r="BX45" s="38">
        <f t="shared" si="66"/>
        <v>0</v>
      </c>
      <c r="BY45" s="38">
        <f t="shared" si="66"/>
        <v>0</v>
      </c>
      <c r="BZ45" s="38">
        <f t="shared" si="66"/>
        <v>0</v>
      </c>
      <c r="CA45" s="38">
        <f t="shared" si="66"/>
        <v>0</v>
      </c>
      <c r="CB45" s="38">
        <f t="shared" si="66"/>
        <v>0</v>
      </c>
      <c r="CC45" s="38">
        <f t="shared" si="66"/>
        <v>0</v>
      </c>
      <c r="CD45" s="38">
        <f t="shared" si="66"/>
        <v>0</v>
      </c>
      <c r="CE45" s="38">
        <f t="shared" si="66"/>
        <v>0</v>
      </c>
      <c r="CF45" s="38">
        <f t="shared" si="66"/>
        <v>0</v>
      </c>
      <c r="CG45" s="38">
        <f t="shared" si="66"/>
        <v>0</v>
      </c>
      <c r="CH45" s="38">
        <f t="shared" si="66"/>
        <v>0</v>
      </c>
      <c r="CI45" s="38">
        <f t="shared" si="66"/>
        <v>0</v>
      </c>
      <c r="CJ45" s="38">
        <f t="shared" si="66"/>
        <v>0</v>
      </c>
      <c r="CK45" s="38">
        <f t="shared" si="66"/>
        <v>0</v>
      </c>
      <c r="CL45" s="38">
        <f t="shared" si="66"/>
        <v>0</v>
      </c>
      <c r="CM45" s="38">
        <f t="shared" si="66"/>
        <v>0</v>
      </c>
      <c r="CN45" s="38">
        <f t="shared" si="66"/>
        <v>0</v>
      </c>
      <c r="CO45" s="38">
        <f t="shared" si="66"/>
        <v>0</v>
      </c>
      <c r="CP45" s="38">
        <f t="shared" si="66"/>
        <v>0</v>
      </c>
      <c r="CQ45" s="38">
        <f t="shared" si="66"/>
        <v>0</v>
      </c>
      <c r="CR45" s="38">
        <f t="shared" si="66"/>
        <v>0</v>
      </c>
      <c r="CS45" s="38">
        <f t="shared" si="66"/>
        <v>0</v>
      </c>
      <c r="CT45" s="38">
        <f t="shared" si="66"/>
        <v>0</v>
      </c>
      <c r="CU45" s="17">
        <f t="shared" si="4"/>
        <v>135</v>
      </c>
      <c r="CV45" s="25">
        <f t="shared" si="5"/>
        <v>0</v>
      </c>
      <c r="CW45" s="40"/>
      <c r="CX45" s="30"/>
      <c r="CY45" s="30"/>
    </row>
    <row r="46" spans="1:103" x14ac:dyDescent="0.2">
      <c r="A46" s="2">
        <v>45875</v>
      </c>
      <c r="B46" s="3" t="s">
        <v>352</v>
      </c>
      <c r="C46" s="4" t="s">
        <v>485</v>
      </c>
      <c r="D46" s="5" t="s">
        <v>122</v>
      </c>
      <c r="E46" s="6"/>
      <c r="F46" s="7"/>
      <c r="G46" s="8"/>
      <c r="H46" s="9"/>
      <c r="I46" s="10"/>
      <c r="J46" s="11" t="s">
        <v>226</v>
      </c>
      <c r="K46" s="12">
        <v>1</v>
      </c>
      <c r="L46" s="13">
        <v>130</v>
      </c>
      <c r="M46" s="14">
        <f t="shared" ref="M46" si="67">L46*K46</f>
        <v>130</v>
      </c>
      <c r="N46" s="15"/>
      <c r="O46" s="16" t="s">
        <v>137</v>
      </c>
      <c r="P46" s="17"/>
      <c r="Q46" s="18"/>
      <c r="R46" s="5"/>
      <c r="S46" s="19"/>
      <c r="T46" s="19"/>
      <c r="U46" s="19"/>
      <c r="V46" s="19"/>
      <c r="W46" s="17"/>
      <c r="X46" s="20"/>
      <c r="Y46" s="19"/>
      <c r="Z46" s="19"/>
      <c r="AA46" s="19"/>
      <c r="AB46" s="19"/>
      <c r="AC46" s="19"/>
      <c r="AD46" s="19"/>
      <c r="AE46" s="5"/>
      <c r="AF46" s="19"/>
      <c r="AG46" s="5"/>
      <c r="AH46" s="17"/>
      <c r="AI46" s="19"/>
      <c r="AJ46" s="19"/>
      <c r="AK46" s="19"/>
      <c r="AL46" s="19"/>
      <c r="AM46" s="17"/>
      <c r="AN46" s="19"/>
      <c r="AO46" s="19"/>
      <c r="AP46" s="19"/>
      <c r="AQ46" s="19"/>
      <c r="AR46" s="19"/>
      <c r="AS46" s="21"/>
      <c r="AT46" s="5"/>
      <c r="AU46" s="19"/>
      <c r="AV46" s="5"/>
      <c r="AW46" s="22"/>
      <c r="AX46" s="19"/>
      <c r="AY46" s="5"/>
      <c r="AZ46" s="19"/>
      <c r="BA46" s="5"/>
      <c r="BB46" s="5"/>
      <c r="BC46" s="17">
        <f>M46+P46-Q46</f>
        <v>130</v>
      </c>
      <c r="BD46" s="19"/>
      <c r="BE46" s="19"/>
      <c r="BF46" s="19"/>
      <c r="BG46" s="19"/>
      <c r="BH46" s="19"/>
      <c r="BI46" s="19"/>
      <c r="BJ46" s="19"/>
      <c r="BK46" s="13"/>
      <c r="BL46" s="5"/>
      <c r="BM46" s="5"/>
      <c r="BN46" s="19"/>
      <c r="BO46" s="17"/>
      <c r="BP46" s="19"/>
      <c r="BQ46" s="17"/>
      <c r="BR46" s="19"/>
      <c r="BS46" s="13"/>
      <c r="BT46" s="5"/>
      <c r="BU46" s="23"/>
      <c r="BV46" s="23"/>
      <c r="BW46" s="24"/>
      <c r="BX46" s="5"/>
      <c r="BY46" s="5"/>
      <c r="BZ46" s="5"/>
      <c r="CA46" s="24"/>
      <c r="CB46" s="24"/>
      <c r="CC46" s="24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>
        <f t="shared" si="4"/>
        <v>130</v>
      </c>
      <c r="CV46" s="25">
        <f t="shared" si="5"/>
        <v>0</v>
      </c>
      <c r="CW46" s="26"/>
      <c r="CX46" s="5"/>
      <c r="CY46" s="5"/>
    </row>
    <row r="47" spans="1:103" x14ac:dyDescent="0.2">
      <c r="A47" s="161"/>
      <c r="B47" s="162"/>
      <c r="C47" s="163"/>
      <c r="D47" s="164"/>
      <c r="E47" s="165"/>
      <c r="F47" s="166"/>
      <c r="G47" s="167"/>
      <c r="H47" s="168"/>
      <c r="I47" s="168"/>
      <c r="J47" s="169"/>
      <c r="K47" s="170"/>
      <c r="L47" s="171"/>
      <c r="M47" s="172">
        <f>SUM(M46:M46)</f>
        <v>130</v>
      </c>
      <c r="N47" s="172">
        <f>M47+M45+M43+M41+M39+M30+M27+M25+M23+M21+M18+M16</f>
        <v>21205.23</v>
      </c>
      <c r="O47" s="173" t="s">
        <v>137</v>
      </c>
      <c r="P47" s="172">
        <f>SUM(P46:P46)</f>
        <v>0</v>
      </c>
      <c r="Q47" s="172">
        <f>SUM(Q46:Q46)</f>
        <v>0</v>
      </c>
      <c r="R47" s="164"/>
      <c r="S47" s="172">
        <f t="shared" ref="S47:AD47" si="68">SUM(S46:S46)</f>
        <v>0</v>
      </c>
      <c r="T47" s="172">
        <f t="shared" si="68"/>
        <v>0</v>
      </c>
      <c r="U47" s="172">
        <f t="shared" si="68"/>
        <v>0</v>
      </c>
      <c r="V47" s="172">
        <f t="shared" si="68"/>
        <v>0</v>
      </c>
      <c r="W47" s="172">
        <f t="shared" si="68"/>
        <v>0</v>
      </c>
      <c r="X47" s="172">
        <f t="shared" si="68"/>
        <v>0</v>
      </c>
      <c r="Y47" s="172">
        <f t="shared" si="68"/>
        <v>0</v>
      </c>
      <c r="Z47" s="172">
        <f t="shared" si="68"/>
        <v>0</v>
      </c>
      <c r="AA47" s="172">
        <f t="shared" si="68"/>
        <v>0</v>
      </c>
      <c r="AB47" s="172">
        <f t="shared" si="68"/>
        <v>0</v>
      </c>
      <c r="AC47" s="172">
        <f t="shared" si="68"/>
        <v>0</v>
      </c>
      <c r="AD47" s="172">
        <f t="shared" si="68"/>
        <v>0</v>
      </c>
      <c r="AE47" s="164"/>
      <c r="AF47" s="172">
        <f>SUM(AF46:AF46)</f>
        <v>0</v>
      </c>
      <c r="AG47" s="164"/>
      <c r="AH47" s="172">
        <f t="shared" ref="AH47:AZ47" si="69">SUM(AH46:AH46)</f>
        <v>0</v>
      </c>
      <c r="AI47" s="172">
        <f t="shared" si="69"/>
        <v>0</v>
      </c>
      <c r="AJ47" s="172">
        <f t="shared" si="69"/>
        <v>0</v>
      </c>
      <c r="AK47" s="172">
        <f t="shared" si="69"/>
        <v>0</v>
      </c>
      <c r="AL47" s="172">
        <f t="shared" si="69"/>
        <v>0</v>
      </c>
      <c r="AM47" s="172">
        <f t="shared" si="69"/>
        <v>0</v>
      </c>
      <c r="AN47" s="172">
        <f t="shared" si="69"/>
        <v>0</v>
      </c>
      <c r="AO47" s="172">
        <f t="shared" si="69"/>
        <v>0</v>
      </c>
      <c r="AP47" s="172">
        <f t="shared" si="69"/>
        <v>0</v>
      </c>
      <c r="AQ47" s="172">
        <f t="shared" si="69"/>
        <v>0</v>
      </c>
      <c r="AR47" s="172">
        <f t="shared" si="69"/>
        <v>0</v>
      </c>
      <c r="AS47" s="172">
        <f t="shared" si="69"/>
        <v>0</v>
      </c>
      <c r="AT47" s="172">
        <f t="shared" si="69"/>
        <v>0</v>
      </c>
      <c r="AU47" s="172">
        <f t="shared" si="69"/>
        <v>0</v>
      </c>
      <c r="AV47" s="172">
        <f t="shared" si="69"/>
        <v>0</v>
      </c>
      <c r="AW47" s="172">
        <f t="shared" si="69"/>
        <v>0</v>
      </c>
      <c r="AX47" s="172">
        <f t="shared" si="69"/>
        <v>0</v>
      </c>
      <c r="AY47" s="172">
        <f t="shared" si="69"/>
        <v>0</v>
      </c>
      <c r="AZ47" s="172">
        <f t="shared" si="69"/>
        <v>0</v>
      </c>
      <c r="BA47" s="164"/>
      <c r="BB47" s="172">
        <f t="shared" ref="BB47:CT47" si="70">SUM(BB46:BB46)</f>
        <v>0</v>
      </c>
      <c r="BC47" s="172">
        <f>SUM(BC46:BC46)</f>
        <v>130</v>
      </c>
      <c r="BD47" s="172">
        <f t="shared" si="70"/>
        <v>0</v>
      </c>
      <c r="BE47" s="172">
        <f t="shared" si="70"/>
        <v>0</v>
      </c>
      <c r="BF47" s="172">
        <f t="shared" si="70"/>
        <v>0</v>
      </c>
      <c r="BG47" s="172">
        <f t="shared" si="70"/>
        <v>0</v>
      </c>
      <c r="BH47" s="172">
        <f t="shared" si="70"/>
        <v>0</v>
      </c>
      <c r="BI47" s="172">
        <f t="shared" si="70"/>
        <v>0</v>
      </c>
      <c r="BJ47" s="172">
        <f t="shared" si="70"/>
        <v>0</v>
      </c>
      <c r="BK47" s="172">
        <f t="shared" si="70"/>
        <v>0</v>
      </c>
      <c r="BL47" s="172">
        <f t="shared" si="70"/>
        <v>0</v>
      </c>
      <c r="BM47" s="172">
        <f t="shared" si="70"/>
        <v>0</v>
      </c>
      <c r="BN47" s="172">
        <f t="shared" si="70"/>
        <v>0</v>
      </c>
      <c r="BO47" s="172">
        <f t="shared" si="70"/>
        <v>0</v>
      </c>
      <c r="BP47" s="172">
        <f t="shared" si="70"/>
        <v>0</v>
      </c>
      <c r="BQ47" s="172">
        <f t="shared" si="70"/>
        <v>0</v>
      </c>
      <c r="BR47" s="172">
        <f t="shared" si="70"/>
        <v>0</v>
      </c>
      <c r="BS47" s="172">
        <f t="shared" si="70"/>
        <v>0</v>
      </c>
      <c r="BT47" s="172">
        <f t="shared" si="70"/>
        <v>0</v>
      </c>
      <c r="BU47" s="172">
        <f t="shared" si="70"/>
        <v>0</v>
      </c>
      <c r="BV47" s="172">
        <f t="shared" si="70"/>
        <v>0</v>
      </c>
      <c r="BW47" s="172">
        <f t="shared" si="70"/>
        <v>0</v>
      </c>
      <c r="BX47" s="172">
        <f t="shared" si="70"/>
        <v>0</v>
      </c>
      <c r="BY47" s="172">
        <f t="shared" si="70"/>
        <v>0</v>
      </c>
      <c r="BZ47" s="172">
        <f t="shared" si="70"/>
        <v>0</v>
      </c>
      <c r="CA47" s="172">
        <f t="shared" si="70"/>
        <v>0</v>
      </c>
      <c r="CB47" s="172">
        <f t="shared" si="70"/>
        <v>0</v>
      </c>
      <c r="CC47" s="172">
        <f t="shared" si="70"/>
        <v>0</v>
      </c>
      <c r="CD47" s="172">
        <f t="shared" si="70"/>
        <v>0</v>
      </c>
      <c r="CE47" s="172">
        <f t="shared" si="70"/>
        <v>0</v>
      </c>
      <c r="CF47" s="172">
        <f t="shared" si="70"/>
        <v>0</v>
      </c>
      <c r="CG47" s="172">
        <f t="shared" si="70"/>
        <v>0</v>
      </c>
      <c r="CH47" s="172">
        <f t="shared" si="70"/>
        <v>0</v>
      </c>
      <c r="CI47" s="172">
        <f t="shared" si="70"/>
        <v>0</v>
      </c>
      <c r="CJ47" s="172">
        <f t="shared" si="70"/>
        <v>0</v>
      </c>
      <c r="CK47" s="172">
        <f t="shared" si="70"/>
        <v>0</v>
      </c>
      <c r="CL47" s="172">
        <f t="shared" si="70"/>
        <v>0</v>
      </c>
      <c r="CM47" s="172">
        <f t="shared" si="70"/>
        <v>0</v>
      </c>
      <c r="CN47" s="172">
        <f t="shared" si="70"/>
        <v>0</v>
      </c>
      <c r="CO47" s="172">
        <f t="shared" si="70"/>
        <v>0</v>
      </c>
      <c r="CP47" s="172">
        <f t="shared" si="70"/>
        <v>0</v>
      </c>
      <c r="CQ47" s="172">
        <f t="shared" si="70"/>
        <v>0</v>
      </c>
      <c r="CR47" s="172">
        <f t="shared" si="70"/>
        <v>0</v>
      </c>
      <c r="CS47" s="172">
        <f t="shared" si="70"/>
        <v>0</v>
      </c>
      <c r="CT47" s="172">
        <f t="shared" si="70"/>
        <v>0</v>
      </c>
      <c r="CU47" s="17">
        <f t="shared" si="4"/>
        <v>130</v>
      </c>
      <c r="CV47" s="25">
        <f t="shared" si="5"/>
        <v>0</v>
      </c>
      <c r="CW47" s="176"/>
      <c r="CX47" s="164"/>
      <c r="CY47" s="164"/>
    </row>
    <row r="48" spans="1:103" x14ac:dyDescent="0.2">
      <c r="A48" s="2">
        <v>45873</v>
      </c>
      <c r="B48" s="3" t="s">
        <v>121</v>
      </c>
      <c r="C48" s="4" t="s">
        <v>486</v>
      </c>
      <c r="D48" s="5" t="s">
        <v>122</v>
      </c>
      <c r="E48" s="6" t="s">
        <v>123</v>
      </c>
      <c r="F48" s="7" t="s">
        <v>124</v>
      </c>
      <c r="G48" s="8" t="s">
        <v>125</v>
      </c>
      <c r="H48" s="9" t="s">
        <v>126</v>
      </c>
      <c r="I48" s="10"/>
      <c r="J48" s="11" t="s">
        <v>127</v>
      </c>
      <c r="K48" s="12">
        <v>1</v>
      </c>
      <c r="L48" s="13">
        <v>56</v>
      </c>
      <c r="M48" s="14">
        <f t="shared" ref="M48" si="71">L48*K48</f>
        <v>56</v>
      </c>
      <c r="N48" s="15"/>
      <c r="O48" s="16" t="s">
        <v>111</v>
      </c>
      <c r="P48" s="17">
        <f>M48/1.12*0.02</f>
        <v>0.99999999999999989</v>
      </c>
      <c r="Q48" s="18">
        <f>M48/1.12*0.12</f>
        <v>5.9999999999999991</v>
      </c>
      <c r="R48" s="5"/>
      <c r="S48" s="19"/>
      <c r="T48" s="19"/>
      <c r="U48" s="19"/>
      <c r="V48" s="19"/>
      <c r="W48" s="17"/>
      <c r="X48" s="20"/>
      <c r="Y48" s="19"/>
      <c r="Z48" s="19"/>
      <c r="AA48" s="19"/>
      <c r="AB48" s="19"/>
      <c r="AC48" s="19"/>
      <c r="AD48" s="19"/>
      <c r="AE48" s="5"/>
      <c r="AF48" s="19"/>
      <c r="AG48" s="5"/>
      <c r="AH48" s="17"/>
      <c r="AI48" s="19"/>
      <c r="AJ48" s="19"/>
      <c r="AK48" s="19"/>
      <c r="AL48" s="19"/>
      <c r="AM48" s="17"/>
      <c r="AN48" s="19"/>
      <c r="AO48" s="19"/>
      <c r="AP48" s="19"/>
      <c r="AQ48" s="19"/>
      <c r="AR48" s="19"/>
      <c r="AS48" s="21"/>
      <c r="AT48" s="5"/>
      <c r="AU48" s="19"/>
      <c r="AV48" s="5"/>
      <c r="AW48" s="22"/>
      <c r="AX48" s="19"/>
      <c r="AY48" s="5"/>
      <c r="AZ48" s="19"/>
      <c r="BA48" s="5"/>
      <c r="BB48" s="5"/>
      <c r="BC48" s="19"/>
      <c r="BD48" s="19"/>
      <c r="BE48" s="19"/>
      <c r="BF48" s="19"/>
      <c r="BG48" s="19"/>
      <c r="BH48" s="19"/>
      <c r="BI48" s="19"/>
      <c r="BJ48" s="19"/>
      <c r="BK48" s="13"/>
      <c r="BL48" s="5"/>
      <c r="BM48" s="5"/>
      <c r="BN48" s="19"/>
      <c r="BO48" s="17"/>
      <c r="BP48" s="19"/>
      <c r="BQ48" s="17"/>
      <c r="BR48" s="19"/>
      <c r="BS48" s="17">
        <f>M48+P48-Q48</f>
        <v>51</v>
      </c>
      <c r="BT48" s="5"/>
      <c r="BU48" s="23"/>
      <c r="BV48" s="23"/>
      <c r="BW48" s="24"/>
      <c r="BX48" s="5"/>
      <c r="BY48" s="5"/>
      <c r="BZ48" s="5"/>
      <c r="CA48" s="24"/>
      <c r="CB48" s="24"/>
      <c r="CC48" s="24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>
        <f t="shared" si="4"/>
        <v>56</v>
      </c>
      <c r="CV48" s="25">
        <f t="shared" si="5"/>
        <v>0</v>
      </c>
      <c r="CW48" s="26"/>
      <c r="CX48" s="5"/>
      <c r="CY48" s="5"/>
    </row>
    <row r="49" spans="1:103" x14ac:dyDescent="0.2">
      <c r="A49" s="27"/>
      <c r="B49" s="28"/>
      <c r="C49" s="29"/>
      <c r="D49" s="30"/>
      <c r="E49" s="31"/>
      <c r="F49" s="32"/>
      <c r="G49" s="33"/>
      <c r="H49" s="34"/>
      <c r="I49" s="34"/>
      <c r="J49" s="35"/>
      <c r="K49" s="36"/>
      <c r="L49" s="37"/>
      <c r="M49" s="38">
        <f>SUM(M48:M48)</f>
        <v>56</v>
      </c>
      <c r="N49" s="38"/>
      <c r="O49" s="39" t="s">
        <v>111</v>
      </c>
      <c r="P49" s="38">
        <f>SUM(P48:P48)</f>
        <v>0.99999999999999989</v>
      </c>
      <c r="Q49" s="38">
        <f>SUM(Q48:Q48)</f>
        <v>5.9999999999999991</v>
      </c>
      <c r="R49" s="38">
        <f>SUM(R48:R48)</f>
        <v>0</v>
      </c>
      <c r="S49" s="38">
        <f t="shared" ref="S49:AD49" si="72">SUM(S48:S48)</f>
        <v>0</v>
      </c>
      <c r="T49" s="38">
        <f t="shared" si="72"/>
        <v>0</v>
      </c>
      <c r="U49" s="38">
        <f t="shared" si="72"/>
        <v>0</v>
      </c>
      <c r="V49" s="38">
        <f t="shared" si="72"/>
        <v>0</v>
      </c>
      <c r="W49" s="38">
        <f t="shared" si="72"/>
        <v>0</v>
      </c>
      <c r="X49" s="38">
        <f t="shared" si="72"/>
        <v>0</v>
      </c>
      <c r="Y49" s="38">
        <f t="shared" si="72"/>
        <v>0</v>
      </c>
      <c r="Z49" s="38">
        <f t="shared" si="72"/>
        <v>0</v>
      </c>
      <c r="AA49" s="38">
        <f t="shared" si="72"/>
        <v>0</v>
      </c>
      <c r="AB49" s="38">
        <f t="shared" si="72"/>
        <v>0</v>
      </c>
      <c r="AC49" s="38">
        <f t="shared" si="72"/>
        <v>0</v>
      </c>
      <c r="AD49" s="38">
        <f t="shared" si="72"/>
        <v>0</v>
      </c>
      <c r="AE49" s="30"/>
      <c r="AF49" s="38">
        <f>SUM(AF48:AF48)</f>
        <v>0</v>
      </c>
      <c r="AG49" s="30"/>
      <c r="AH49" s="38">
        <f t="shared" ref="AH49:AZ49" si="73">SUM(AH48:AH48)</f>
        <v>0</v>
      </c>
      <c r="AI49" s="38">
        <f t="shared" si="73"/>
        <v>0</v>
      </c>
      <c r="AJ49" s="38">
        <f t="shared" si="73"/>
        <v>0</v>
      </c>
      <c r="AK49" s="38">
        <f t="shared" si="73"/>
        <v>0</v>
      </c>
      <c r="AL49" s="38">
        <f t="shared" si="73"/>
        <v>0</v>
      </c>
      <c r="AM49" s="38">
        <f t="shared" si="73"/>
        <v>0</v>
      </c>
      <c r="AN49" s="38">
        <f t="shared" si="73"/>
        <v>0</v>
      </c>
      <c r="AO49" s="38">
        <f t="shared" si="73"/>
        <v>0</v>
      </c>
      <c r="AP49" s="38">
        <f t="shared" si="73"/>
        <v>0</v>
      </c>
      <c r="AQ49" s="38">
        <f t="shared" si="73"/>
        <v>0</v>
      </c>
      <c r="AR49" s="38">
        <f t="shared" si="73"/>
        <v>0</v>
      </c>
      <c r="AS49" s="38">
        <f t="shared" si="73"/>
        <v>0</v>
      </c>
      <c r="AT49" s="38">
        <f t="shared" si="73"/>
        <v>0</v>
      </c>
      <c r="AU49" s="38">
        <f t="shared" si="73"/>
        <v>0</v>
      </c>
      <c r="AV49" s="38">
        <f t="shared" si="73"/>
        <v>0</v>
      </c>
      <c r="AW49" s="38">
        <f t="shared" si="73"/>
        <v>0</v>
      </c>
      <c r="AX49" s="38">
        <f t="shared" si="73"/>
        <v>0</v>
      </c>
      <c r="AY49" s="38">
        <f t="shared" si="73"/>
        <v>0</v>
      </c>
      <c r="AZ49" s="38">
        <f t="shared" si="73"/>
        <v>0</v>
      </c>
      <c r="BA49" s="30"/>
      <c r="BB49" s="38">
        <f t="shared" ref="BB49:CT49" si="74">SUM(BB48:BB48)</f>
        <v>0</v>
      </c>
      <c r="BC49" s="38">
        <f t="shared" si="74"/>
        <v>0</v>
      </c>
      <c r="BD49" s="38">
        <f t="shared" si="74"/>
        <v>0</v>
      </c>
      <c r="BE49" s="38">
        <f t="shared" si="74"/>
        <v>0</v>
      </c>
      <c r="BF49" s="38">
        <f t="shared" si="74"/>
        <v>0</v>
      </c>
      <c r="BG49" s="38">
        <f t="shared" si="74"/>
        <v>0</v>
      </c>
      <c r="BH49" s="38">
        <f t="shared" si="74"/>
        <v>0</v>
      </c>
      <c r="BI49" s="38">
        <f t="shared" si="74"/>
        <v>0</v>
      </c>
      <c r="BJ49" s="38">
        <f t="shared" si="74"/>
        <v>0</v>
      </c>
      <c r="BK49" s="38">
        <f t="shared" si="74"/>
        <v>0</v>
      </c>
      <c r="BL49" s="38">
        <f t="shared" si="74"/>
        <v>0</v>
      </c>
      <c r="BM49" s="38">
        <f t="shared" si="74"/>
        <v>0</v>
      </c>
      <c r="BN49" s="38">
        <f t="shared" si="74"/>
        <v>0</v>
      </c>
      <c r="BO49" s="38">
        <f t="shared" si="74"/>
        <v>0</v>
      </c>
      <c r="BP49" s="38">
        <f t="shared" si="74"/>
        <v>0</v>
      </c>
      <c r="BQ49" s="38">
        <f t="shared" si="74"/>
        <v>0</v>
      </c>
      <c r="BR49" s="38">
        <f t="shared" si="74"/>
        <v>0</v>
      </c>
      <c r="BS49" s="38">
        <f>SUM(BS48:BS48)</f>
        <v>51</v>
      </c>
      <c r="BT49" s="38">
        <f t="shared" si="74"/>
        <v>0</v>
      </c>
      <c r="BU49" s="38">
        <f t="shared" si="74"/>
        <v>0</v>
      </c>
      <c r="BV49" s="38">
        <f t="shared" si="74"/>
        <v>0</v>
      </c>
      <c r="BW49" s="38">
        <f t="shared" si="74"/>
        <v>0</v>
      </c>
      <c r="BX49" s="38">
        <f t="shared" si="74"/>
        <v>0</v>
      </c>
      <c r="BY49" s="38">
        <f t="shared" si="74"/>
        <v>0</v>
      </c>
      <c r="BZ49" s="38">
        <f t="shared" si="74"/>
        <v>0</v>
      </c>
      <c r="CA49" s="38">
        <f t="shared" si="74"/>
        <v>0</v>
      </c>
      <c r="CB49" s="38">
        <f t="shared" si="74"/>
        <v>0</v>
      </c>
      <c r="CC49" s="38">
        <f t="shared" si="74"/>
        <v>0</v>
      </c>
      <c r="CD49" s="38">
        <f t="shared" si="74"/>
        <v>0</v>
      </c>
      <c r="CE49" s="38">
        <f t="shared" si="74"/>
        <v>0</v>
      </c>
      <c r="CF49" s="38">
        <f t="shared" si="74"/>
        <v>0</v>
      </c>
      <c r="CG49" s="38">
        <f t="shared" si="74"/>
        <v>0</v>
      </c>
      <c r="CH49" s="38">
        <f t="shared" si="74"/>
        <v>0</v>
      </c>
      <c r="CI49" s="38">
        <f t="shared" si="74"/>
        <v>0</v>
      </c>
      <c r="CJ49" s="38">
        <f t="shared" si="74"/>
        <v>0</v>
      </c>
      <c r="CK49" s="38">
        <f t="shared" si="74"/>
        <v>0</v>
      </c>
      <c r="CL49" s="38">
        <f t="shared" si="74"/>
        <v>0</v>
      </c>
      <c r="CM49" s="38">
        <f t="shared" si="74"/>
        <v>0</v>
      </c>
      <c r="CN49" s="38">
        <f t="shared" si="74"/>
        <v>0</v>
      </c>
      <c r="CO49" s="38">
        <f t="shared" si="74"/>
        <v>0</v>
      </c>
      <c r="CP49" s="38">
        <f t="shared" si="74"/>
        <v>0</v>
      </c>
      <c r="CQ49" s="38">
        <f t="shared" si="74"/>
        <v>0</v>
      </c>
      <c r="CR49" s="38">
        <f t="shared" si="74"/>
        <v>0</v>
      </c>
      <c r="CS49" s="38">
        <f t="shared" si="74"/>
        <v>0</v>
      </c>
      <c r="CT49" s="38">
        <f t="shared" si="74"/>
        <v>0</v>
      </c>
      <c r="CU49" s="17">
        <f t="shared" si="4"/>
        <v>56</v>
      </c>
      <c r="CV49" s="25">
        <f t="shared" si="5"/>
        <v>0</v>
      </c>
      <c r="CW49" s="40"/>
      <c r="CX49" s="30"/>
      <c r="CY49" s="30"/>
    </row>
    <row r="50" spans="1:103" x14ac:dyDescent="0.2">
      <c r="A50" s="2">
        <v>45873</v>
      </c>
      <c r="B50" s="3" t="s">
        <v>121</v>
      </c>
      <c r="C50" s="4" t="s">
        <v>487</v>
      </c>
      <c r="D50" s="5" t="s">
        <v>122</v>
      </c>
      <c r="E50" s="6" t="s">
        <v>123</v>
      </c>
      <c r="F50" s="7" t="s">
        <v>124</v>
      </c>
      <c r="G50" s="8" t="s">
        <v>125</v>
      </c>
      <c r="H50" s="9" t="s">
        <v>128</v>
      </c>
      <c r="I50" s="10"/>
      <c r="J50" s="11" t="s">
        <v>127</v>
      </c>
      <c r="K50" s="12">
        <v>1</v>
      </c>
      <c r="L50" s="13">
        <v>56</v>
      </c>
      <c r="M50" s="14">
        <f t="shared" ref="M50" si="75">L50*K50</f>
        <v>56</v>
      </c>
      <c r="N50" s="15"/>
      <c r="O50" s="16" t="s">
        <v>111</v>
      </c>
      <c r="P50" s="17">
        <f>M50/1.12*0.02</f>
        <v>0.99999999999999989</v>
      </c>
      <c r="Q50" s="18">
        <f>M50/1.12*0.12</f>
        <v>5.9999999999999991</v>
      </c>
      <c r="R50" s="5"/>
      <c r="S50" s="19"/>
      <c r="T50" s="19"/>
      <c r="U50" s="19"/>
      <c r="V50" s="19"/>
      <c r="W50" s="17"/>
      <c r="X50" s="20"/>
      <c r="Y50" s="19"/>
      <c r="Z50" s="19"/>
      <c r="AA50" s="19"/>
      <c r="AB50" s="19"/>
      <c r="AC50" s="19"/>
      <c r="AD50" s="19"/>
      <c r="AE50" s="5"/>
      <c r="AF50" s="19"/>
      <c r="AG50" s="5"/>
      <c r="AH50" s="17"/>
      <c r="AI50" s="19"/>
      <c r="AJ50" s="19"/>
      <c r="AK50" s="19"/>
      <c r="AL50" s="19"/>
      <c r="AM50" s="17"/>
      <c r="AN50" s="19"/>
      <c r="AO50" s="19"/>
      <c r="AP50" s="19"/>
      <c r="AQ50" s="19"/>
      <c r="AR50" s="19"/>
      <c r="AS50" s="21"/>
      <c r="AT50" s="5"/>
      <c r="AU50" s="19"/>
      <c r="AV50" s="5"/>
      <c r="AW50" s="22"/>
      <c r="AX50" s="19"/>
      <c r="AY50" s="5"/>
      <c r="AZ50" s="19"/>
      <c r="BA50" s="5"/>
      <c r="BB50" s="5"/>
      <c r="BC50" s="19"/>
      <c r="BD50" s="19"/>
      <c r="BE50" s="19"/>
      <c r="BF50" s="19"/>
      <c r="BG50" s="19"/>
      <c r="BH50" s="19"/>
      <c r="BI50" s="19"/>
      <c r="BJ50" s="19"/>
      <c r="BK50" s="13"/>
      <c r="BL50" s="5"/>
      <c r="BM50" s="5"/>
      <c r="BN50" s="19"/>
      <c r="BO50" s="17"/>
      <c r="BP50" s="19"/>
      <c r="BQ50" s="17"/>
      <c r="BR50" s="19"/>
      <c r="BS50" s="17">
        <f>M50+P50-Q50</f>
        <v>51</v>
      </c>
      <c r="BT50" s="5"/>
      <c r="BU50" s="23"/>
      <c r="BV50" s="23"/>
      <c r="BW50" s="24"/>
      <c r="BX50" s="5"/>
      <c r="BY50" s="5"/>
      <c r="BZ50" s="5"/>
      <c r="CA50" s="24"/>
      <c r="CB50" s="24"/>
      <c r="CC50" s="24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>
        <f t="shared" si="4"/>
        <v>56</v>
      </c>
      <c r="CV50" s="25">
        <f t="shared" si="5"/>
        <v>0</v>
      </c>
      <c r="CW50" s="26"/>
      <c r="CX50" s="5"/>
      <c r="CY50" s="5"/>
    </row>
    <row r="51" spans="1:103" x14ac:dyDescent="0.2">
      <c r="A51" s="27"/>
      <c r="B51" s="28"/>
      <c r="C51" s="29"/>
      <c r="D51" s="30"/>
      <c r="E51" s="31"/>
      <c r="F51" s="32"/>
      <c r="G51" s="33"/>
      <c r="H51" s="34"/>
      <c r="I51" s="34"/>
      <c r="J51" s="35"/>
      <c r="K51" s="36"/>
      <c r="L51" s="37"/>
      <c r="M51" s="38">
        <f>SUM(M50:M50)</f>
        <v>56</v>
      </c>
      <c r="N51" s="38"/>
      <c r="O51" s="39" t="s">
        <v>111</v>
      </c>
      <c r="P51" s="38">
        <f>SUM(P50:P50)</f>
        <v>0.99999999999999989</v>
      </c>
      <c r="Q51" s="38">
        <f>SUM(Q50:Q50)</f>
        <v>5.9999999999999991</v>
      </c>
      <c r="R51" s="38">
        <f>SUM(R50:R50)</f>
        <v>0</v>
      </c>
      <c r="S51" s="38">
        <f t="shared" ref="S51:AD51" si="76">SUM(S50:S50)</f>
        <v>0</v>
      </c>
      <c r="T51" s="38">
        <f t="shared" si="76"/>
        <v>0</v>
      </c>
      <c r="U51" s="38">
        <f t="shared" si="76"/>
        <v>0</v>
      </c>
      <c r="V51" s="38">
        <f t="shared" si="76"/>
        <v>0</v>
      </c>
      <c r="W51" s="38">
        <f t="shared" si="76"/>
        <v>0</v>
      </c>
      <c r="X51" s="38">
        <f t="shared" si="76"/>
        <v>0</v>
      </c>
      <c r="Y51" s="38">
        <f t="shared" si="76"/>
        <v>0</v>
      </c>
      <c r="Z51" s="38">
        <f t="shared" si="76"/>
        <v>0</v>
      </c>
      <c r="AA51" s="38">
        <f t="shared" si="76"/>
        <v>0</v>
      </c>
      <c r="AB51" s="38">
        <f t="shared" si="76"/>
        <v>0</v>
      </c>
      <c r="AC51" s="38">
        <f t="shared" si="76"/>
        <v>0</v>
      </c>
      <c r="AD51" s="38">
        <f t="shared" si="76"/>
        <v>0</v>
      </c>
      <c r="AE51" s="30"/>
      <c r="AF51" s="38">
        <f>SUM(AF50:AF50)</f>
        <v>0</v>
      </c>
      <c r="AG51" s="30"/>
      <c r="AH51" s="38">
        <f t="shared" ref="AH51:AZ51" si="77">SUM(AH50:AH50)</f>
        <v>0</v>
      </c>
      <c r="AI51" s="38">
        <f t="shared" si="77"/>
        <v>0</v>
      </c>
      <c r="AJ51" s="38">
        <f t="shared" si="77"/>
        <v>0</v>
      </c>
      <c r="AK51" s="38">
        <f t="shared" si="77"/>
        <v>0</v>
      </c>
      <c r="AL51" s="38">
        <f t="shared" si="77"/>
        <v>0</v>
      </c>
      <c r="AM51" s="38">
        <f t="shared" si="77"/>
        <v>0</v>
      </c>
      <c r="AN51" s="38">
        <f t="shared" si="77"/>
        <v>0</v>
      </c>
      <c r="AO51" s="38">
        <f t="shared" si="77"/>
        <v>0</v>
      </c>
      <c r="AP51" s="38">
        <f t="shared" si="77"/>
        <v>0</v>
      </c>
      <c r="AQ51" s="38">
        <f t="shared" si="77"/>
        <v>0</v>
      </c>
      <c r="AR51" s="38">
        <f t="shared" si="77"/>
        <v>0</v>
      </c>
      <c r="AS51" s="38">
        <f t="shared" si="77"/>
        <v>0</v>
      </c>
      <c r="AT51" s="38">
        <f t="shared" si="77"/>
        <v>0</v>
      </c>
      <c r="AU51" s="38">
        <f t="shared" si="77"/>
        <v>0</v>
      </c>
      <c r="AV51" s="38">
        <f t="shared" si="77"/>
        <v>0</v>
      </c>
      <c r="AW51" s="38">
        <f t="shared" si="77"/>
        <v>0</v>
      </c>
      <c r="AX51" s="38">
        <f t="shared" si="77"/>
        <v>0</v>
      </c>
      <c r="AY51" s="38">
        <f t="shared" si="77"/>
        <v>0</v>
      </c>
      <c r="AZ51" s="38">
        <f t="shared" si="77"/>
        <v>0</v>
      </c>
      <c r="BA51" s="30"/>
      <c r="BB51" s="38">
        <f t="shared" ref="BB51:CT51" si="78">SUM(BB50:BB50)</f>
        <v>0</v>
      </c>
      <c r="BC51" s="38">
        <f t="shared" si="78"/>
        <v>0</v>
      </c>
      <c r="BD51" s="38">
        <f t="shared" si="78"/>
        <v>0</v>
      </c>
      <c r="BE51" s="38">
        <f t="shared" si="78"/>
        <v>0</v>
      </c>
      <c r="BF51" s="38">
        <f t="shared" si="78"/>
        <v>0</v>
      </c>
      <c r="BG51" s="38">
        <f t="shared" si="78"/>
        <v>0</v>
      </c>
      <c r="BH51" s="38">
        <f t="shared" si="78"/>
        <v>0</v>
      </c>
      <c r="BI51" s="38">
        <f t="shared" si="78"/>
        <v>0</v>
      </c>
      <c r="BJ51" s="38">
        <f t="shared" si="78"/>
        <v>0</v>
      </c>
      <c r="BK51" s="38">
        <f t="shared" si="78"/>
        <v>0</v>
      </c>
      <c r="BL51" s="38">
        <f t="shared" si="78"/>
        <v>0</v>
      </c>
      <c r="BM51" s="38">
        <f t="shared" si="78"/>
        <v>0</v>
      </c>
      <c r="BN51" s="38">
        <f t="shared" si="78"/>
        <v>0</v>
      </c>
      <c r="BO51" s="38">
        <f t="shared" si="78"/>
        <v>0</v>
      </c>
      <c r="BP51" s="38">
        <f t="shared" si="78"/>
        <v>0</v>
      </c>
      <c r="BQ51" s="38">
        <f t="shared" si="78"/>
        <v>0</v>
      </c>
      <c r="BR51" s="38">
        <f t="shared" si="78"/>
        <v>0</v>
      </c>
      <c r="BS51" s="38">
        <f t="shared" si="78"/>
        <v>51</v>
      </c>
      <c r="BT51" s="38">
        <f t="shared" si="78"/>
        <v>0</v>
      </c>
      <c r="BU51" s="38">
        <f t="shared" si="78"/>
        <v>0</v>
      </c>
      <c r="BV51" s="38">
        <f t="shared" si="78"/>
        <v>0</v>
      </c>
      <c r="BW51" s="38">
        <f t="shared" si="78"/>
        <v>0</v>
      </c>
      <c r="BX51" s="38">
        <f t="shared" si="78"/>
        <v>0</v>
      </c>
      <c r="BY51" s="38">
        <f t="shared" si="78"/>
        <v>0</v>
      </c>
      <c r="BZ51" s="38">
        <f t="shared" si="78"/>
        <v>0</v>
      </c>
      <c r="CA51" s="38">
        <f t="shared" si="78"/>
        <v>0</v>
      </c>
      <c r="CB51" s="38">
        <f t="shared" si="78"/>
        <v>0</v>
      </c>
      <c r="CC51" s="38">
        <f t="shared" si="78"/>
        <v>0</v>
      </c>
      <c r="CD51" s="38">
        <f t="shared" si="78"/>
        <v>0</v>
      </c>
      <c r="CE51" s="38">
        <f t="shared" si="78"/>
        <v>0</v>
      </c>
      <c r="CF51" s="38">
        <f t="shared" si="78"/>
        <v>0</v>
      </c>
      <c r="CG51" s="38">
        <f t="shared" si="78"/>
        <v>0</v>
      </c>
      <c r="CH51" s="38">
        <f t="shared" si="78"/>
        <v>0</v>
      </c>
      <c r="CI51" s="38">
        <f t="shared" si="78"/>
        <v>0</v>
      </c>
      <c r="CJ51" s="38">
        <f t="shared" si="78"/>
        <v>0</v>
      </c>
      <c r="CK51" s="38">
        <f t="shared" si="78"/>
        <v>0</v>
      </c>
      <c r="CL51" s="38">
        <f t="shared" si="78"/>
        <v>0</v>
      </c>
      <c r="CM51" s="38">
        <f t="shared" si="78"/>
        <v>0</v>
      </c>
      <c r="CN51" s="38">
        <f t="shared" si="78"/>
        <v>0</v>
      </c>
      <c r="CO51" s="38">
        <f t="shared" si="78"/>
        <v>0</v>
      </c>
      <c r="CP51" s="38">
        <f t="shared" si="78"/>
        <v>0</v>
      </c>
      <c r="CQ51" s="38">
        <f t="shared" si="78"/>
        <v>0</v>
      </c>
      <c r="CR51" s="38">
        <f t="shared" si="78"/>
        <v>0</v>
      </c>
      <c r="CS51" s="38">
        <f t="shared" si="78"/>
        <v>0</v>
      </c>
      <c r="CT51" s="38">
        <f t="shared" si="78"/>
        <v>0</v>
      </c>
      <c r="CU51" s="17">
        <f t="shared" si="4"/>
        <v>56</v>
      </c>
      <c r="CV51" s="25">
        <f t="shared" si="5"/>
        <v>0</v>
      </c>
      <c r="CW51" s="40"/>
      <c r="CX51" s="30"/>
      <c r="CY51" s="30"/>
    </row>
    <row r="52" spans="1:103" x14ac:dyDescent="0.2">
      <c r="A52" s="2">
        <v>45849</v>
      </c>
      <c r="B52" s="3" t="s">
        <v>121</v>
      </c>
      <c r="C52" s="4" t="s">
        <v>488</v>
      </c>
      <c r="D52" s="5" t="s">
        <v>122</v>
      </c>
      <c r="E52" s="6" t="s">
        <v>123</v>
      </c>
      <c r="F52" s="7" t="s">
        <v>124</v>
      </c>
      <c r="G52" s="8" t="s">
        <v>125</v>
      </c>
      <c r="H52" s="9" t="s">
        <v>129</v>
      </c>
      <c r="I52" s="10"/>
      <c r="J52" s="11" t="s">
        <v>127</v>
      </c>
      <c r="K52" s="12">
        <v>1</v>
      </c>
      <c r="L52" s="13">
        <v>56</v>
      </c>
      <c r="M52" s="14">
        <f t="shared" ref="M52" si="79">L52*K52</f>
        <v>56</v>
      </c>
      <c r="N52" s="15"/>
      <c r="O52" s="16" t="s">
        <v>111</v>
      </c>
      <c r="P52" s="17">
        <f>M52/1.12*0.02</f>
        <v>0.99999999999999989</v>
      </c>
      <c r="Q52" s="18">
        <f>M52/1.12*0.12</f>
        <v>5.9999999999999991</v>
      </c>
      <c r="R52" s="5"/>
      <c r="S52" s="19"/>
      <c r="T52" s="19"/>
      <c r="U52" s="19"/>
      <c r="V52" s="19"/>
      <c r="W52" s="17"/>
      <c r="X52" s="20"/>
      <c r="Y52" s="19"/>
      <c r="Z52" s="19"/>
      <c r="AA52" s="19"/>
      <c r="AB52" s="19"/>
      <c r="AC52" s="19"/>
      <c r="AD52" s="19"/>
      <c r="AE52" s="5"/>
      <c r="AF52" s="19"/>
      <c r="AG52" s="5"/>
      <c r="AH52" s="17"/>
      <c r="AI52" s="19"/>
      <c r="AJ52" s="19"/>
      <c r="AK52" s="19"/>
      <c r="AL52" s="19"/>
      <c r="AM52" s="17"/>
      <c r="AN52" s="19"/>
      <c r="AO52" s="19"/>
      <c r="AP52" s="19"/>
      <c r="AQ52" s="19"/>
      <c r="AR52" s="19"/>
      <c r="AS52" s="21"/>
      <c r="AT52" s="5"/>
      <c r="AU52" s="19"/>
      <c r="AV52" s="5"/>
      <c r="AW52" s="22"/>
      <c r="AX52" s="19"/>
      <c r="AY52" s="5"/>
      <c r="AZ52" s="19"/>
      <c r="BA52" s="5"/>
      <c r="BB52" s="5"/>
      <c r="BC52" s="19"/>
      <c r="BD52" s="19"/>
      <c r="BE52" s="19"/>
      <c r="BF52" s="19"/>
      <c r="BG52" s="19"/>
      <c r="BH52" s="19"/>
      <c r="BI52" s="19"/>
      <c r="BJ52" s="19"/>
      <c r="BK52" s="13"/>
      <c r="BL52" s="5"/>
      <c r="BM52" s="5"/>
      <c r="BN52" s="19"/>
      <c r="BO52" s="17"/>
      <c r="BP52" s="19"/>
      <c r="BQ52" s="17"/>
      <c r="BR52" s="19"/>
      <c r="BS52" s="17">
        <f>M52+P52-Q52</f>
        <v>51</v>
      </c>
      <c r="BT52" s="5"/>
      <c r="BU52" s="23"/>
      <c r="BV52" s="23"/>
      <c r="BW52" s="24"/>
      <c r="BX52" s="5"/>
      <c r="BY52" s="5"/>
      <c r="BZ52" s="5"/>
      <c r="CA52" s="24"/>
      <c r="CB52" s="24"/>
      <c r="CC52" s="24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>
        <f t="shared" si="4"/>
        <v>56</v>
      </c>
      <c r="CV52" s="25">
        <f t="shared" si="5"/>
        <v>0</v>
      </c>
      <c r="CW52" s="26"/>
      <c r="CX52" s="5"/>
      <c r="CY52" s="5"/>
    </row>
    <row r="53" spans="1:103" x14ac:dyDescent="0.2">
      <c r="A53" s="27"/>
      <c r="B53" s="28"/>
      <c r="C53" s="29"/>
      <c r="D53" s="30"/>
      <c r="E53" s="31"/>
      <c r="F53" s="32"/>
      <c r="G53" s="33"/>
      <c r="H53" s="34"/>
      <c r="I53" s="34"/>
      <c r="J53" s="35"/>
      <c r="K53" s="36"/>
      <c r="L53" s="37"/>
      <c r="M53" s="38">
        <f>SUM(M52:M52)</f>
        <v>56</v>
      </c>
      <c r="N53" s="38"/>
      <c r="O53" s="39" t="s">
        <v>111</v>
      </c>
      <c r="P53" s="38">
        <f>SUM(P52:P52)</f>
        <v>0.99999999999999989</v>
      </c>
      <c r="Q53" s="38">
        <f>SUM(Q52:Q52)</f>
        <v>5.9999999999999991</v>
      </c>
      <c r="R53" s="38">
        <f>SUM(R52:R52)</f>
        <v>0</v>
      </c>
      <c r="S53" s="38">
        <f t="shared" ref="S53:AD53" si="80">SUM(S52:S52)</f>
        <v>0</v>
      </c>
      <c r="T53" s="38">
        <f t="shared" si="80"/>
        <v>0</v>
      </c>
      <c r="U53" s="38">
        <f t="shared" si="80"/>
        <v>0</v>
      </c>
      <c r="V53" s="38">
        <f t="shared" si="80"/>
        <v>0</v>
      </c>
      <c r="W53" s="38">
        <f t="shared" si="80"/>
        <v>0</v>
      </c>
      <c r="X53" s="38">
        <f t="shared" si="80"/>
        <v>0</v>
      </c>
      <c r="Y53" s="38">
        <f t="shared" si="80"/>
        <v>0</v>
      </c>
      <c r="Z53" s="38">
        <f t="shared" si="80"/>
        <v>0</v>
      </c>
      <c r="AA53" s="38">
        <f t="shared" si="80"/>
        <v>0</v>
      </c>
      <c r="AB53" s="38">
        <f t="shared" si="80"/>
        <v>0</v>
      </c>
      <c r="AC53" s="38">
        <f t="shared" si="80"/>
        <v>0</v>
      </c>
      <c r="AD53" s="38">
        <f t="shared" si="80"/>
        <v>0</v>
      </c>
      <c r="AE53" s="30"/>
      <c r="AF53" s="38">
        <f>SUM(AF52:AF52)</f>
        <v>0</v>
      </c>
      <c r="AG53" s="30"/>
      <c r="AH53" s="38">
        <f t="shared" ref="AH53:AZ53" si="81">SUM(AH52:AH52)</f>
        <v>0</v>
      </c>
      <c r="AI53" s="38">
        <f t="shared" si="81"/>
        <v>0</v>
      </c>
      <c r="AJ53" s="38">
        <f t="shared" si="81"/>
        <v>0</v>
      </c>
      <c r="AK53" s="38">
        <f t="shared" si="81"/>
        <v>0</v>
      </c>
      <c r="AL53" s="38">
        <f t="shared" si="81"/>
        <v>0</v>
      </c>
      <c r="AM53" s="38">
        <f t="shared" si="81"/>
        <v>0</v>
      </c>
      <c r="AN53" s="38">
        <f t="shared" si="81"/>
        <v>0</v>
      </c>
      <c r="AO53" s="38">
        <f t="shared" si="81"/>
        <v>0</v>
      </c>
      <c r="AP53" s="38">
        <f t="shared" si="81"/>
        <v>0</v>
      </c>
      <c r="AQ53" s="38">
        <f t="shared" si="81"/>
        <v>0</v>
      </c>
      <c r="AR53" s="38">
        <f t="shared" si="81"/>
        <v>0</v>
      </c>
      <c r="AS53" s="38">
        <f t="shared" si="81"/>
        <v>0</v>
      </c>
      <c r="AT53" s="38">
        <f t="shared" si="81"/>
        <v>0</v>
      </c>
      <c r="AU53" s="38">
        <f t="shared" si="81"/>
        <v>0</v>
      </c>
      <c r="AV53" s="38">
        <f t="shared" si="81"/>
        <v>0</v>
      </c>
      <c r="AW53" s="38">
        <f t="shared" si="81"/>
        <v>0</v>
      </c>
      <c r="AX53" s="38">
        <f t="shared" si="81"/>
        <v>0</v>
      </c>
      <c r="AY53" s="38">
        <f t="shared" si="81"/>
        <v>0</v>
      </c>
      <c r="AZ53" s="38">
        <f t="shared" si="81"/>
        <v>0</v>
      </c>
      <c r="BA53" s="30"/>
      <c r="BB53" s="38">
        <f t="shared" ref="BB53:CT53" si="82">SUM(BB52:BB52)</f>
        <v>0</v>
      </c>
      <c r="BC53" s="38">
        <f t="shared" si="82"/>
        <v>0</v>
      </c>
      <c r="BD53" s="38">
        <f t="shared" si="82"/>
        <v>0</v>
      </c>
      <c r="BE53" s="38">
        <f t="shared" si="82"/>
        <v>0</v>
      </c>
      <c r="BF53" s="38">
        <f t="shared" si="82"/>
        <v>0</v>
      </c>
      <c r="BG53" s="38">
        <f t="shared" si="82"/>
        <v>0</v>
      </c>
      <c r="BH53" s="38">
        <f t="shared" si="82"/>
        <v>0</v>
      </c>
      <c r="BI53" s="38">
        <f t="shared" si="82"/>
        <v>0</v>
      </c>
      <c r="BJ53" s="38">
        <f t="shared" si="82"/>
        <v>0</v>
      </c>
      <c r="BK53" s="38">
        <f t="shared" si="82"/>
        <v>0</v>
      </c>
      <c r="BL53" s="38">
        <f t="shared" si="82"/>
        <v>0</v>
      </c>
      <c r="BM53" s="38">
        <f t="shared" si="82"/>
        <v>0</v>
      </c>
      <c r="BN53" s="38">
        <f t="shared" si="82"/>
        <v>0</v>
      </c>
      <c r="BO53" s="38">
        <f t="shared" si="82"/>
        <v>0</v>
      </c>
      <c r="BP53" s="38">
        <f t="shared" si="82"/>
        <v>0</v>
      </c>
      <c r="BQ53" s="38">
        <f t="shared" si="82"/>
        <v>0</v>
      </c>
      <c r="BR53" s="38">
        <f t="shared" si="82"/>
        <v>0</v>
      </c>
      <c r="BS53" s="38">
        <f t="shared" si="82"/>
        <v>51</v>
      </c>
      <c r="BT53" s="38">
        <f t="shared" si="82"/>
        <v>0</v>
      </c>
      <c r="BU53" s="38">
        <f t="shared" si="82"/>
        <v>0</v>
      </c>
      <c r="BV53" s="38">
        <f t="shared" si="82"/>
        <v>0</v>
      </c>
      <c r="BW53" s="38">
        <f t="shared" si="82"/>
        <v>0</v>
      </c>
      <c r="BX53" s="38">
        <f t="shared" si="82"/>
        <v>0</v>
      </c>
      <c r="BY53" s="38">
        <f t="shared" si="82"/>
        <v>0</v>
      </c>
      <c r="BZ53" s="38">
        <f t="shared" si="82"/>
        <v>0</v>
      </c>
      <c r="CA53" s="38">
        <f t="shared" si="82"/>
        <v>0</v>
      </c>
      <c r="CB53" s="38">
        <f t="shared" si="82"/>
        <v>0</v>
      </c>
      <c r="CC53" s="38">
        <f t="shared" si="82"/>
        <v>0</v>
      </c>
      <c r="CD53" s="38">
        <f t="shared" si="82"/>
        <v>0</v>
      </c>
      <c r="CE53" s="38">
        <f t="shared" si="82"/>
        <v>0</v>
      </c>
      <c r="CF53" s="38">
        <f t="shared" si="82"/>
        <v>0</v>
      </c>
      <c r="CG53" s="38">
        <f t="shared" si="82"/>
        <v>0</v>
      </c>
      <c r="CH53" s="38">
        <f t="shared" si="82"/>
        <v>0</v>
      </c>
      <c r="CI53" s="38">
        <f t="shared" si="82"/>
        <v>0</v>
      </c>
      <c r="CJ53" s="38">
        <f t="shared" si="82"/>
        <v>0</v>
      </c>
      <c r="CK53" s="38">
        <f t="shared" si="82"/>
        <v>0</v>
      </c>
      <c r="CL53" s="38">
        <f t="shared" si="82"/>
        <v>0</v>
      </c>
      <c r="CM53" s="38">
        <f t="shared" si="82"/>
        <v>0</v>
      </c>
      <c r="CN53" s="38">
        <f t="shared" si="82"/>
        <v>0</v>
      </c>
      <c r="CO53" s="38">
        <f t="shared" si="82"/>
        <v>0</v>
      </c>
      <c r="CP53" s="38">
        <f t="shared" si="82"/>
        <v>0</v>
      </c>
      <c r="CQ53" s="38">
        <f t="shared" si="82"/>
        <v>0</v>
      </c>
      <c r="CR53" s="38">
        <f t="shared" si="82"/>
        <v>0</v>
      </c>
      <c r="CS53" s="38">
        <f t="shared" si="82"/>
        <v>0</v>
      </c>
      <c r="CT53" s="38">
        <f t="shared" si="82"/>
        <v>0</v>
      </c>
      <c r="CU53" s="17">
        <f t="shared" si="4"/>
        <v>56</v>
      </c>
      <c r="CV53" s="25">
        <f t="shared" si="5"/>
        <v>0</v>
      </c>
      <c r="CW53" s="40"/>
      <c r="CX53" s="30"/>
      <c r="CY53" s="30"/>
    </row>
    <row r="54" spans="1:103" x14ac:dyDescent="0.2">
      <c r="A54" s="2">
        <v>45680</v>
      </c>
      <c r="B54" s="3" t="s">
        <v>121</v>
      </c>
      <c r="C54" s="4" t="s">
        <v>489</v>
      </c>
      <c r="D54" s="5" t="s">
        <v>122</v>
      </c>
      <c r="E54" s="6" t="s">
        <v>123</v>
      </c>
      <c r="F54" s="7" t="s">
        <v>124</v>
      </c>
      <c r="G54" s="8" t="s">
        <v>125</v>
      </c>
      <c r="H54" s="9" t="s">
        <v>130</v>
      </c>
      <c r="I54" s="10"/>
      <c r="J54" s="11" t="s">
        <v>127</v>
      </c>
      <c r="K54" s="12">
        <v>1</v>
      </c>
      <c r="L54" s="13">
        <v>56</v>
      </c>
      <c r="M54" s="14">
        <f t="shared" ref="M54" si="83">L54*K54</f>
        <v>56</v>
      </c>
      <c r="N54" s="15"/>
      <c r="O54" s="16" t="s">
        <v>111</v>
      </c>
      <c r="P54" s="17">
        <f>M54/1.12*0.02</f>
        <v>0.99999999999999989</v>
      </c>
      <c r="Q54" s="18">
        <f>M54/1.12*0.12</f>
        <v>5.9999999999999991</v>
      </c>
      <c r="R54" s="5"/>
      <c r="S54" s="19"/>
      <c r="T54" s="19"/>
      <c r="U54" s="19"/>
      <c r="V54" s="19"/>
      <c r="W54" s="17"/>
      <c r="X54" s="20"/>
      <c r="Y54" s="19"/>
      <c r="Z54" s="19"/>
      <c r="AA54" s="19"/>
      <c r="AB54" s="19"/>
      <c r="AC54" s="19"/>
      <c r="AD54" s="19"/>
      <c r="AE54" s="5"/>
      <c r="AF54" s="19"/>
      <c r="AG54" s="5"/>
      <c r="AH54" s="17"/>
      <c r="AI54" s="19"/>
      <c r="AJ54" s="19"/>
      <c r="AK54" s="19"/>
      <c r="AL54" s="19"/>
      <c r="AM54" s="17"/>
      <c r="AN54" s="19"/>
      <c r="AO54" s="19"/>
      <c r="AP54" s="19"/>
      <c r="AQ54" s="19"/>
      <c r="AR54" s="19"/>
      <c r="AS54" s="21"/>
      <c r="AT54" s="5"/>
      <c r="AU54" s="19"/>
      <c r="AV54" s="5"/>
      <c r="AW54" s="22"/>
      <c r="AX54" s="19"/>
      <c r="AY54" s="5"/>
      <c r="AZ54" s="19"/>
      <c r="BA54" s="5"/>
      <c r="BB54" s="5"/>
      <c r="BC54" s="19"/>
      <c r="BD54" s="19"/>
      <c r="BE54" s="19"/>
      <c r="BF54" s="19"/>
      <c r="BG54" s="19"/>
      <c r="BH54" s="19"/>
      <c r="BI54" s="19"/>
      <c r="BJ54" s="19"/>
      <c r="BK54" s="13"/>
      <c r="BL54" s="5"/>
      <c r="BM54" s="5"/>
      <c r="BN54" s="19"/>
      <c r="BO54" s="17"/>
      <c r="BP54" s="19"/>
      <c r="BQ54" s="17"/>
      <c r="BR54" s="19"/>
      <c r="BS54" s="17">
        <f>M54+P54-Q54</f>
        <v>51</v>
      </c>
      <c r="BT54" s="5"/>
      <c r="BU54" s="23"/>
      <c r="BV54" s="23"/>
      <c r="BW54" s="24"/>
      <c r="BX54" s="5"/>
      <c r="BY54" s="5"/>
      <c r="BZ54" s="5"/>
      <c r="CA54" s="24"/>
      <c r="CB54" s="24"/>
      <c r="CC54" s="24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>
        <f t="shared" si="4"/>
        <v>56</v>
      </c>
      <c r="CV54" s="25">
        <f t="shared" si="5"/>
        <v>0</v>
      </c>
      <c r="CW54" s="26"/>
      <c r="CX54" s="5"/>
      <c r="CY54" s="5"/>
    </row>
    <row r="55" spans="1:103" x14ac:dyDescent="0.2">
      <c r="A55" s="27"/>
      <c r="B55" s="28"/>
      <c r="C55" s="29"/>
      <c r="D55" s="30"/>
      <c r="E55" s="31"/>
      <c r="F55" s="32"/>
      <c r="G55" s="33"/>
      <c r="H55" s="34"/>
      <c r="I55" s="34"/>
      <c r="J55" s="35"/>
      <c r="K55" s="36"/>
      <c r="L55" s="37"/>
      <c r="M55" s="38">
        <f>SUM(M54:M54)</f>
        <v>56</v>
      </c>
      <c r="N55" s="38"/>
      <c r="O55" s="39" t="s">
        <v>111</v>
      </c>
      <c r="P55" s="38">
        <f>SUM(P54:P54)</f>
        <v>0.99999999999999989</v>
      </c>
      <c r="Q55" s="38">
        <f>SUM(Q54:Q54)</f>
        <v>5.9999999999999991</v>
      </c>
      <c r="R55" s="38">
        <f>SUM(R54:R54)</f>
        <v>0</v>
      </c>
      <c r="S55" s="38">
        <f t="shared" ref="S55:AD55" si="84">SUM(S54:S54)</f>
        <v>0</v>
      </c>
      <c r="T55" s="38">
        <f t="shared" si="84"/>
        <v>0</v>
      </c>
      <c r="U55" s="38">
        <f t="shared" si="84"/>
        <v>0</v>
      </c>
      <c r="V55" s="38">
        <f t="shared" si="84"/>
        <v>0</v>
      </c>
      <c r="W55" s="38">
        <f t="shared" si="84"/>
        <v>0</v>
      </c>
      <c r="X55" s="38">
        <f t="shared" si="84"/>
        <v>0</v>
      </c>
      <c r="Y55" s="38">
        <f t="shared" si="84"/>
        <v>0</v>
      </c>
      <c r="Z55" s="38">
        <f t="shared" si="84"/>
        <v>0</v>
      </c>
      <c r="AA55" s="38">
        <f t="shared" si="84"/>
        <v>0</v>
      </c>
      <c r="AB55" s="38">
        <f t="shared" si="84"/>
        <v>0</v>
      </c>
      <c r="AC55" s="38">
        <f t="shared" si="84"/>
        <v>0</v>
      </c>
      <c r="AD55" s="38">
        <f t="shared" si="84"/>
        <v>0</v>
      </c>
      <c r="AE55" s="30"/>
      <c r="AF55" s="38">
        <f>SUM(AF54:AF54)</f>
        <v>0</v>
      </c>
      <c r="AG55" s="30"/>
      <c r="AH55" s="38">
        <f t="shared" ref="AH55:AZ55" si="85">SUM(AH54:AH54)</f>
        <v>0</v>
      </c>
      <c r="AI55" s="38">
        <f t="shared" si="85"/>
        <v>0</v>
      </c>
      <c r="AJ55" s="38">
        <f t="shared" si="85"/>
        <v>0</v>
      </c>
      <c r="AK55" s="38">
        <f t="shared" si="85"/>
        <v>0</v>
      </c>
      <c r="AL55" s="38">
        <f t="shared" si="85"/>
        <v>0</v>
      </c>
      <c r="AM55" s="38">
        <f t="shared" si="85"/>
        <v>0</v>
      </c>
      <c r="AN55" s="38">
        <f t="shared" si="85"/>
        <v>0</v>
      </c>
      <c r="AO55" s="38">
        <f t="shared" si="85"/>
        <v>0</v>
      </c>
      <c r="AP55" s="38">
        <f t="shared" si="85"/>
        <v>0</v>
      </c>
      <c r="AQ55" s="38">
        <f t="shared" si="85"/>
        <v>0</v>
      </c>
      <c r="AR55" s="38">
        <f t="shared" si="85"/>
        <v>0</v>
      </c>
      <c r="AS55" s="38">
        <f t="shared" si="85"/>
        <v>0</v>
      </c>
      <c r="AT55" s="38">
        <f t="shared" si="85"/>
        <v>0</v>
      </c>
      <c r="AU55" s="38">
        <f t="shared" si="85"/>
        <v>0</v>
      </c>
      <c r="AV55" s="38">
        <f t="shared" si="85"/>
        <v>0</v>
      </c>
      <c r="AW55" s="38">
        <f t="shared" si="85"/>
        <v>0</v>
      </c>
      <c r="AX55" s="38">
        <f t="shared" si="85"/>
        <v>0</v>
      </c>
      <c r="AY55" s="38">
        <f t="shared" si="85"/>
        <v>0</v>
      </c>
      <c r="AZ55" s="38">
        <f t="shared" si="85"/>
        <v>0</v>
      </c>
      <c r="BA55" s="30"/>
      <c r="BB55" s="38">
        <f t="shared" ref="BB55:CT55" si="86">SUM(BB54:BB54)</f>
        <v>0</v>
      </c>
      <c r="BC55" s="38">
        <f t="shared" si="86"/>
        <v>0</v>
      </c>
      <c r="BD55" s="38">
        <f t="shared" si="86"/>
        <v>0</v>
      </c>
      <c r="BE55" s="38">
        <f t="shared" si="86"/>
        <v>0</v>
      </c>
      <c r="BF55" s="38">
        <f t="shared" si="86"/>
        <v>0</v>
      </c>
      <c r="BG55" s="38">
        <f t="shared" si="86"/>
        <v>0</v>
      </c>
      <c r="BH55" s="38">
        <f t="shared" si="86"/>
        <v>0</v>
      </c>
      <c r="BI55" s="38">
        <f t="shared" si="86"/>
        <v>0</v>
      </c>
      <c r="BJ55" s="38">
        <f t="shared" si="86"/>
        <v>0</v>
      </c>
      <c r="BK55" s="38">
        <f t="shared" si="86"/>
        <v>0</v>
      </c>
      <c r="BL55" s="38">
        <f t="shared" si="86"/>
        <v>0</v>
      </c>
      <c r="BM55" s="38">
        <f t="shared" si="86"/>
        <v>0</v>
      </c>
      <c r="BN55" s="38">
        <f t="shared" si="86"/>
        <v>0</v>
      </c>
      <c r="BO55" s="38">
        <f t="shared" si="86"/>
        <v>0</v>
      </c>
      <c r="BP55" s="38">
        <f t="shared" si="86"/>
        <v>0</v>
      </c>
      <c r="BQ55" s="38">
        <f t="shared" si="86"/>
        <v>0</v>
      </c>
      <c r="BR55" s="38">
        <f t="shared" si="86"/>
        <v>0</v>
      </c>
      <c r="BS55" s="38">
        <f t="shared" si="86"/>
        <v>51</v>
      </c>
      <c r="BT55" s="38">
        <f t="shared" si="86"/>
        <v>0</v>
      </c>
      <c r="BU55" s="38">
        <f t="shared" si="86"/>
        <v>0</v>
      </c>
      <c r="BV55" s="38">
        <f t="shared" si="86"/>
        <v>0</v>
      </c>
      <c r="BW55" s="38">
        <f t="shared" si="86"/>
        <v>0</v>
      </c>
      <c r="BX55" s="38">
        <f t="shared" si="86"/>
        <v>0</v>
      </c>
      <c r="BY55" s="38">
        <f t="shared" si="86"/>
        <v>0</v>
      </c>
      <c r="BZ55" s="38">
        <f t="shared" si="86"/>
        <v>0</v>
      </c>
      <c r="CA55" s="38">
        <f t="shared" si="86"/>
        <v>0</v>
      </c>
      <c r="CB55" s="38">
        <f t="shared" si="86"/>
        <v>0</v>
      </c>
      <c r="CC55" s="38">
        <f t="shared" si="86"/>
        <v>0</v>
      </c>
      <c r="CD55" s="38">
        <f t="shared" si="86"/>
        <v>0</v>
      </c>
      <c r="CE55" s="38">
        <f t="shared" si="86"/>
        <v>0</v>
      </c>
      <c r="CF55" s="38">
        <f t="shared" si="86"/>
        <v>0</v>
      </c>
      <c r="CG55" s="38">
        <f t="shared" si="86"/>
        <v>0</v>
      </c>
      <c r="CH55" s="38">
        <f t="shared" si="86"/>
        <v>0</v>
      </c>
      <c r="CI55" s="38">
        <f t="shared" si="86"/>
        <v>0</v>
      </c>
      <c r="CJ55" s="38">
        <f t="shared" si="86"/>
        <v>0</v>
      </c>
      <c r="CK55" s="38">
        <f t="shared" si="86"/>
        <v>0</v>
      </c>
      <c r="CL55" s="38">
        <f t="shared" si="86"/>
        <v>0</v>
      </c>
      <c r="CM55" s="38">
        <f t="shared" si="86"/>
        <v>0</v>
      </c>
      <c r="CN55" s="38">
        <f t="shared" si="86"/>
        <v>0</v>
      </c>
      <c r="CO55" s="38">
        <f t="shared" si="86"/>
        <v>0</v>
      </c>
      <c r="CP55" s="38">
        <f t="shared" si="86"/>
        <v>0</v>
      </c>
      <c r="CQ55" s="38">
        <f t="shared" si="86"/>
        <v>0</v>
      </c>
      <c r="CR55" s="38">
        <f t="shared" si="86"/>
        <v>0</v>
      </c>
      <c r="CS55" s="38">
        <f t="shared" si="86"/>
        <v>0</v>
      </c>
      <c r="CT55" s="38">
        <f t="shared" si="86"/>
        <v>0</v>
      </c>
      <c r="CU55" s="17">
        <f t="shared" si="4"/>
        <v>56</v>
      </c>
      <c r="CV55" s="25">
        <f t="shared" si="5"/>
        <v>0</v>
      </c>
      <c r="CW55" s="40"/>
      <c r="CX55" s="30"/>
      <c r="CY55" s="30"/>
    </row>
    <row r="56" spans="1:103" x14ac:dyDescent="0.2">
      <c r="A56" s="2">
        <v>45834</v>
      </c>
      <c r="B56" s="3" t="s">
        <v>121</v>
      </c>
      <c r="C56" s="4" t="s">
        <v>490</v>
      </c>
      <c r="D56" s="5" t="s">
        <v>122</v>
      </c>
      <c r="E56" s="6" t="s">
        <v>123</v>
      </c>
      <c r="F56" s="7" t="s">
        <v>124</v>
      </c>
      <c r="G56" s="8" t="s">
        <v>125</v>
      </c>
      <c r="H56" s="9" t="s">
        <v>131</v>
      </c>
      <c r="I56" s="10"/>
      <c r="J56" s="11" t="s">
        <v>127</v>
      </c>
      <c r="K56" s="12">
        <v>1</v>
      </c>
      <c r="L56" s="13">
        <v>56</v>
      </c>
      <c r="M56" s="14">
        <f t="shared" ref="M56" si="87">L56*K56</f>
        <v>56</v>
      </c>
      <c r="N56" s="15"/>
      <c r="O56" s="16" t="s">
        <v>111</v>
      </c>
      <c r="P56" s="17">
        <f>M56/1.12*0.02</f>
        <v>0.99999999999999989</v>
      </c>
      <c r="Q56" s="18">
        <f>M56/1.12*0.12</f>
        <v>5.9999999999999991</v>
      </c>
      <c r="R56" s="5"/>
      <c r="S56" s="19"/>
      <c r="T56" s="19"/>
      <c r="U56" s="19"/>
      <c r="V56" s="19"/>
      <c r="W56" s="17"/>
      <c r="X56" s="20"/>
      <c r="Y56" s="19"/>
      <c r="Z56" s="19"/>
      <c r="AA56" s="19"/>
      <c r="AB56" s="19"/>
      <c r="AC56" s="19"/>
      <c r="AD56" s="19"/>
      <c r="AE56" s="5"/>
      <c r="AF56" s="19"/>
      <c r="AG56" s="5"/>
      <c r="AH56" s="17"/>
      <c r="AI56" s="19"/>
      <c r="AJ56" s="19"/>
      <c r="AK56" s="19"/>
      <c r="AL56" s="19"/>
      <c r="AM56" s="17"/>
      <c r="AN56" s="19"/>
      <c r="AO56" s="19"/>
      <c r="AP56" s="19"/>
      <c r="AQ56" s="19"/>
      <c r="AR56" s="19"/>
      <c r="AS56" s="21"/>
      <c r="AT56" s="5"/>
      <c r="AU56" s="19"/>
      <c r="AV56" s="5"/>
      <c r="AW56" s="22"/>
      <c r="AX56" s="19"/>
      <c r="AY56" s="5"/>
      <c r="AZ56" s="19"/>
      <c r="BA56" s="5"/>
      <c r="BB56" s="5"/>
      <c r="BC56" s="19"/>
      <c r="BD56" s="19"/>
      <c r="BE56" s="19"/>
      <c r="BF56" s="19"/>
      <c r="BG56" s="19"/>
      <c r="BH56" s="19"/>
      <c r="BI56" s="19"/>
      <c r="BJ56" s="19"/>
      <c r="BK56" s="13"/>
      <c r="BL56" s="5"/>
      <c r="BM56" s="5"/>
      <c r="BN56" s="19"/>
      <c r="BO56" s="17"/>
      <c r="BP56" s="19"/>
      <c r="BQ56" s="17"/>
      <c r="BR56" s="19"/>
      <c r="BS56" s="17">
        <f>M56+P56-Q56</f>
        <v>51</v>
      </c>
      <c r="BT56" s="5"/>
      <c r="BU56" s="23"/>
      <c r="BV56" s="23"/>
      <c r="BW56" s="24"/>
      <c r="BX56" s="5"/>
      <c r="BY56" s="5"/>
      <c r="BZ56" s="5"/>
      <c r="CA56" s="24"/>
      <c r="CB56" s="24"/>
      <c r="CC56" s="24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>
        <f t="shared" si="4"/>
        <v>56</v>
      </c>
      <c r="CV56" s="25">
        <f t="shared" si="5"/>
        <v>0</v>
      </c>
      <c r="CW56" s="26"/>
      <c r="CX56" s="5"/>
      <c r="CY56" s="5"/>
    </row>
    <row r="57" spans="1:103" x14ac:dyDescent="0.2">
      <c r="A57" s="161"/>
      <c r="B57" s="162"/>
      <c r="C57" s="163"/>
      <c r="D57" s="164"/>
      <c r="E57" s="165"/>
      <c r="F57" s="166"/>
      <c r="G57" s="167"/>
      <c r="H57" s="168"/>
      <c r="I57" s="168"/>
      <c r="J57" s="169"/>
      <c r="K57" s="170"/>
      <c r="L57" s="171"/>
      <c r="M57" s="172">
        <f>SUM(M56:M56)</f>
        <v>56</v>
      </c>
      <c r="N57" s="172">
        <f>M57+M55+M53+M51+M49</f>
        <v>280</v>
      </c>
      <c r="O57" s="173" t="s">
        <v>111</v>
      </c>
      <c r="P57" s="172">
        <f>SUM(P56:P56)</f>
        <v>0.99999999999999989</v>
      </c>
      <c r="Q57" s="172">
        <f>SUM(Q56:Q56)</f>
        <v>5.9999999999999991</v>
      </c>
      <c r="R57" s="172">
        <f>SUM(R56:R56)</f>
        <v>0</v>
      </c>
      <c r="S57" s="172">
        <f t="shared" ref="S57:AD57" si="88">SUM(S56:S56)</f>
        <v>0</v>
      </c>
      <c r="T57" s="172">
        <f t="shared" si="88"/>
        <v>0</v>
      </c>
      <c r="U57" s="172">
        <f t="shared" si="88"/>
        <v>0</v>
      </c>
      <c r="V57" s="172">
        <f t="shared" si="88"/>
        <v>0</v>
      </c>
      <c r="W57" s="172">
        <f t="shared" si="88"/>
        <v>0</v>
      </c>
      <c r="X57" s="172">
        <f t="shared" si="88"/>
        <v>0</v>
      </c>
      <c r="Y57" s="172">
        <f t="shared" si="88"/>
        <v>0</v>
      </c>
      <c r="Z57" s="172">
        <f t="shared" si="88"/>
        <v>0</v>
      </c>
      <c r="AA57" s="172">
        <f t="shared" si="88"/>
        <v>0</v>
      </c>
      <c r="AB57" s="172">
        <f t="shared" si="88"/>
        <v>0</v>
      </c>
      <c r="AC57" s="172">
        <f t="shared" si="88"/>
        <v>0</v>
      </c>
      <c r="AD57" s="172">
        <f t="shared" si="88"/>
        <v>0</v>
      </c>
      <c r="AE57" s="164"/>
      <c r="AF57" s="172">
        <f>SUM(AF56:AF56)</f>
        <v>0</v>
      </c>
      <c r="AG57" s="164"/>
      <c r="AH57" s="172">
        <f t="shared" ref="AH57:AZ57" si="89">SUM(AH56:AH56)</f>
        <v>0</v>
      </c>
      <c r="AI57" s="172">
        <f t="shared" si="89"/>
        <v>0</v>
      </c>
      <c r="AJ57" s="172">
        <f t="shared" si="89"/>
        <v>0</v>
      </c>
      <c r="AK57" s="172">
        <f t="shared" si="89"/>
        <v>0</v>
      </c>
      <c r="AL57" s="172">
        <f t="shared" si="89"/>
        <v>0</v>
      </c>
      <c r="AM57" s="172">
        <f t="shared" si="89"/>
        <v>0</v>
      </c>
      <c r="AN57" s="172">
        <f t="shared" si="89"/>
        <v>0</v>
      </c>
      <c r="AO57" s="172">
        <f t="shared" si="89"/>
        <v>0</v>
      </c>
      <c r="AP57" s="172">
        <f t="shared" si="89"/>
        <v>0</v>
      </c>
      <c r="AQ57" s="172">
        <f t="shared" si="89"/>
        <v>0</v>
      </c>
      <c r="AR57" s="172">
        <f t="shared" si="89"/>
        <v>0</v>
      </c>
      <c r="AS57" s="172">
        <f t="shared" si="89"/>
        <v>0</v>
      </c>
      <c r="AT57" s="172">
        <f t="shared" si="89"/>
        <v>0</v>
      </c>
      <c r="AU57" s="172">
        <f t="shared" si="89"/>
        <v>0</v>
      </c>
      <c r="AV57" s="172">
        <f t="shared" si="89"/>
        <v>0</v>
      </c>
      <c r="AW57" s="172">
        <f t="shared" si="89"/>
        <v>0</v>
      </c>
      <c r="AX57" s="172">
        <f t="shared" si="89"/>
        <v>0</v>
      </c>
      <c r="AY57" s="172">
        <f t="shared" si="89"/>
        <v>0</v>
      </c>
      <c r="AZ57" s="172">
        <f t="shared" si="89"/>
        <v>0</v>
      </c>
      <c r="BA57" s="164"/>
      <c r="BB57" s="172">
        <f t="shared" ref="BB57:CT57" si="90">SUM(BB56:BB56)</f>
        <v>0</v>
      </c>
      <c r="BC57" s="172">
        <f t="shared" si="90"/>
        <v>0</v>
      </c>
      <c r="BD57" s="172">
        <f t="shared" si="90"/>
        <v>0</v>
      </c>
      <c r="BE57" s="172">
        <f t="shared" si="90"/>
        <v>0</v>
      </c>
      <c r="BF57" s="172">
        <f t="shared" si="90"/>
        <v>0</v>
      </c>
      <c r="BG57" s="172">
        <f t="shared" si="90"/>
        <v>0</v>
      </c>
      <c r="BH57" s="172">
        <f t="shared" si="90"/>
        <v>0</v>
      </c>
      <c r="BI57" s="172">
        <f t="shared" si="90"/>
        <v>0</v>
      </c>
      <c r="BJ57" s="172">
        <f t="shared" si="90"/>
        <v>0</v>
      </c>
      <c r="BK57" s="172">
        <f t="shared" si="90"/>
        <v>0</v>
      </c>
      <c r="BL57" s="172">
        <f t="shared" si="90"/>
        <v>0</v>
      </c>
      <c r="BM57" s="172">
        <f t="shared" si="90"/>
        <v>0</v>
      </c>
      <c r="BN57" s="172">
        <f t="shared" si="90"/>
        <v>0</v>
      </c>
      <c r="BO57" s="172">
        <f t="shared" si="90"/>
        <v>0</v>
      </c>
      <c r="BP57" s="172">
        <f t="shared" si="90"/>
        <v>0</v>
      </c>
      <c r="BQ57" s="172">
        <f t="shared" si="90"/>
        <v>0</v>
      </c>
      <c r="BR57" s="172">
        <f t="shared" si="90"/>
        <v>0</v>
      </c>
      <c r="BS57" s="172">
        <f t="shared" si="90"/>
        <v>51</v>
      </c>
      <c r="BT57" s="172">
        <f t="shared" si="90"/>
        <v>0</v>
      </c>
      <c r="BU57" s="172">
        <f t="shared" si="90"/>
        <v>0</v>
      </c>
      <c r="BV57" s="172">
        <f t="shared" si="90"/>
        <v>0</v>
      </c>
      <c r="BW57" s="172">
        <f t="shared" si="90"/>
        <v>0</v>
      </c>
      <c r="BX57" s="172">
        <f t="shared" si="90"/>
        <v>0</v>
      </c>
      <c r="BY57" s="172">
        <f t="shared" si="90"/>
        <v>0</v>
      </c>
      <c r="BZ57" s="172">
        <f t="shared" si="90"/>
        <v>0</v>
      </c>
      <c r="CA57" s="172">
        <f t="shared" si="90"/>
        <v>0</v>
      </c>
      <c r="CB57" s="172">
        <f t="shared" si="90"/>
        <v>0</v>
      </c>
      <c r="CC57" s="172">
        <f t="shared" si="90"/>
        <v>0</v>
      </c>
      <c r="CD57" s="172">
        <f t="shared" si="90"/>
        <v>0</v>
      </c>
      <c r="CE57" s="172">
        <f t="shared" si="90"/>
        <v>0</v>
      </c>
      <c r="CF57" s="172">
        <f t="shared" si="90"/>
        <v>0</v>
      </c>
      <c r="CG57" s="172">
        <f t="shared" si="90"/>
        <v>0</v>
      </c>
      <c r="CH57" s="172">
        <f t="shared" si="90"/>
        <v>0</v>
      </c>
      <c r="CI57" s="172">
        <f t="shared" si="90"/>
        <v>0</v>
      </c>
      <c r="CJ57" s="172">
        <f t="shared" si="90"/>
        <v>0</v>
      </c>
      <c r="CK57" s="172">
        <f t="shared" si="90"/>
        <v>0</v>
      </c>
      <c r="CL57" s="172">
        <f t="shared" si="90"/>
        <v>0</v>
      </c>
      <c r="CM57" s="172">
        <f t="shared" si="90"/>
        <v>0</v>
      </c>
      <c r="CN57" s="172">
        <f t="shared" si="90"/>
        <v>0</v>
      </c>
      <c r="CO57" s="172">
        <f t="shared" si="90"/>
        <v>0</v>
      </c>
      <c r="CP57" s="172">
        <f t="shared" si="90"/>
        <v>0</v>
      </c>
      <c r="CQ57" s="172">
        <f t="shared" si="90"/>
        <v>0</v>
      </c>
      <c r="CR57" s="172">
        <f t="shared" si="90"/>
        <v>0</v>
      </c>
      <c r="CS57" s="172">
        <f t="shared" si="90"/>
        <v>0</v>
      </c>
      <c r="CT57" s="172">
        <f t="shared" si="90"/>
        <v>0</v>
      </c>
      <c r="CU57" s="17">
        <f t="shared" si="4"/>
        <v>56</v>
      </c>
      <c r="CV57" s="25">
        <f t="shared" si="5"/>
        <v>0</v>
      </c>
      <c r="CW57" s="176"/>
      <c r="CX57" s="164"/>
      <c r="CY57" s="164"/>
    </row>
    <row r="58" spans="1:103" x14ac:dyDescent="0.2">
      <c r="A58" s="2">
        <v>45877</v>
      </c>
      <c r="B58" s="3" t="s">
        <v>132</v>
      </c>
      <c r="C58" s="4" t="s">
        <v>491</v>
      </c>
      <c r="D58" s="5" t="s">
        <v>133</v>
      </c>
      <c r="E58" s="6" t="s">
        <v>134</v>
      </c>
      <c r="F58" s="7"/>
      <c r="G58" s="8"/>
      <c r="H58" s="9"/>
      <c r="I58" s="10"/>
      <c r="J58" s="11" t="s">
        <v>135</v>
      </c>
      <c r="K58" s="12">
        <v>1</v>
      </c>
      <c r="L58" s="13">
        <v>119</v>
      </c>
      <c r="M58" s="14">
        <f t="shared" ref="M58" si="91">L58*K58</f>
        <v>119</v>
      </c>
      <c r="N58" s="15"/>
      <c r="O58" s="16" t="s">
        <v>136</v>
      </c>
      <c r="P58" s="17"/>
      <c r="Q58" s="18"/>
      <c r="R58" s="5"/>
      <c r="S58" s="19"/>
      <c r="T58" s="19"/>
      <c r="U58" s="19"/>
      <c r="V58" s="19"/>
      <c r="W58" s="17"/>
      <c r="X58" s="20"/>
      <c r="Y58" s="19"/>
      <c r="Z58" s="19"/>
      <c r="AA58" s="19"/>
      <c r="AB58" s="19"/>
      <c r="AC58" s="19"/>
      <c r="AD58" s="19"/>
      <c r="AE58" s="5"/>
      <c r="AF58" s="19"/>
      <c r="AG58" s="5"/>
      <c r="AH58" s="17"/>
      <c r="AI58" s="19"/>
      <c r="AJ58" s="19"/>
      <c r="AK58" s="19"/>
      <c r="AL58" s="19"/>
      <c r="AM58" s="17"/>
      <c r="AN58" s="19"/>
      <c r="AO58" s="19"/>
      <c r="AP58" s="19"/>
      <c r="AQ58" s="19"/>
      <c r="AR58" s="19"/>
      <c r="AS58" s="21"/>
      <c r="AT58" s="5"/>
      <c r="AU58" s="19"/>
      <c r="AV58" s="5"/>
      <c r="AW58" s="22"/>
      <c r="AX58" s="19"/>
      <c r="AY58" s="5"/>
      <c r="AZ58" s="19"/>
      <c r="BA58" s="5"/>
      <c r="BB58" s="5"/>
      <c r="BC58" s="19"/>
      <c r="BD58" s="19"/>
      <c r="BE58" s="19"/>
      <c r="BF58" s="19"/>
      <c r="BG58" s="19"/>
      <c r="BH58" s="19"/>
      <c r="BI58" s="19"/>
      <c r="BJ58" s="19"/>
      <c r="BK58" s="13"/>
      <c r="BL58" s="5"/>
      <c r="BM58" s="5"/>
      <c r="BN58" s="19"/>
      <c r="BO58" s="17">
        <f>M58+P58-Q58</f>
        <v>119</v>
      </c>
      <c r="BP58" s="19"/>
      <c r="BQ58" s="17"/>
      <c r="BR58" s="19"/>
      <c r="BS58" s="13"/>
      <c r="BT58" s="5"/>
      <c r="BU58" s="23"/>
      <c r="BV58" s="23"/>
      <c r="BW58" s="24"/>
      <c r="BX58" s="5"/>
      <c r="BY58" s="5"/>
      <c r="BZ58" s="5"/>
      <c r="CA58" s="24"/>
      <c r="CB58" s="24"/>
      <c r="CC58" s="24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>
        <f t="shared" si="4"/>
        <v>119</v>
      </c>
      <c r="CV58" s="25">
        <f t="shared" si="5"/>
        <v>0</v>
      </c>
      <c r="CW58" s="26"/>
      <c r="CX58" s="5"/>
      <c r="CY58" s="5"/>
    </row>
    <row r="59" spans="1:103" x14ac:dyDescent="0.2">
      <c r="A59" s="161"/>
      <c r="B59" s="162"/>
      <c r="C59" s="163"/>
      <c r="D59" s="164"/>
      <c r="E59" s="165"/>
      <c r="F59" s="166"/>
      <c r="G59" s="167"/>
      <c r="H59" s="168"/>
      <c r="I59" s="168"/>
      <c r="J59" s="169"/>
      <c r="K59" s="170"/>
      <c r="L59" s="171"/>
      <c r="M59" s="172">
        <f>SUM(M58:M58)</f>
        <v>119</v>
      </c>
      <c r="N59" s="172">
        <f>M59</f>
        <v>119</v>
      </c>
      <c r="O59" s="173" t="s">
        <v>137</v>
      </c>
      <c r="P59" s="172">
        <f>SUM(P58:P58)</f>
        <v>0</v>
      </c>
      <c r="Q59" s="172">
        <f>SUM(Q58:Q58)</f>
        <v>0</v>
      </c>
      <c r="R59" s="164"/>
      <c r="S59" s="172">
        <f t="shared" ref="S59:AD59" si="92">SUM(S58:S58)</f>
        <v>0</v>
      </c>
      <c r="T59" s="172">
        <f t="shared" si="92"/>
        <v>0</v>
      </c>
      <c r="U59" s="172">
        <f t="shared" si="92"/>
        <v>0</v>
      </c>
      <c r="V59" s="172">
        <f t="shared" si="92"/>
        <v>0</v>
      </c>
      <c r="W59" s="172">
        <f t="shared" si="92"/>
        <v>0</v>
      </c>
      <c r="X59" s="172">
        <f t="shared" si="92"/>
        <v>0</v>
      </c>
      <c r="Y59" s="172">
        <f t="shared" si="92"/>
        <v>0</v>
      </c>
      <c r="Z59" s="172">
        <f t="shared" si="92"/>
        <v>0</v>
      </c>
      <c r="AA59" s="172">
        <f t="shared" si="92"/>
        <v>0</v>
      </c>
      <c r="AB59" s="172">
        <f t="shared" si="92"/>
        <v>0</v>
      </c>
      <c r="AC59" s="172">
        <f t="shared" si="92"/>
        <v>0</v>
      </c>
      <c r="AD59" s="172">
        <f t="shared" si="92"/>
        <v>0</v>
      </c>
      <c r="AE59" s="164"/>
      <c r="AF59" s="172">
        <f>SUM(AF58:AF58)</f>
        <v>0</v>
      </c>
      <c r="AG59" s="164"/>
      <c r="AH59" s="172">
        <f t="shared" ref="AH59:AZ59" si="93">SUM(AH58:AH58)</f>
        <v>0</v>
      </c>
      <c r="AI59" s="172">
        <f t="shared" si="93"/>
        <v>0</v>
      </c>
      <c r="AJ59" s="172">
        <f t="shared" si="93"/>
        <v>0</v>
      </c>
      <c r="AK59" s="172">
        <f t="shared" si="93"/>
        <v>0</v>
      </c>
      <c r="AL59" s="172">
        <f t="shared" si="93"/>
        <v>0</v>
      </c>
      <c r="AM59" s="172">
        <f t="shared" si="93"/>
        <v>0</v>
      </c>
      <c r="AN59" s="172">
        <f t="shared" si="93"/>
        <v>0</v>
      </c>
      <c r="AO59" s="172">
        <f t="shared" si="93"/>
        <v>0</v>
      </c>
      <c r="AP59" s="172">
        <f t="shared" si="93"/>
        <v>0</v>
      </c>
      <c r="AQ59" s="172">
        <f t="shared" si="93"/>
        <v>0</v>
      </c>
      <c r="AR59" s="172">
        <f t="shared" si="93"/>
        <v>0</v>
      </c>
      <c r="AS59" s="172">
        <f t="shared" si="93"/>
        <v>0</v>
      </c>
      <c r="AT59" s="172">
        <f t="shared" si="93"/>
        <v>0</v>
      </c>
      <c r="AU59" s="172">
        <f t="shared" si="93"/>
        <v>0</v>
      </c>
      <c r="AV59" s="172">
        <f t="shared" si="93"/>
        <v>0</v>
      </c>
      <c r="AW59" s="172">
        <f t="shared" si="93"/>
        <v>0</v>
      </c>
      <c r="AX59" s="172">
        <f t="shared" si="93"/>
        <v>0</v>
      </c>
      <c r="AY59" s="172">
        <f t="shared" si="93"/>
        <v>0</v>
      </c>
      <c r="AZ59" s="172">
        <f t="shared" si="93"/>
        <v>0</v>
      </c>
      <c r="BA59" s="164"/>
      <c r="BB59" s="172">
        <f t="shared" ref="BB59:CT59" si="94">SUM(BB58:BB58)</f>
        <v>0</v>
      </c>
      <c r="BC59" s="172">
        <f t="shared" si="94"/>
        <v>0</v>
      </c>
      <c r="BD59" s="172">
        <f t="shared" si="94"/>
        <v>0</v>
      </c>
      <c r="BE59" s="172">
        <f t="shared" si="94"/>
        <v>0</v>
      </c>
      <c r="BF59" s="172">
        <f t="shared" si="94"/>
        <v>0</v>
      </c>
      <c r="BG59" s="172">
        <f t="shared" si="94"/>
        <v>0</v>
      </c>
      <c r="BH59" s="172">
        <f t="shared" si="94"/>
        <v>0</v>
      </c>
      <c r="BI59" s="172">
        <f t="shared" si="94"/>
        <v>0</v>
      </c>
      <c r="BJ59" s="172">
        <f t="shared" si="94"/>
        <v>0</v>
      </c>
      <c r="BK59" s="172">
        <f t="shared" si="94"/>
        <v>0</v>
      </c>
      <c r="BL59" s="172">
        <f t="shared" si="94"/>
        <v>0</v>
      </c>
      <c r="BM59" s="172">
        <f t="shared" si="94"/>
        <v>0</v>
      </c>
      <c r="BN59" s="172">
        <f t="shared" si="94"/>
        <v>0</v>
      </c>
      <c r="BO59" s="172">
        <f>SUM(BO58:BO58)</f>
        <v>119</v>
      </c>
      <c r="BP59" s="172">
        <f t="shared" si="94"/>
        <v>0</v>
      </c>
      <c r="BQ59" s="172">
        <f t="shared" si="94"/>
        <v>0</v>
      </c>
      <c r="BR59" s="172">
        <f t="shared" si="94"/>
        <v>0</v>
      </c>
      <c r="BS59" s="172">
        <f t="shared" si="94"/>
        <v>0</v>
      </c>
      <c r="BT59" s="172">
        <f t="shared" si="94"/>
        <v>0</v>
      </c>
      <c r="BU59" s="172">
        <f t="shared" si="94"/>
        <v>0</v>
      </c>
      <c r="BV59" s="172">
        <f t="shared" si="94"/>
        <v>0</v>
      </c>
      <c r="BW59" s="172">
        <f t="shared" si="94"/>
        <v>0</v>
      </c>
      <c r="BX59" s="172">
        <f t="shared" si="94"/>
        <v>0</v>
      </c>
      <c r="BY59" s="172">
        <f t="shared" si="94"/>
        <v>0</v>
      </c>
      <c r="BZ59" s="172">
        <f t="shared" si="94"/>
        <v>0</v>
      </c>
      <c r="CA59" s="172">
        <f t="shared" si="94"/>
        <v>0</v>
      </c>
      <c r="CB59" s="172">
        <f t="shared" si="94"/>
        <v>0</v>
      </c>
      <c r="CC59" s="172">
        <f t="shared" si="94"/>
        <v>0</v>
      </c>
      <c r="CD59" s="172">
        <f t="shared" si="94"/>
        <v>0</v>
      </c>
      <c r="CE59" s="172">
        <f t="shared" si="94"/>
        <v>0</v>
      </c>
      <c r="CF59" s="172">
        <f t="shared" si="94"/>
        <v>0</v>
      </c>
      <c r="CG59" s="172">
        <f t="shared" si="94"/>
        <v>0</v>
      </c>
      <c r="CH59" s="172">
        <f t="shared" si="94"/>
        <v>0</v>
      </c>
      <c r="CI59" s="172">
        <f t="shared" si="94"/>
        <v>0</v>
      </c>
      <c r="CJ59" s="172">
        <f t="shared" si="94"/>
        <v>0</v>
      </c>
      <c r="CK59" s="172">
        <f t="shared" si="94"/>
        <v>0</v>
      </c>
      <c r="CL59" s="172">
        <f t="shared" si="94"/>
        <v>0</v>
      </c>
      <c r="CM59" s="172">
        <f t="shared" si="94"/>
        <v>0</v>
      </c>
      <c r="CN59" s="172">
        <f t="shared" si="94"/>
        <v>0</v>
      </c>
      <c r="CO59" s="172">
        <f t="shared" si="94"/>
        <v>0</v>
      </c>
      <c r="CP59" s="172">
        <f t="shared" si="94"/>
        <v>0</v>
      </c>
      <c r="CQ59" s="172">
        <f t="shared" si="94"/>
        <v>0</v>
      </c>
      <c r="CR59" s="172">
        <f t="shared" si="94"/>
        <v>0</v>
      </c>
      <c r="CS59" s="172">
        <f t="shared" si="94"/>
        <v>0</v>
      </c>
      <c r="CT59" s="172">
        <f t="shared" si="94"/>
        <v>0</v>
      </c>
      <c r="CU59" s="17">
        <f t="shared" si="4"/>
        <v>119</v>
      </c>
      <c r="CV59" s="25">
        <f t="shared" si="5"/>
        <v>0</v>
      </c>
      <c r="CW59" s="176"/>
      <c r="CX59" s="164"/>
      <c r="CY59" s="164"/>
    </row>
    <row r="60" spans="1:103" x14ac:dyDescent="0.2">
      <c r="A60" s="2">
        <v>45876</v>
      </c>
      <c r="B60" s="3" t="s">
        <v>139</v>
      </c>
      <c r="C60" s="4" t="s">
        <v>492</v>
      </c>
      <c r="D60" s="5" t="s">
        <v>122</v>
      </c>
      <c r="E60" s="6" t="s">
        <v>140</v>
      </c>
      <c r="F60" s="7" t="s">
        <v>141</v>
      </c>
      <c r="G60" s="8" t="s">
        <v>142</v>
      </c>
      <c r="H60" s="9">
        <v>289</v>
      </c>
      <c r="I60" s="10"/>
      <c r="J60" s="11" t="s">
        <v>143</v>
      </c>
      <c r="K60" s="12">
        <v>1</v>
      </c>
      <c r="L60" s="13">
        <v>336</v>
      </c>
      <c r="M60" s="14">
        <f t="shared" ref="M60" si="95">L60*K60</f>
        <v>336</v>
      </c>
      <c r="N60" s="15"/>
      <c r="O60" s="16" t="s">
        <v>111</v>
      </c>
      <c r="P60" s="17">
        <f>M60/1.12*0.02</f>
        <v>5.9999999999999991</v>
      </c>
      <c r="Q60" s="18">
        <f>M60/1.12*0.12</f>
        <v>35.999999999999993</v>
      </c>
      <c r="R60" s="5"/>
      <c r="S60" s="19"/>
      <c r="T60" s="19"/>
      <c r="U60" s="19"/>
      <c r="V60" s="19"/>
      <c r="W60" s="17"/>
      <c r="X60" s="20"/>
      <c r="Y60" s="19"/>
      <c r="Z60" s="19"/>
      <c r="AA60" s="19"/>
      <c r="AB60" s="19"/>
      <c r="AC60" s="19"/>
      <c r="AD60" s="19"/>
      <c r="AE60" s="5"/>
      <c r="AF60" s="19"/>
      <c r="AG60" s="5"/>
      <c r="AH60" s="17"/>
      <c r="AI60" s="17">
        <f>M60+P60-Q60</f>
        <v>306</v>
      </c>
      <c r="AJ60" s="19"/>
      <c r="AK60" s="19"/>
      <c r="AL60" s="19"/>
      <c r="AM60" s="17"/>
      <c r="AN60" s="19"/>
      <c r="AO60" s="19"/>
      <c r="AP60" s="19"/>
      <c r="AQ60" s="19"/>
      <c r="AR60" s="19"/>
      <c r="AS60" s="21"/>
      <c r="AT60" s="5"/>
      <c r="AU60" s="19"/>
      <c r="AV60" s="5"/>
      <c r="AW60" s="22"/>
      <c r="AX60" s="19"/>
      <c r="AY60" s="5"/>
      <c r="AZ60" s="19"/>
      <c r="BA60" s="5"/>
      <c r="BB60" s="5"/>
      <c r="BC60" s="19"/>
      <c r="BD60" s="19"/>
      <c r="BE60" s="19"/>
      <c r="BF60" s="19"/>
      <c r="BG60" s="19"/>
      <c r="BH60" s="19"/>
      <c r="BI60" s="19"/>
      <c r="BJ60" s="19"/>
      <c r="BK60" s="13"/>
      <c r="BL60" s="5"/>
      <c r="BM60" s="5"/>
      <c r="BN60" s="19"/>
      <c r="BO60" s="17"/>
      <c r="BP60" s="19"/>
      <c r="BQ60" s="17"/>
      <c r="BR60" s="19"/>
      <c r="BS60" s="13"/>
      <c r="BT60" s="5"/>
      <c r="BU60" s="23"/>
      <c r="BV60" s="23"/>
      <c r="BW60" s="24"/>
      <c r="BX60" s="5"/>
      <c r="BY60" s="5"/>
      <c r="BZ60" s="5"/>
      <c r="CA60" s="24"/>
      <c r="CB60" s="24"/>
      <c r="CC60" s="24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>
        <f t="shared" si="4"/>
        <v>336</v>
      </c>
      <c r="CV60" s="25">
        <f t="shared" si="5"/>
        <v>0</v>
      </c>
      <c r="CW60" s="26"/>
      <c r="CX60" s="5"/>
      <c r="CY60" s="5"/>
    </row>
    <row r="61" spans="1:103" x14ac:dyDescent="0.2">
      <c r="A61" s="161"/>
      <c r="B61" s="162"/>
      <c r="C61" s="163"/>
      <c r="D61" s="164"/>
      <c r="E61" s="165"/>
      <c r="F61" s="166"/>
      <c r="G61" s="167"/>
      <c r="H61" s="168"/>
      <c r="I61" s="168"/>
      <c r="J61" s="169"/>
      <c r="K61" s="170"/>
      <c r="L61" s="171"/>
      <c r="M61" s="172">
        <f>SUM(M60:M60)</f>
        <v>336</v>
      </c>
      <c r="N61" s="172">
        <f>M61</f>
        <v>336</v>
      </c>
      <c r="O61" s="173" t="s">
        <v>111</v>
      </c>
      <c r="P61" s="172">
        <f>SUM(P60:P60)</f>
        <v>5.9999999999999991</v>
      </c>
      <c r="Q61" s="172">
        <f>SUM(Q60:Q60)</f>
        <v>35.999999999999993</v>
      </c>
      <c r="R61" s="164"/>
      <c r="S61" s="172">
        <f t="shared" ref="S61:AD61" si="96">SUM(S60:S60)</f>
        <v>0</v>
      </c>
      <c r="T61" s="172">
        <f t="shared" si="96"/>
        <v>0</v>
      </c>
      <c r="U61" s="172">
        <f t="shared" si="96"/>
        <v>0</v>
      </c>
      <c r="V61" s="172">
        <f t="shared" si="96"/>
        <v>0</v>
      </c>
      <c r="W61" s="172">
        <f t="shared" si="96"/>
        <v>0</v>
      </c>
      <c r="X61" s="172">
        <f t="shared" si="96"/>
        <v>0</v>
      </c>
      <c r="Y61" s="172">
        <f t="shared" si="96"/>
        <v>0</v>
      </c>
      <c r="Z61" s="172">
        <f t="shared" si="96"/>
        <v>0</v>
      </c>
      <c r="AA61" s="172">
        <f t="shared" si="96"/>
        <v>0</v>
      </c>
      <c r="AB61" s="172">
        <f t="shared" si="96"/>
        <v>0</v>
      </c>
      <c r="AC61" s="172">
        <f t="shared" si="96"/>
        <v>0</v>
      </c>
      <c r="AD61" s="172">
        <f t="shared" si="96"/>
        <v>0</v>
      </c>
      <c r="AE61" s="164"/>
      <c r="AF61" s="172">
        <f>SUM(AF60:AF60)</f>
        <v>0</v>
      </c>
      <c r="AG61" s="164"/>
      <c r="AH61" s="172">
        <f t="shared" ref="AH61:AZ61" si="97">SUM(AH60:AH60)</f>
        <v>0</v>
      </c>
      <c r="AI61" s="172">
        <f>SUM(AI60:AI60)</f>
        <v>306</v>
      </c>
      <c r="AJ61" s="172">
        <f t="shared" si="97"/>
        <v>0</v>
      </c>
      <c r="AK61" s="172">
        <f t="shared" si="97"/>
        <v>0</v>
      </c>
      <c r="AL61" s="172">
        <f t="shared" si="97"/>
        <v>0</v>
      </c>
      <c r="AM61" s="172">
        <f t="shared" si="97"/>
        <v>0</v>
      </c>
      <c r="AN61" s="172">
        <f t="shared" si="97"/>
        <v>0</v>
      </c>
      <c r="AO61" s="172">
        <f t="shared" si="97"/>
        <v>0</v>
      </c>
      <c r="AP61" s="172">
        <f t="shared" si="97"/>
        <v>0</v>
      </c>
      <c r="AQ61" s="172">
        <f>SUM(AQ60:AQ60)</f>
        <v>0</v>
      </c>
      <c r="AR61" s="172">
        <f t="shared" si="97"/>
        <v>0</v>
      </c>
      <c r="AS61" s="172">
        <f t="shared" si="97"/>
        <v>0</v>
      </c>
      <c r="AT61" s="172">
        <f t="shared" si="97"/>
        <v>0</v>
      </c>
      <c r="AU61" s="172">
        <f t="shared" si="97"/>
        <v>0</v>
      </c>
      <c r="AV61" s="172">
        <f t="shared" si="97"/>
        <v>0</v>
      </c>
      <c r="AW61" s="172">
        <f t="shared" si="97"/>
        <v>0</v>
      </c>
      <c r="AX61" s="172">
        <f t="shared" si="97"/>
        <v>0</v>
      </c>
      <c r="AY61" s="172">
        <f t="shared" si="97"/>
        <v>0</v>
      </c>
      <c r="AZ61" s="172">
        <f t="shared" si="97"/>
        <v>0</v>
      </c>
      <c r="BA61" s="164"/>
      <c r="BB61" s="172">
        <f t="shared" ref="BB61:CT61" si="98">SUM(BB60:BB60)</f>
        <v>0</v>
      </c>
      <c r="BC61" s="172">
        <f t="shared" si="98"/>
        <v>0</v>
      </c>
      <c r="BD61" s="172">
        <f t="shared" si="98"/>
        <v>0</v>
      </c>
      <c r="BE61" s="172">
        <f t="shared" si="98"/>
        <v>0</v>
      </c>
      <c r="BF61" s="172">
        <f t="shared" si="98"/>
        <v>0</v>
      </c>
      <c r="BG61" s="172">
        <f t="shared" si="98"/>
        <v>0</v>
      </c>
      <c r="BH61" s="172">
        <f t="shared" si="98"/>
        <v>0</v>
      </c>
      <c r="BI61" s="172">
        <f t="shared" si="98"/>
        <v>0</v>
      </c>
      <c r="BJ61" s="172">
        <f t="shared" si="98"/>
        <v>0</v>
      </c>
      <c r="BK61" s="172">
        <f t="shared" si="98"/>
        <v>0</v>
      </c>
      <c r="BL61" s="172">
        <f t="shared" si="98"/>
        <v>0</v>
      </c>
      <c r="BM61" s="172">
        <f t="shared" si="98"/>
        <v>0</v>
      </c>
      <c r="BN61" s="172">
        <f t="shared" si="98"/>
        <v>0</v>
      </c>
      <c r="BO61" s="172">
        <f t="shared" si="98"/>
        <v>0</v>
      </c>
      <c r="BP61" s="172">
        <f t="shared" si="98"/>
        <v>0</v>
      </c>
      <c r="BQ61" s="172">
        <f t="shared" si="98"/>
        <v>0</v>
      </c>
      <c r="BR61" s="172">
        <f t="shared" si="98"/>
        <v>0</v>
      </c>
      <c r="BS61" s="172">
        <f t="shared" si="98"/>
        <v>0</v>
      </c>
      <c r="BT61" s="172">
        <f t="shared" si="98"/>
        <v>0</v>
      </c>
      <c r="BU61" s="172">
        <f t="shared" si="98"/>
        <v>0</v>
      </c>
      <c r="BV61" s="172">
        <f t="shared" si="98"/>
        <v>0</v>
      </c>
      <c r="BW61" s="172">
        <f t="shared" si="98"/>
        <v>0</v>
      </c>
      <c r="BX61" s="172">
        <f t="shared" si="98"/>
        <v>0</v>
      </c>
      <c r="BY61" s="172">
        <f t="shared" si="98"/>
        <v>0</v>
      </c>
      <c r="BZ61" s="172">
        <f t="shared" si="98"/>
        <v>0</v>
      </c>
      <c r="CA61" s="172">
        <f t="shared" si="98"/>
        <v>0</v>
      </c>
      <c r="CB61" s="172">
        <f t="shared" si="98"/>
        <v>0</v>
      </c>
      <c r="CC61" s="172">
        <f t="shared" si="98"/>
        <v>0</v>
      </c>
      <c r="CD61" s="172">
        <f t="shared" si="98"/>
        <v>0</v>
      </c>
      <c r="CE61" s="172">
        <f t="shared" si="98"/>
        <v>0</v>
      </c>
      <c r="CF61" s="172">
        <f t="shared" si="98"/>
        <v>0</v>
      </c>
      <c r="CG61" s="172">
        <f t="shared" si="98"/>
        <v>0</v>
      </c>
      <c r="CH61" s="172">
        <f t="shared" si="98"/>
        <v>0</v>
      </c>
      <c r="CI61" s="172">
        <f t="shared" si="98"/>
        <v>0</v>
      </c>
      <c r="CJ61" s="172">
        <f t="shared" si="98"/>
        <v>0</v>
      </c>
      <c r="CK61" s="172">
        <f t="shared" si="98"/>
        <v>0</v>
      </c>
      <c r="CL61" s="172">
        <f t="shared" si="98"/>
        <v>0</v>
      </c>
      <c r="CM61" s="172">
        <f t="shared" si="98"/>
        <v>0</v>
      </c>
      <c r="CN61" s="172">
        <f t="shared" si="98"/>
        <v>0</v>
      </c>
      <c r="CO61" s="172">
        <f t="shared" si="98"/>
        <v>0</v>
      </c>
      <c r="CP61" s="172">
        <f t="shared" si="98"/>
        <v>0</v>
      </c>
      <c r="CQ61" s="172">
        <f t="shared" si="98"/>
        <v>0</v>
      </c>
      <c r="CR61" s="172">
        <f t="shared" si="98"/>
        <v>0</v>
      </c>
      <c r="CS61" s="172">
        <f t="shared" si="98"/>
        <v>0</v>
      </c>
      <c r="CT61" s="172">
        <f t="shared" si="98"/>
        <v>0</v>
      </c>
      <c r="CU61" s="17">
        <f t="shared" si="4"/>
        <v>336</v>
      </c>
      <c r="CV61" s="25">
        <f t="shared" si="5"/>
        <v>0</v>
      </c>
      <c r="CW61" s="176"/>
      <c r="CX61" s="164"/>
      <c r="CY61" s="164"/>
    </row>
    <row r="62" spans="1:103" x14ac:dyDescent="0.2">
      <c r="A62" s="2">
        <v>45878</v>
      </c>
      <c r="B62" s="3" t="s">
        <v>146</v>
      </c>
      <c r="C62" s="4" t="s">
        <v>493</v>
      </c>
      <c r="D62" s="5" t="s">
        <v>122</v>
      </c>
      <c r="E62" s="6" t="s">
        <v>152</v>
      </c>
      <c r="F62" s="7" t="s">
        <v>153</v>
      </c>
      <c r="G62" s="8" t="s">
        <v>154</v>
      </c>
      <c r="H62" s="9" t="s">
        <v>155</v>
      </c>
      <c r="I62" s="10" t="s">
        <v>398</v>
      </c>
      <c r="J62" s="11" t="s">
        <v>156</v>
      </c>
      <c r="K62" s="12">
        <v>4</v>
      </c>
      <c r="L62" s="13">
        <v>129.75</v>
      </c>
      <c r="M62" s="14">
        <f t="shared" ref="M62:M66" si="99">L62*K62</f>
        <v>519</v>
      </c>
      <c r="N62" s="15"/>
      <c r="O62" s="16" t="s">
        <v>111</v>
      </c>
      <c r="P62" s="17">
        <f>M62/1.12*0.01</f>
        <v>4.6339285714285712</v>
      </c>
      <c r="Q62" s="18">
        <f>M62/1.12*0.12</f>
        <v>55.607142857142854</v>
      </c>
      <c r="R62" s="5"/>
      <c r="S62" s="19"/>
      <c r="T62" s="19"/>
      <c r="U62" s="19"/>
      <c r="V62" s="19"/>
      <c r="W62" s="17">
        <f>M62+P62-Q62</f>
        <v>468.02678571428572</v>
      </c>
      <c r="X62" s="20"/>
      <c r="Y62" s="19"/>
      <c r="Z62" s="19"/>
      <c r="AA62" s="19"/>
      <c r="AB62" s="19"/>
      <c r="AC62" s="19"/>
      <c r="AD62" s="19"/>
      <c r="AE62" s="5"/>
      <c r="AF62" s="19"/>
      <c r="AG62" s="5"/>
      <c r="AH62" s="17"/>
      <c r="AI62" s="19"/>
      <c r="AJ62" s="19"/>
      <c r="AK62" s="19"/>
      <c r="AL62" s="19"/>
      <c r="AM62" s="17"/>
      <c r="AN62" s="19"/>
      <c r="AO62" s="19"/>
      <c r="AP62" s="19"/>
      <c r="AQ62" s="19"/>
      <c r="AR62" s="19"/>
      <c r="AS62" s="21"/>
      <c r="AT62" s="5"/>
      <c r="AU62" s="19"/>
      <c r="AV62" s="5"/>
      <c r="AW62" s="22"/>
      <c r="AX62" s="19"/>
      <c r="AY62" s="5"/>
      <c r="AZ62" s="19"/>
      <c r="BA62" s="5"/>
      <c r="BB62" s="5"/>
      <c r="BC62" s="19"/>
      <c r="BD62" s="19"/>
      <c r="BE62" s="19"/>
      <c r="BF62" s="19"/>
      <c r="BG62" s="19"/>
      <c r="BH62" s="19"/>
      <c r="BI62" s="19"/>
      <c r="BJ62" s="19"/>
      <c r="BK62" s="13"/>
      <c r="BL62" s="5"/>
      <c r="BM62" s="5"/>
      <c r="BN62" s="19"/>
      <c r="BO62" s="17"/>
      <c r="BP62" s="19"/>
      <c r="BQ62" s="17"/>
      <c r="BR62" s="19"/>
      <c r="BS62" s="13"/>
      <c r="BT62" s="5"/>
      <c r="BU62" s="23"/>
      <c r="BV62" s="23"/>
      <c r="BW62" s="24"/>
      <c r="BX62" s="5"/>
      <c r="BY62" s="5"/>
      <c r="BZ62" s="5"/>
      <c r="CA62" s="24"/>
      <c r="CB62" s="24"/>
      <c r="CC62" s="24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>
        <f t="shared" si="4"/>
        <v>519</v>
      </c>
      <c r="CV62" s="25">
        <f t="shared" si="5"/>
        <v>0</v>
      </c>
      <c r="CW62" s="26"/>
      <c r="CX62" s="5"/>
      <c r="CY62" s="5"/>
    </row>
    <row r="63" spans="1:103" x14ac:dyDescent="0.2">
      <c r="A63" s="2"/>
      <c r="B63" s="3"/>
      <c r="C63" s="4"/>
      <c r="D63" s="5"/>
      <c r="E63" s="6"/>
      <c r="F63" s="7"/>
      <c r="G63" s="8"/>
      <c r="H63" s="9"/>
      <c r="I63" s="10"/>
      <c r="J63" s="11" t="s">
        <v>157</v>
      </c>
      <c r="K63" s="12">
        <v>12</v>
      </c>
      <c r="L63" s="13">
        <v>19.95</v>
      </c>
      <c r="M63" s="14">
        <f t="shared" si="99"/>
        <v>239.39999999999998</v>
      </c>
      <c r="N63" s="15"/>
      <c r="O63" s="16" t="s">
        <v>111</v>
      </c>
      <c r="P63" s="17">
        <f t="shared" ref="P63:P66" si="100">M63/1.12*0.01</f>
        <v>2.1374999999999997</v>
      </c>
      <c r="Q63" s="18">
        <f t="shared" ref="Q63:Q66" si="101">M63/1.12*0.12</f>
        <v>25.649999999999995</v>
      </c>
      <c r="R63" s="17">
        <f t="shared" ref="R63:R66" si="102">M63+P63-Q63</f>
        <v>215.88749999999996</v>
      </c>
      <c r="S63" s="19"/>
      <c r="T63" s="19"/>
      <c r="U63" s="19"/>
      <c r="V63" s="19"/>
      <c r="W63" s="17"/>
      <c r="X63" s="20"/>
      <c r="Y63" s="19"/>
      <c r="Z63" s="19"/>
      <c r="AA63" s="19"/>
      <c r="AB63" s="19"/>
      <c r="AC63" s="19"/>
      <c r="AD63" s="19"/>
      <c r="AE63" s="5"/>
      <c r="AF63" s="19"/>
      <c r="AG63" s="5"/>
      <c r="AH63" s="17"/>
      <c r="AI63" s="19"/>
      <c r="AJ63" s="19"/>
      <c r="AK63" s="19"/>
      <c r="AL63" s="19"/>
      <c r="AM63" s="17"/>
      <c r="AN63" s="19"/>
      <c r="AO63" s="19"/>
      <c r="AP63" s="19"/>
      <c r="AQ63" s="19"/>
      <c r="AR63" s="19"/>
      <c r="AS63" s="21"/>
      <c r="AT63" s="5"/>
      <c r="AU63" s="19"/>
      <c r="AV63" s="5"/>
      <c r="AW63" s="22"/>
      <c r="AX63" s="19"/>
      <c r="AY63" s="5"/>
      <c r="AZ63" s="19"/>
      <c r="BA63" s="5"/>
      <c r="BB63" s="5"/>
      <c r="BC63" s="19"/>
      <c r="BD63" s="19"/>
      <c r="BE63" s="19"/>
      <c r="BF63" s="19"/>
      <c r="BG63" s="19"/>
      <c r="BH63" s="19"/>
      <c r="BI63" s="19"/>
      <c r="BJ63" s="19"/>
      <c r="BK63" s="13"/>
      <c r="BL63" s="5"/>
      <c r="BM63" s="5"/>
      <c r="BN63" s="19"/>
      <c r="BO63" s="17"/>
      <c r="BP63" s="19"/>
      <c r="BQ63" s="17"/>
      <c r="BR63" s="19"/>
      <c r="BS63" s="13"/>
      <c r="BT63" s="5"/>
      <c r="BU63" s="23"/>
      <c r="BV63" s="23"/>
      <c r="BW63" s="24"/>
      <c r="BX63" s="5"/>
      <c r="BY63" s="5"/>
      <c r="BZ63" s="5"/>
      <c r="CA63" s="24"/>
      <c r="CB63" s="24"/>
      <c r="CC63" s="24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>
        <f t="shared" si="4"/>
        <v>239.39999999999998</v>
      </c>
      <c r="CV63" s="25">
        <f t="shared" si="5"/>
        <v>0</v>
      </c>
      <c r="CW63" s="26"/>
      <c r="CX63" s="5"/>
      <c r="CY63" s="5"/>
    </row>
    <row r="64" spans="1:103" x14ac:dyDescent="0.2">
      <c r="A64" s="2"/>
      <c r="B64" s="3"/>
      <c r="C64" s="4"/>
      <c r="D64" s="5"/>
      <c r="E64" s="6"/>
      <c r="F64" s="7"/>
      <c r="G64" s="8"/>
      <c r="H64" s="9"/>
      <c r="I64" s="10"/>
      <c r="J64" s="11" t="s">
        <v>157</v>
      </c>
      <c r="K64" s="12">
        <v>12</v>
      </c>
      <c r="L64" s="13">
        <v>19.95</v>
      </c>
      <c r="M64" s="14">
        <f t="shared" si="99"/>
        <v>239.39999999999998</v>
      </c>
      <c r="N64" s="15"/>
      <c r="O64" s="16" t="s">
        <v>111</v>
      </c>
      <c r="P64" s="17">
        <f t="shared" si="100"/>
        <v>2.1374999999999997</v>
      </c>
      <c r="Q64" s="18">
        <f t="shared" si="101"/>
        <v>25.649999999999995</v>
      </c>
      <c r="R64" s="17">
        <f t="shared" si="102"/>
        <v>215.88749999999996</v>
      </c>
      <c r="S64" s="19"/>
      <c r="T64" s="19"/>
      <c r="U64" s="19"/>
      <c r="V64" s="19"/>
      <c r="W64" s="17"/>
      <c r="X64" s="20"/>
      <c r="Y64" s="19"/>
      <c r="Z64" s="19"/>
      <c r="AA64" s="19"/>
      <c r="AB64" s="19"/>
      <c r="AC64" s="19"/>
      <c r="AD64" s="19"/>
      <c r="AE64" s="5"/>
      <c r="AF64" s="19"/>
      <c r="AG64" s="5"/>
      <c r="AH64" s="17"/>
      <c r="AI64" s="19"/>
      <c r="AJ64" s="19"/>
      <c r="AK64" s="19"/>
      <c r="AL64" s="19"/>
      <c r="AM64" s="17"/>
      <c r="AN64" s="19"/>
      <c r="AO64" s="19"/>
      <c r="AP64" s="19"/>
      <c r="AQ64" s="19"/>
      <c r="AR64" s="19"/>
      <c r="AS64" s="21"/>
      <c r="AT64" s="5"/>
      <c r="AU64" s="19"/>
      <c r="AV64" s="5"/>
      <c r="AW64" s="22"/>
      <c r="AX64" s="19"/>
      <c r="AY64" s="5"/>
      <c r="AZ64" s="19"/>
      <c r="BA64" s="5"/>
      <c r="BB64" s="5"/>
      <c r="BC64" s="19"/>
      <c r="BD64" s="19"/>
      <c r="BE64" s="19"/>
      <c r="BF64" s="19"/>
      <c r="BG64" s="19"/>
      <c r="BH64" s="19"/>
      <c r="BI64" s="19"/>
      <c r="BJ64" s="19"/>
      <c r="BK64" s="13"/>
      <c r="BL64" s="5"/>
      <c r="BM64" s="5"/>
      <c r="BN64" s="19"/>
      <c r="BO64" s="17"/>
      <c r="BP64" s="19"/>
      <c r="BQ64" s="17"/>
      <c r="BR64" s="19"/>
      <c r="BS64" s="13"/>
      <c r="BT64" s="5"/>
      <c r="BU64" s="23"/>
      <c r="BV64" s="23"/>
      <c r="BW64" s="24"/>
      <c r="BX64" s="5"/>
      <c r="BY64" s="5"/>
      <c r="BZ64" s="5"/>
      <c r="CA64" s="24"/>
      <c r="CB64" s="24"/>
      <c r="CC64" s="24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>
        <f t="shared" si="4"/>
        <v>239.39999999999998</v>
      </c>
      <c r="CV64" s="25">
        <f t="shared" si="5"/>
        <v>0</v>
      </c>
      <c r="CW64" s="26"/>
      <c r="CX64" s="5"/>
      <c r="CY64" s="5"/>
    </row>
    <row r="65" spans="1:103" x14ac:dyDescent="0.2">
      <c r="A65" s="2"/>
      <c r="B65" s="3"/>
      <c r="C65" s="4"/>
      <c r="D65" s="5"/>
      <c r="E65" s="6"/>
      <c r="F65" s="7"/>
      <c r="G65" s="8"/>
      <c r="H65" s="9"/>
      <c r="I65" s="10"/>
      <c r="J65" s="11" t="s">
        <v>158</v>
      </c>
      <c r="K65" s="12">
        <v>24</v>
      </c>
      <c r="L65" s="13">
        <v>20.5</v>
      </c>
      <c r="M65" s="14">
        <f t="shared" si="99"/>
        <v>492</v>
      </c>
      <c r="N65" s="15"/>
      <c r="O65" s="16" t="s">
        <v>111</v>
      </c>
      <c r="P65" s="17">
        <f t="shared" si="100"/>
        <v>4.3928571428571423</v>
      </c>
      <c r="Q65" s="18">
        <f t="shared" si="101"/>
        <v>52.714285714285701</v>
      </c>
      <c r="R65" s="17">
        <f t="shared" si="102"/>
        <v>443.67857142857144</v>
      </c>
      <c r="S65" s="19"/>
      <c r="T65" s="19"/>
      <c r="U65" s="19"/>
      <c r="V65" s="19"/>
      <c r="W65" s="17"/>
      <c r="X65" s="20"/>
      <c r="Y65" s="19"/>
      <c r="Z65" s="19"/>
      <c r="AA65" s="19"/>
      <c r="AB65" s="19"/>
      <c r="AC65" s="19"/>
      <c r="AD65" s="19"/>
      <c r="AE65" s="5"/>
      <c r="AF65" s="19"/>
      <c r="AG65" s="5"/>
      <c r="AH65" s="17"/>
      <c r="AI65" s="19"/>
      <c r="AJ65" s="19"/>
      <c r="AK65" s="19"/>
      <c r="AL65" s="19"/>
      <c r="AM65" s="17"/>
      <c r="AN65" s="19"/>
      <c r="AO65" s="19"/>
      <c r="AP65" s="19"/>
      <c r="AQ65" s="19"/>
      <c r="AR65" s="19"/>
      <c r="AS65" s="21"/>
      <c r="AT65" s="5"/>
      <c r="AU65" s="19"/>
      <c r="AV65" s="5"/>
      <c r="AW65" s="22"/>
      <c r="AX65" s="19"/>
      <c r="AY65" s="5"/>
      <c r="AZ65" s="19"/>
      <c r="BA65" s="5"/>
      <c r="BB65" s="5"/>
      <c r="BC65" s="19"/>
      <c r="BD65" s="19"/>
      <c r="BE65" s="19"/>
      <c r="BF65" s="19"/>
      <c r="BG65" s="19"/>
      <c r="BH65" s="19"/>
      <c r="BI65" s="19"/>
      <c r="BJ65" s="19"/>
      <c r="BK65" s="13"/>
      <c r="BL65" s="5"/>
      <c r="BM65" s="5"/>
      <c r="BN65" s="19"/>
      <c r="BO65" s="17"/>
      <c r="BP65" s="19"/>
      <c r="BQ65" s="17"/>
      <c r="BR65" s="19"/>
      <c r="BS65" s="13"/>
      <c r="BT65" s="5"/>
      <c r="BU65" s="23"/>
      <c r="BV65" s="23"/>
      <c r="BW65" s="24"/>
      <c r="BX65" s="5"/>
      <c r="BY65" s="5"/>
      <c r="BZ65" s="5"/>
      <c r="CA65" s="24"/>
      <c r="CB65" s="24"/>
      <c r="CC65" s="24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>
        <f t="shared" si="4"/>
        <v>492</v>
      </c>
      <c r="CV65" s="25">
        <f t="shared" si="5"/>
        <v>0</v>
      </c>
      <c r="CW65" s="26"/>
      <c r="CX65" s="5"/>
      <c r="CY65" s="5"/>
    </row>
    <row r="66" spans="1:103" x14ac:dyDescent="0.2">
      <c r="A66" s="2"/>
      <c r="B66" s="3"/>
      <c r="C66" s="4"/>
      <c r="D66" s="5"/>
      <c r="E66" s="6"/>
      <c r="F66" s="7"/>
      <c r="G66" s="8"/>
      <c r="H66" s="9"/>
      <c r="I66" s="10"/>
      <c r="J66" s="11" t="s">
        <v>159</v>
      </c>
      <c r="K66" s="12">
        <v>10</v>
      </c>
      <c r="L66" s="13">
        <v>159</v>
      </c>
      <c r="M66" s="14">
        <f t="shared" si="99"/>
        <v>1590</v>
      </c>
      <c r="N66" s="15"/>
      <c r="O66" s="16" t="s">
        <v>111</v>
      </c>
      <c r="P66" s="17">
        <f t="shared" si="100"/>
        <v>14.196428571428571</v>
      </c>
      <c r="Q66" s="18">
        <f t="shared" si="101"/>
        <v>170.35714285714283</v>
      </c>
      <c r="R66" s="17">
        <f t="shared" si="102"/>
        <v>1433.8392857142858</v>
      </c>
      <c r="S66" s="19"/>
      <c r="T66" s="19"/>
      <c r="U66" s="19"/>
      <c r="V66" s="19"/>
      <c r="W66" s="17"/>
      <c r="X66" s="20"/>
      <c r="Y66" s="19"/>
      <c r="Z66" s="19"/>
      <c r="AA66" s="19"/>
      <c r="AB66" s="19"/>
      <c r="AC66" s="19"/>
      <c r="AD66" s="19"/>
      <c r="AE66" s="5"/>
      <c r="AF66" s="19"/>
      <c r="AG66" s="5"/>
      <c r="AH66" s="17"/>
      <c r="AI66" s="19"/>
      <c r="AJ66" s="19"/>
      <c r="AK66" s="19"/>
      <c r="AL66" s="19"/>
      <c r="AM66" s="17"/>
      <c r="AN66" s="19"/>
      <c r="AO66" s="19"/>
      <c r="AP66" s="19"/>
      <c r="AQ66" s="19"/>
      <c r="AR66" s="19"/>
      <c r="AS66" s="21"/>
      <c r="AT66" s="5"/>
      <c r="AU66" s="19"/>
      <c r="AV66" s="5"/>
      <c r="AW66" s="22"/>
      <c r="AX66" s="19"/>
      <c r="AY66" s="5"/>
      <c r="AZ66" s="19"/>
      <c r="BA66" s="5"/>
      <c r="BB66" s="5"/>
      <c r="BC66" s="19"/>
      <c r="BD66" s="19"/>
      <c r="BE66" s="19"/>
      <c r="BF66" s="19"/>
      <c r="BG66" s="19"/>
      <c r="BH66" s="19"/>
      <c r="BI66" s="19"/>
      <c r="BJ66" s="19"/>
      <c r="BK66" s="13"/>
      <c r="BL66" s="5"/>
      <c r="BM66" s="5"/>
      <c r="BN66" s="19"/>
      <c r="BO66" s="17"/>
      <c r="BP66" s="19"/>
      <c r="BQ66" s="17"/>
      <c r="BR66" s="19"/>
      <c r="BS66" s="13"/>
      <c r="BT66" s="5"/>
      <c r="BU66" s="23"/>
      <c r="BV66" s="23"/>
      <c r="BW66" s="24"/>
      <c r="BX66" s="5"/>
      <c r="BY66" s="5"/>
      <c r="BZ66" s="5"/>
      <c r="CA66" s="24"/>
      <c r="CB66" s="24"/>
      <c r="CC66" s="24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>
        <f t="shared" si="4"/>
        <v>1590</v>
      </c>
      <c r="CV66" s="25">
        <f t="shared" si="5"/>
        <v>0</v>
      </c>
      <c r="CW66" s="26"/>
      <c r="CX66" s="5"/>
      <c r="CY66" s="5"/>
    </row>
    <row r="67" spans="1:103" x14ac:dyDescent="0.2">
      <c r="A67" s="27"/>
      <c r="B67" s="28"/>
      <c r="C67" s="29"/>
      <c r="D67" s="30"/>
      <c r="E67" s="31"/>
      <c r="F67" s="32"/>
      <c r="G67" s="33"/>
      <c r="H67" s="34"/>
      <c r="I67" s="34"/>
      <c r="J67" s="35"/>
      <c r="K67" s="36"/>
      <c r="L67" s="37"/>
      <c r="M67" s="38">
        <f>SUM(M62:M66)</f>
        <v>3079.8</v>
      </c>
      <c r="N67" s="38"/>
      <c r="O67" s="39" t="s">
        <v>111</v>
      </c>
      <c r="P67" s="38">
        <f t="shared" ref="P67:W67" si="103">SUM(P62:P66)</f>
        <v>27.498214285714283</v>
      </c>
      <c r="Q67" s="38">
        <f t="shared" si="103"/>
        <v>329.9785714285714</v>
      </c>
      <c r="R67" s="38">
        <f t="shared" si="103"/>
        <v>2309.2928571428574</v>
      </c>
      <c r="S67" s="38">
        <f t="shared" si="103"/>
        <v>0</v>
      </c>
      <c r="T67" s="38">
        <f t="shared" si="103"/>
        <v>0</v>
      </c>
      <c r="U67" s="38">
        <f t="shared" si="103"/>
        <v>0</v>
      </c>
      <c r="V67" s="38">
        <f t="shared" si="103"/>
        <v>0</v>
      </c>
      <c r="W67" s="38">
        <f t="shared" si="103"/>
        <v>468.02678571428572</v>
      </c>
      <c r="X67" s="38">
        <f t="shared" ref="X67:AD67" si="104">SUM(X62:X62)</f>
        <v>0</v>
      </c>
      <c r="Y67" s="38">
        <f t="shared" si="104"/>
        <v>0</v>
      </c>
      <c r="Z67" s="38">
        <f t="shared" si="104"/>
        <v>0</v>
      </c>
      <c r="AA67" s="38">
        <f t="shared" si="104"/>
        <v>0</v>
      </c>
      <c r="AB67" s="38">
        <f t="shared" si="104"/>
        <v>0</v>
      </c>
      <c r="AC67" s="38">
        <f t="shared" si="104"/>
        <v>0</v>
      </c>
      <c r="AD67" s="38">
        <f t="shared" si="104"/>
        <v>0</v>
      </c>
      <c r="AE67" s="30"/>
      <c r="AF67" s="38">
        <f>SUM(AF62:AF62)</f>
        <v>0</v>
      </c>
      <c r="AG67" s="30"/>
      <c r="AH67" s="38">
        <f t="shared" ref="AH67:AZ67" si="105">SUM(AH62:AH62)</f>
        <v>0</v>
      </c>
      <c r="AI67" s="38">
        <f t="shared" si="105"/>
        <v>0</v>
      </c>
      <c r="AJ67" s="38">
        <f t="shared" si="105"/>
        <v>0</v>
      </c>
      <c r="AK67" s="38">
        <f t="shared" si="105"/>
        <v>0</v>
      </c>
      <c r="AL67" s="38">
        <f t="shared" si="105"/>
        <v>0</v>
      </c>
      <c r="AM67" s="38">
        <f t="shared" si="105"/>
        <v>0</v>
      </c>
      <c r="AN67" s="38">
        <f t="shared" si="105"/>
        <v>0</v>
      </c>
      <c r="AO67" s="38">
        <f t="shared" si="105"/>
        <v>0</v>
      </c>
      <c r="AP67" s="38">
        <f t="shared" si="105"/>
        <v>0</v>
      </c>
      <c r="AQ67" s="38">
        <f t="shared" si="105"/>
        <v>0</v>
      </c>
      <c r="AR67" s="38">
        <f t="shared" si="105"/>
        <v>0</v>
      </c>
      <c r="AS67" s="38">
        <f t="shared" si="105"/>
        <v>0</v>
      </c>
      <c r="AT67" s="38">
        <f t="shared" si="105"/>
        <v>0</v>
      </c>
      <c r="AU67" s="38">
        <f t="shared" si="105"/>
        <v>0</v>
      </c>
      <c r="AV67" s="38">
        <f t="shared" si="105"/>
        <v>0</v>
      </c>
      <c r="AW67" s="38">
        <f t="shared" si="105"/>
        <v>0</v>
      </c>
      <c r="AX67" s="38">
        <f t="shared" si="105"/>
        <v>0</v>
      </c>
      <c r="AY67" s="38">
        <f t="shared" si="105"/>
        <v>0</v>
      </c>
      <c r="AZ67" s="38">
        <f t="shared" si="105"/>
        <v>0</v>
      </c>
      <c r="BA67" s="30"/>
      <c r="BB67" s="38">
        <f t="shared" ref="BB67:CT67" si="106">SUM(BB62:BB62)</f>
        <v>0</v>
      </c>
      <c r="BC67" s="38">
        <f t="shared" si="106"/>
        <v>0</v>
      </c>
      <c r="BD67" s="38">
        <f t="shared" si="106"/>
        <v>0</v>
      </c>
      <c r="BE67" s="38">
        <f t="shared" si="106"/>
        <v>0</v>
      </c>
      <c r="BF67" s="38">
        <f t="shared" si="106"/>
        <v>0</v>
      </c>
      <c r="BG67" s="38">
        <f t="shared" si="106"/>
        <v>0</v>
      </c>
      <c r="BH67" s="38">
        <f t="shared" si="106"/>
        <v>0</v>
      </c>
      <c r="BI67" s="38">
        <f t="shared" si="106"/>
        <v>0</v>
      </c>
      <c r="BJ67" s="38">
        <f t="shared" si="106"/>
        <v>0</v>
      </c>
      <c r="BK67" s="38">
        <f t="shared" si="106"/>
        <v>0</v>
      </c>
      <c r="BL67" s="38">
        <f t="shared" si="106"/>
        <v>0</v>
      </c>
      <c r="BM67" s="38">
        <f t="shared" si="106"/>
        <v>0</v>
      </c>
      <c r="BN67" s="38">
        <f t="shared" si="106"/>
        <v>0</v>
      </c>
      <c r="BO67" s="38">
        <f t="shared" si="106"/>
        <v>0</v>
      </c>
      <c r="BP67" s="38">
        <f t="shared" si="106"/>
        <v>0</v>
      </c>
      <c r="BQ67" s="38">
        <f t="shared" si="106"/>
        <v>0</v>
      </c>
      <c r="BR67" s="38">
        <f t="shared" si="106"/>
        <v>0</v>
      </c>
      <c r="BS67" s="38">
        <f t="shared" si="106"/>
        <v>0</v>
      </c>
      <c r="BT67" s="38">
        <f t="shared" si="106"/>
        <v>0</v>
      </c>
      <c r="BU67" s="38">
        <f t="shared" si="106"/>
        <v>0</v>
      </c>
      <c r="BV67" s="38">
        <f t="shared" si="106"/>
        <v>0</v>
      </c>
      <c r="BW67" s="38">
        <f t="shared" si="106"/>
        <v>0</v>
      </c>
      <c r="BX67" s="38">
        <f t="shared" si="106"/>
        <v>0</v>
      </c>
      <c r="BY67" s="38">
        <f t="shared" si="106"/>
        <v>0</v>
      </c>
      <c r="BZ67" s="38">
        <f t="shared" si="106"/>
        <v>0</v>
      </c>
      <c r="CA67" s="38">
        <f t="shared" si="106"/>
        <v>0</v>
      </c>
      <c r="CB67" s="38">
        <f t="shared" si="106"/>
        <v>0</v>
      </c>
      <c r="CC67" s="38">
        <f t="shared" si="106"/>
        <v>0</v>
      </c>
      <c r="CD67" s="38">
        <f t="shared" si="106"/>
        <v>0</v>
      </c>
      <c r="CE67" s="38">
        <f t="shared" si="106"/>
        <v>0</v>
      </c>
      <c r="CF67" s="38">
        <f t="shared" si="106"/>
        <v>0</v>
      </c>
      <c r="CG67" s="38">
        <f t="shared" si="106"/>
        <v>0</v>
      </c>
      <c r="CH67" s="38">
        <f t="shared" si="106"/>
        <v>0</v>
      </c>
      <c r="CI67" s="38">
        <f t="shared" si="106"/>
        <v>0</v>
      </c>
      <c r="CJ67" s="38">
        <f t="shared" si="106"/>
        <v>0</v>
      </c>
      <c r="CK67" s="38">
        <f t="shared" si="106"/>
        <v>0</v>
      </c>
      <c r="CL67" s="38">
        <f t="shared" si="106"/>
        <v>0</v>
      </c>
      <c r="CM67" s="38">
        <f t="shared" si="106"/>
        <v>0</v>
      </c>
      <c r="CN67" s="38">
        <f t="shared" si="106"/>
        <v>0</v>
      </c>
      <c r="CO67" s="38">
        <f t="shared" si="106"/>
        <v>0</v>
      </c>
      <c r="CP67" s="38">
        <f t="shared" si="106"/>
        <v>0</v>
      </c>
      <c r="CQ67" s="38">
        <f t="shared" si="106"/>
        <v>0</v>
      </c>
      <c r="CR67" s="38">
        <f t="shared" si="106"/>
        <v>0</v>
      </c>
      <c r="CS67" s="38">
        <f t="shared" si="106"/>
        <v>0</v>
      </c>
      <c r="CT67" s="38">
        <f t="shared" si="106"/>
        <v>0</v>
      </c>
      <c r="CU67" s="17">
        <f t="shared" si="4"/>
        <v>3079.8</v>
      </c>
      <c r="CV67" s="25">
        <f t="shared" si="5"/>
        <v>0</v>
      </c>
      <c r="CW67" s="40"/>
      <c r="CX67" s="30"/>
      <c r="CY67" s="30"/>
    </row>
    <row r="68" spans="1:103" x14ac:dyDescent="0.2">
      <c r="A68" s="2">
        <v>45878</v>
      </c>
      <c r="B68" s="3" t="s">
        <v>146</v>
      </c>
      <c r="C68" s="4" t="s">
        <v>494</v>
      </c>
      <c r="D68" s="5" t="s">
        <v>122</v>
      </c>
      <c r="E68" s="6" t="s">
        <v>147</v>
      </c>
      <c r="F68" s="7" t="s">
        <v>148</v>
      </c>
      <c r="G68" s="8" t="s">
        <v>149</v>
      </c>
      <c r="H68" s="9">
        <v>240877</v>
      </c>
      <c r="I68" s="10" t="s">
        <v>399</v>
      </c>
      <c r="J68" s="11" t="s">
        <v>150</v>
      </c>
      <c r="K68" s="12">
        <v>3</v>
      </c>
      <c r="L68" s="13">
        <v>184.4</v>
      </c>
      <c r="M68" s="14">
        <f t="shared" ref="M68" si="107">L68*K68</f>
        <v>553.20000000000005</v>
      </c>
      <c r="N68" s="15"/>
      <c r="O68" s="16" t="s">
        <v>111</v>
      </c>
      <c r="P68" s="17">
        <f>M68/1.12*0.01</f>
        <v>4.9392857142857149</v>
      </c>
      <c r="Q68" s="18">
        <f>M68/1.12*0.12</f>
        <v>59.271428571428572</v>
      </c>
      <c r="R68" s="17">
        <f>M68+P68-Q68</f>
        <v>498.86785714285713</v>
      </c>
      <c r="S68" s="19"/>
      <c r="T68" s="19"/>
      <c r="U68" s="19"/>
      <c r="V68" s="19"/>
      <c r="W68" s="17"/>
      <c r="X68" s="20"/>
      <c r="Y68" s="19"/>
      <c r="Z68" s="19"/>
      <c r="AA68" s="19"/>
      <c r="AB68" s="19"/>
      <c r="AC68" s="19"/>
      <c r="AD68" s="19"/>
      <c r="AE68" s="5"/>
      <c r="AF68" s="19"/>
      <c r="AG68" s="5"/>
      <c r="AH68" s="17"/>
      <c r="AI68" s="19"/>
      <c r="AJ68" s="19"/>
      <c r="AK68" s="19"/>
      <c r="AL68" s="19"/>
      <c r="AM68" s="17"/>
      <c r="AN68" s="19"/>
      <c r="AO68" s="19"/>
      <c r="AP68" s="19"/>
      <c r="AQ68" s="19"/>
      <c r="AR68" s="19"/>
      <c r="AS68" s="21"/>
      <c r="AT68" s="5"/>
      <c r="AU68" s="19"/>
      <c r="AV68" s="5"/>
      <c r="AW68" s="22"/>
      <c r="AX68" s="19"/>
      <c r="AY68" s="5"/>
      <c r="AZ68" s="19"/>
      <c r="BA68" s="5"/>
      <c r="BB68" s="5"/>
      <c r="BC68" s="19"/>
      <c r="BD68" s="19"/>
      <c r="BE68" s="19"/>
      <c r="BF68" s="19"/>
      <c r="BG68" s="19"/>
      <c r="BH68" s="19"/>
      <c r="BI68" s="19"/>
      <c r="BJ68" s="19"/>
      <c r="BK68" s="13"/>
      <c r="BL68" s="5"/>
      <c r="BM68" s="5"/>
      <c r="BN68" s="19"/>
      <c r="BO68" s="17"/>
      <c r="BP68" s="19"/>
      <c r="BQ68" s="17"/>
      <c r="BR68" s="19"/>
      <c r="BS68" s="13"/>
      <c r="BT68" s="5"/>
      <c r="BU68" s="23"/>
      <c r="BV68" s="23"/>
      <c r="BW68" s="24"/>
      <c r="BX68" s="5"/>
      <c r="BY68" s="5"/>
      <c r="BZ68" s="5"/>
      <c r="CA68" s="24"/>
      <c r="CB68" s="24"/>
      <c r="CC68" s="24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>
        <f t="shared" si="4"/>
        <v>553.20000000000005</v>
      </c>
      <c r="CV68" s="25">
        <f t="shared" si="5"/>
        <v>0</v>
      </c>
      <c r="CW68" s="26"/>
      <c r="CX68" s="5"/>
      <c r="CY68" s="5"/>
    </row>
    <row r="69" spans="1:103" x14ac:dyDescent="0.2">
      <c r="A69" s="27"/>
      <c r="B69" s="28"/>
      <c r="C69" s="29"/>
      <c r="D69" s="30"/>
      <c r="E69" s="31"/>
      <c r="F69" s="32"/>
      <c r="G69" s="33"/>
      <c r="H69" s="34"/>
      <c r="I69" s="34"/>
      <c r="J69" s="35"/>
      <c r="K69" s="36"/>
      <c r="L69" s="37"/>
      <c r="M69" s="38">
        <f>SUM(M68:M68)</f>
        <v>553.20000000000005</v>
      </c>
      <c r="N69" s="38"/>
      <c r="O69" s="39" t="s">
        <v>111</v>
      </c>
      <c r="P69" s="38">
        <f>SUM(P68:P68)</f>
        <v>4.9392857142857149</v>
      </c>
      <c r="Q69" s="38">
        <f>SUM(Q68:Q68)</f>
        <v>59.271428571428572</v>
      </c>
      <c r="R69" s="38">
        <f>SUM(R68:R68)</f>
        <v>498.86785714285713</v>
      </c>
      <c r="S69" s="38">
        <f t="shared" ref="S69:AD69" si="108">SUM(S68:S68)</f>
        <v>0</v>
      </c>
      <c r="T69" s="38">
        <f t="shared" si="108"/>
        <v>0</v>
      </c>
      <c r="U69" s="38">
        <f t="shared" si="108"/>
        <v>0</v>
      </c>
      <c r="V69" s="38">
        <f t="shared" si="108"/>
        <v>0</v>
      </c>
      <c r="W69" s="38">
        <f t="shared" si="108"/>
        <v>0</v>
      </c>
      <c r="X69" s="38">
        <f t="shared" si="108"/>
        <v>0</v>
      </c>
      <c r="Y69" s="38">
        <f t="shared" si="108"/>
        <v>0</v>
      </c>
      <c r="Z69" s="38">
        <f t="shared" si="108"/>
        <v>0</v>
      </c>
      <c r="AA69" s="38">
        <f t="shared" si="108"/>
        <v>0</v>
      </c>
      <c r="AB69" s="38">
        <f t="shared" si="108"/>
        <v>0</v>
      </c>
      <c r="AC69" s="38">
        <f t="shared" si="108"/>
        <v>0</v>
      </c>
      <c r="AD69" s="38">
        <f t="shared" si="108"/>
        <v>0</v>
      </c>
      <c r="AE69" s="30"/>
      <c r="AF69" s="38">
        <f>SUM(AF68:AF68)</f>
        <v>0</v>
      </c>
      <c r="AG69" s="30"/>
      <c r="AH69" s="38">
        <f t="shared" ref="AH69:AZ69" si="109">SUM(AH68:AH68)</f>
        <v>0</v>
      </c>
      <c r="AI69" s="38">
        <f t="shared" si="109"/>
        <v>0</v>
      </c>
      <c r="AJ69" s="38">
        <f t="shared" si="109"/>
        <v>0</v>
      </c>
      <c r="AK69" s="38">
        <f t="shared" si="109"/>
        <v>0</v>
      </c>
      <c r="AL69" s="38">
        <f t="shared" si="109"/>
        <v>0</v>
      </c>
      <c r="AM69" s="38">
        <f t="shared" si="109"/>
        <v>0</v>
      </c>
      <c r="AN69" s="38">
        <f t="shared" si="109"/>
        <v>0</v>
      </c>
      <c r="AO69" s="38">
        <f t="shared" si="109"/>
        <v>0</v>
      </c>
      <c r="AP69" s="38">
        <f t="shared" si="109"/>
        <v>0</v>
      </c>
      <c r="AQ69" s="38">
        <f t="shared" si="109"/>
        <v>0</v>
      </c>
      <c r="AR69" s="38">
        <f t="shared" si="109"/>
        <v>0</v>
      </c>
      <c r="AS69" s="38">
        <f t="shared" si="109"/>
        <v>0</v>
      </c>
      <c r="AT69" s="38">
        <f t="shared" si="109"/>
        <v>0</v>
      </c>
      <c r="AU69" s="38">
        <f t="shared" si="109"/>
        <v>0</v>
      </c>
      <c r="AV69" s="38">
        <f t="shared" si="109"/>
        <v>0</v>
      </c>
      <c r="AW69" s="38">
        <f t="shared" si="109"/>
        <v>0</v>
      </c>
      <c r="AX69" s="38">
        <f t="shared" si="109"/>
        <v>0</v>
      </c>
      <c r="AY69" s="38">
        <f t="shared" si="109"/>
        <v>0</v>
      </c>
      <c r="AZ69" s="38">
        <f t="shared" si="109"/>
        <v>0</v>
      </c>
      <c r="BA69" s="30"/>
      <c r="BB69" s="38">
        <f t="shared" ref="BB69:CT69" si="110">SUM(BB68:BB68)</f>
        <v>0</v>
      </c>
      <c r="BC69" s="38">
        <f t="shared" si="110"/>
        <v>0</v>
      </c>
      <c r="BD69" s="38">
        <f t="shared" si="110"/>
        <v>0</v>
      </c>
      <c r="BE69" s="38">
        <f t="shared" si="110"/>
        <v>0</v>
      </c>
      <c r="BF69" s="38">
        <f t="shared" si="110"/>
        <v>0</v>
      </c>
      <c r="BG69" s="38">
        <f t="shared" si="110"/>
        <v>0</v>
      </c>
      <c r="BH69" s="38">
        <f t="shared" si="110"/>
        <v>0</v>
      </c>
      <c r="BI69" s="38">
        <f t="shared" si="110"/>
        <v>0</v>
      </c>
      <c r="BJ69" s="38">
        <f t="shared" si="110"/>
        <v>0</v>
      </c>
      <c r="BK69" s="38">
        <f t="shared" si="110"/>
        <v>0</v>
      </c>
      <c r="BL69" s="38">
        <f t="shared" si="110"/>
        <v>0</v>
      </c>
      <c r="BM69" s="38">
        <f t="shared" si="110"/>
        <v>0</v>
      </c>
      <c r="BN69" s="38">
        <f t="shared" si="110"/>
        <v>0</v>
      </c>
      <c r="BO69" s="38">
        <f t="shared" si="110"/>
        <v>0</v>
      </c>
      <c r="BP69" s="38">
        <f t="shared" si="110"/>
        <v>0</v>
      </c>
      <c r="BQ69" s="38">
        <f t="shared" si="110"/>
        <v>0</v>
      </c>
      <c r="BR69" s="38">
        <f t="shared" si="110"/>
        <v>0</v>
      </c>
      <c r="BS69" s="38">
        <f t="shared" si="110"/>
        <v>0</v>
      </c>
      <c r="BT69" s="38">
        <f t="shared" si="110"/>
        <v>0</v>
      </c>
      <c r="BU69" s="38">
        <f t="shared" si="110"/>
        <v>0</v>
      </c>
      <c r="BV69" s="38">
        <f t="shared" si="110"/>
        <v>0</v>
      </c>
      <c r="BW69" s="38">
        <f t="shared" si="110"/>
        <v>0</v>
      </c>
      <c r="BX69" s="38">
        <f t="shared" si="110"/>
        <v>0</v>
      </c>
      <c r="BY69" s="38">
        <f t="shared" si="110"/>
        <v>0</v>
      </c>
      <c r="BZ69" s="38">
        <f t="shared" si="110"/>
        <v>0</v>
      </c>
      <c r="CA69" s="38">
        <f t="shared" si="110"/>
        <v>0</v>
      </c>
      <c r="CB69" s="38">
        <f t="shared" si="110"/>
        <v>0</v>
      </c>
      <c r="CC69" s="38">
        <f t="shared" si="110"/>
        <v>0</v>
      </c>
      <c r="CD69" s="38">
        <f t="shared" si="110"/>
        <v>0</v>
      </c>
      <c r="CE69" s="38">
        <f t="shared" si="110"/>
        <v>0</v>
      </c>
      <c r="CF69" s="38">
        <f t="shared" si="110"/>
        <v>0</v>
      </c>
      <c r="CG69" s="38">
        <f t="shared" si="110"/>
        <v>0</v>
      </c>
      <c r="CH69" s="38">
        <f t="shared" si="110"/>
        <v>0</v>
      </c>
      <c r="CI69" s="38">
        <f t="shared" si="110"/>
        <v>0</v>
      </c>
      <c r="CJ69" s="38">
        <f t="shared" si="110"/>
        <v>0</v>
      </c>
      <c r="CK69" s="38">
        <f t="shared" si="110"/>
        <v>0</v>
      </c>
      <c r="CL69" s="38">
        <f t="shared" si="110"/>
        <v>0</v>
      </c>
      <c r="CM69" s="38">
        <f t="shared" si="110"/>
        <v>0</v>
      </c>
      <c r="CN69" s="38">
        <f t="shared" si="110"/>
        <v>0</v>
      </c>
      <c r="CO69" s="38">
        <f t="shared" si="110"/>
        <v>0</v>
      </c>
      <c r="CP69" s="38">
        <f t="shared" si="110"/>
        <v>0</v>
      </c>
      <c r="CQ69" s="38">
        <f t="shared" si="110"/>
        <v>0</v>
      </c>
      <c r="CR69" s="38">
        <f t="shared" si="110"/>
        <v>0</v>
      </c>
      <c r="CS69" s="38">
        <f t="shared" si="110"/>
        <v>0</v>
      </c>
      <c r="CT69" s="38">
        <f t="shared" si="110"/>
        <v>0</v>
      </c>
      <c r="CU69" s="17">
        <f t="shared" si="4"/>
        <v>553.20000000000005</v>
      </c>
      <c r="CV69" s="25">
        <f t="shared" si="5"/>
        <v>0</v>
      </c>
      <c r="CW69" s="40"/>
      <c r="CX69" s="30"/>
      <c r="CY69" s="30"/>
    </row>
    <row r="70" spans="1:103" x14ac:dyDescent="0.2">
      <c r="A70" s="2">
        <v>45877</v>
      </c>
      <c r="B70" s="3" t="s">
        <v>146</v>
      </c>
      <c r="C70" s="4" t="s">
        <v>495</v>
      </c>
      <c r="D70" s="5" t="s">
        <v>122</v>
      </c>
      <c r="E70" s="156" t="s">
        <v>162</v>
      </c>
      <c r="F70" s="156" t="s">
        <v>163</v>
      </c>
      <c r="G70" s="156" t="s">
        <v>164</v>
      </c>
      <c r="H70" s="156">
        <v>92474</v>
      </c>
      <c r="I70" s="10" t="s">
        <v>400</v>
      </c>
      <c r="J70" s="11" t="s">
        <v>165</v>
      </c>
      <c r="K70" s="12">
        <v>3</v>
      </c>
      <c r="L70" s="13">
        <v>202</v>
      </c>
      <c r="M70" s="14">
        <f t="shared" ref="M70:M79" si="111">L70*K70</f>
        <v>606</v>
      </c>
      <c r="N70" s="15"/>
      <c r="O70" s="16" t="s">
        <v>111</v>
      </c>
      <c r="P70" s="17">
        <f>M70/1.12*0.01</f>
        <v>5.4107142857142856</v>
      </c>
      <c r="Q70" s="18">
        <f>M70/1.12*0.12</f>
        <v>64.928571428571431</v>
      </c>
      <c r="R70" s="17">
        <f>M70+P70-Q70</f>
        <v>546.48214285714289</v>
      </c>
      <c r="S70" s="19"/>
      <c r="T70" s="19"/>
      <c r="U70" s="19"/>
      <c r="V70" s="19"/>
      <c r="W70" s="17"/>
      <c r="X70" s="20"/>
      <c r="Y70" s="19"/>
      <c r="Z70" s="19"/>
      <c r="AA70" s="19"/>
      <c r="AB70" s="19"/>
      <c r="AC70" s="19"/>
      <c r="AD70" s="19"/>
      <c r="AE70" s="5"/>
      <c r="AF70" s="19"/>
      <c r="AG70" s="5"/>
      <c r="AH70" s="17"/>
      <c r="AI70" s="19"/>
      <c r="AJ70" s="19"/>
      <c r="AK70" s="19"/>
      <c r="AL70" s="19"/>
      <c r="AM70" s="17"/>
      <c r="AN70" s="19"/>
      <c r="AO70" s="19"/>
      <c r="AP70" s="19"/>
      <c r="AQ70" s="19"/>
      <c r="AR70" s="19"/>
      <c r="AS70" s="21"/>
      <c r="AT70" s="5"/>
      <c r="AU70" s="19"/>
      <c r="AV70" s="5"/>
      <c r="AW70" s="22"/>
      <c r="AX70" s="19"/>
      <c r="AY70" s="5"/>
      <c r="AZ70" s="19"/>
      <c r="BA70" s="5"/>
      <c r="BB70" s="5"/>
      <c r="BC70" s="19"/>
      <c r="BD70" s="19"/>
      <c r="BE70" s="19"/>
      <c r="BF70" s="19"/>
      <c r="BG70" s="19"/>
      <c r="BH70" s="19"/>
      <c r="BI70" s="19"/>
      <c r="BJ70" s="19"/>
      <c r="BK70" s="13"/>
      <c r="BL70" s="5"/>
      <c r="BM70" s="5"/>
      <c r="BN70" s="19"/>
      <c r="BO70" s="17"/>
      <c r="BP70" s="19"/>
      <c r="BQ70" s="17"/>
      <c r="BR70" s="19"/>
      <c r="BS70" s="13"/>
      <c r="BT70" s="5"/>
      <c r="BU70" s="23"/>
      <c r="BV70" s="23"/>
      <c r="BW70" s="24"/>
      <c r="BX70" s="5"/>
      <c r="BY70" s="5"/>
      <c r="BZ70" s="5"/>
      <c r="CA70" s="24"/>
      <c r="CB70" s="24"/>
      <c r="CC70" s="24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>
        <f t="shared" ref="CU70:CU104" si="112">SUM(Q70:CT70)-P70</f>
        <v>606</v>
      </c>
      <c r="CV70" s="25">
        <f t="shared" ref="CV70:CV104" si="113">CU70-M70</f>
        <v>0</v>
      </c>
      <c r="CW70" s="26"/>
      <c r="CX70" s="5"/>
      <c r="CY70" s="5"/>
    </row>
    <row r="71" spans="1:103" x14ac:dyDescent="0.2">
      <c r="A71" s="2"/>
      <c r="B71" s="3"/>
      <c r="C71" s="4"/>
      <c r="D71" s="5"/>
      <c r="E71" s="6"/>
      <c r="F71" s="7"/>
      <c r="G71" s="8"/>
      <c r="H71" s="9"/>
      <c r="I71" s="10"/>
      <c r="J71" s="11" t="s">
        <v>166</v>
      </c>
      <c r="K71" s="12">
        <v>3</v>
      </c>
      <c r="L71" s="13">
        <v>373</v>
      </c>
      <c r="M71" s="14">
        <f t="shared" si="111"/>
        <v>1119</v>
      </c>
      <c r="N71" s="15"/>
      <c r="O71" s="16" t="s">
        <v>111</v>
      </c>
      <c r="P71" s="17">
        <f t="shared" ref="P71:P79" si="114">M71/1.12*0.01</f>
        <v>9.9910714285714288</v>
      </c>
      <c r="Q71" s="18">
        <f t="shared" ref="Q71:Q79" si="115">M71/1.12*0.12</f>
        <v>119.89285714285712</v>
      </c>
      <c r="R71" s="17">
        <f t="shared" ref="R71:R79" si="116">M71+P71-Q71</f>
        <v>1009.0982142857142</v>
      </c>
      <c r="S71" s="19"/>
      <c r="T71" s="19"/>
      <c r="U71" s="19"/>
      <c r="V71" s="19"/>
      <c r="W71" s="17"/>
      <c r="X71" s="20"/>
      <c r="Y71" s="19"/>
      <c r="Z71" s="19"/>
      <c r="AA71" s="19"/>
      <c r="AB71" s="19"/>
      <c r="AC71" s="19"/>
      <c r="AD71" s="19"/>
      <c r="AE71" s="5"/>
      <c r="AF71" s="19"/>
      <c r="AG71" s="5"/>
      <c r="AH71" s="17"/>
      <c r="AI71" s="19"/>
      <c r="AJ71" s="19"/>
      <c r="AK71" s="19"/>
      <c r="AL71" s="19"/>
      <c r="AM71" s="17"/>
      <c r="AN71" s="19"/>
      <c r="AO71" s="19"/>
      <c r="AP71" s="19"/>
      <c r="AQ71" s="19"/>
      <c r="AR71" s="19"/>
      <c r="AS71" s="21"/>
      <c r="AT71" s="5"/>
      <c r="AU71" s="19"/>
      <c r="AV71" s="5"/>
      <c r="AW71" s="22"/>
      <c r="AX71" s="19"/>
      <c r="AY71" s="5"/>
      <c r="AZ71" s="19"/>
      <c r="BA71" s="5"/>
      <c r="BB71" s="5"/>
      <c r="BC71" s="19"/>
      <c r="BD71" s="19"/>
      <c r="BE71" s="19"/>
      <c r="BF71" s="19"/>
      <c r="BG71" s="19"/>
      <c r="BH71" s="19"/>
      <c r="BI71" s="19"/>
      <c r="BJ71" s="19"/>
      <c r="BK71" s="13"/>
      <c r="BL71" s="5"/>
      <c r="BM71" s="5"/>
      <c r="BN71" s="19"/>
      <c r="BO71" s="17"/>
      <c r="BP71" s="19"/>
      <c r="BQ71" s="17"/>
      <c r="BR71" s="19"/>
      <c r="BS71" s="13"/>
      <c r="BT71" s="5"/>
      <c r="BU71" s="23"/>
      <c r="BV71" s="23"/>
      <c r="BW71" s="24"/>
      <c r="BX71" s="5"/>
      <c r="BY71" s="5"/>
      <c r="BZ71" s="5"/>
      <c r="CA71" s="24"/>
      <c r="CB71" s="24"/>
      <c r="CC71" s="24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>
        <f t="shared" si="112"/>
        <v>1119</v>
      </c>
      <c r="CV71" s="25">
        <f t="shared" si="113"/>
        <v>0</v>
      </c>
      <c r="CW71" s="26"/>
      <c r="CX71" s="5"/>
      <c r="CY71" s="5"/>
    </row>
    <row r="72" spans="1:103" x14ac:dyDescent="0.2">
      <c r="A72" s="2"/>
      <c r="B72" s="3"/>
      <c r="C72" s="4"/>
      <c r="D72" s="5"/>
      <c r="E72" s="6"/>
      <c r="F72" s="7"/>
      <c r="G72" s="8"/>
      <c r="H72" s="9"/>
      <c r="I72" s="10"/>
      <c r="J72" s="11" t="s">
        <v>167</v>
      </c>
      <c r="K72" s="12">
        <v>5</v>
      </c>
      <c r="L72" s="13">
        <v>86</v>
      </c>
      <c r="M72" s="14">
        <f t="shared" si="111"/>
        <v>430</v>
      </c>
      <c r="N72" s="15"/>
      <c r="O72" s="16" t="s">
        <v>111</v>
      </c>
      <c r="P72" s="17">
        <f t="shared" si="114"/>
        <v>3.839285714285714</v>
      </c>
      <c r="Q72" s="18">
        <f t="shared" si="115"/>
        <v>46.071428571428562</v>
      </c>
      <c r="R72" s="17">
        <f t="shared" si="116"/>
        <v>387.76785714285717</v>
      </c>
      <c r="S72" s="19"/>
      <c r="T72" s="19"/>
      <c r="U72" s="19"/>
      <c r="V72" s="19"/>
      <c r="W72" s="17"/>
      <c r="X72" s="20"/>
      <c r="Y72" s="19"/>
      <c r="Z72" s="19"/>
      <c r="AA72" s="19"/>
      <c r="AB72" s="19"/>
      <c r="AC72" s="19"/>
      <c r="AD72" s="19"/>
      <c r="AE72" s="5"/>
      <c r="AF72" s="19"/>
      <c r="AG72" s="5"/>
      <c r="AH72" s="17"/>
      <c r="AI72" s="19"/>
      <c r="AJ72" s="19"/>
      <c r="AK72" s="19"/>
      <c r="AL72" s="19"/>
      <c r="AM72" s="17"/>
      <c r="AN72" s="19"/>
      <c r="AO72" s="19"/>
      <c r="AP72" s="19"/>
      <c r="AQ72" s="19"/>
      <c r="AR72" s="19"/>
      <c r="AS72" s="21"/>
      <c r="AT72" s="5"/>
      <c r="AU72" s="19"/>
      <c r="AV72" s="5"/>
      <c r="AW72" s="22"/>
      <c r="AX72" s="19"/>
      <c r="AY72" s="5"/>
      <c r="AZ72" s="19"/>
      <c r="BA72" s="5"/>
      <c r="BB72" s="5"/>
      <c r="BC72" s="19"/>
      <c r="BD72" s="19"/>
      <c r="BE72" s="19"/>
      <c r="BF72" s="19"/>
      <c r="BG72" s="19"/>
      <c r="BH72" s="19"/>
      <c r="BI72" s="19"/>
      <c r="BJ72" s="19"/>
      <c r="BK72" s="13"/>
      <c r="BL72" s="5"/>
      <c r="BM72" s="5"/>
      <c r="BN72" s="19"/>
      <c r="BO72" s="17"/>
      <c r="BP72" s="19"/>
      <c r="BQ72" s="17"/>
      <c r="BR72" s="19"/>
      <c r="BS72" s="13"/>
      <c r="BT72" s="5"/>
      <c r="BU72" s="23"/>
      <c r="BV72" s="23"/>
      <c r="BW72" s="24"/>
      <c r="BX72" s="5"/>
      <c r="BY72" s="5"/>
      <c r="BZ72" s="5"/>
      <c r="CA72" s="24"/>
      <c r="CB72" s="24"/>
      <c r="CC72" s="24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>
        <f t="shared" si="112"/>
        <v>430</v>
      </c>
      <c r="CV72" s="25">
        <f t="shared" si="113"/>
        <v>0</v>
      </c>
      <c r="CW72" s="26"/>
      <c r="CX72" s="5"/>
      <c r="CY72" s="5"/>
    </row>
    <row r="73" spans="1:103" x14ac:dyDescent="0.2">
      <c r="A73" s="2"/>
      <c r="B73" s="3"/>
      <c r="C73" s="4"/>
      <c r="D73" s="5"/>
      <c r="E73" s="6"/>
      <c r="F73" s="7"/>
      <c r="G73" s="8"/>
      <c r="H73" s="9"/>
      <c r="I73" s="10"/>
      <c r="J73" s="11" t="s">
        <v>168</v>
      </c>
      <c r="K73" s="12">
        <v>24</v>
      </c>
      <c r="L73" s="13">
        <v>19.25</v>
      </c>
      <c r="M73" s="14">
        <f t="shared" si="111"/>
        <v>462</v>
      </c>
      <c r="N73" s="15"/>
      <c r="O73" s="16" t="s">
        <v>111</v>
      </c>
      <c r="P73" s="17">
        <f t="shared" si="114"/>
        <v>4.1249999999999991</v>
      </c>
      <c r="Q73" s="18">
        <f t="shared" si="115"/>
        <v>49.499999999999993</v>
      </c>
      <c r="R73" s="17">
        <f t="shared" si="116"/>
        <v>416.625</v>
      </c>
      <c r="S73" s="19"/>
      <c r="T73" s="19"/>
      <c r="U73" s="19"/>
      <c r="V73" s="19"/>
      <c r="W73" s="17"/>
      <c r="X73" s="20"/>
      <c r="Y73" s="19"/>
      <c r="Z73" s="19"/>
      <c r="AA73" s="19"/>
      <c r="AB73" s="19"/>
      <c r="AC73" s="19"/>
      <c r="AD73" s="19"/>
      <c r="AE73" s="5"/>
      <c r="AF73" s="19"/>
      <c r="AG73" s="5"/>
      <c r="AH73" s="17"/>
      <c r="AI73" s="19"/>
      <c r="AJ73" s="19"/>
      <c r="AK73" s="19"/>
      <c r="AL73" s="19"/>
      <c r="AM73" s="17"/>
      <c r="AN73" s="19"/>
      <c r="AO73" s="19"/>
      <c r="AP73" s="19"/>
      <c r="AQ73" s="19"/>
      <c r="AR73" s="19"/>
      <c r="AS73" s="21"/>
      <c r="AT73" s="5"/>
      <c r="AU73" s="19"/>
      <c r="AV73" s="5"/>
      <c r="AW73" s="22"/>
      <c r="AX73" s="19"/>
      <c r="AY73" s="5"/>
      <c r="AZ73" s="19"/>
      <c r="BA73" s="5"/>
      <c r="BB73" s="5"/>
      <c r="BC73" s="19"/>
      <c r="BD73" s="19"/>
      <c r="BE73" s="19"/>
      <c r="BF73" s="19"/>
      <c r="BG73" s="19"/>
      <c r="BH73" s="19"/>
      <c r="BI73" s="19"/>
      <c r="BJ73" s="19"/>
      <c r="BK73" s="13"/>
      <c r="BL73" s="5"/>
      <c r="BM73" s="5"/>
      <c r="BN73" s="19"/>
      <c r="BO73" s="17"/>
      <c r="BP73" s="19"/>
      <c r="BQ73" s="17"/>
      <c r="BR73" s="19"/>
      <c r="BS73" s="13"/>
      <c r="BT73" s="5"/>
      <c r="BU73" s="23"/>
      <c r="BV73" s="23"/>
      <c r="BW73" s="24"/>
      <c r="BX73" s="5"/>
      <c r="BY73" s="5"/>
      <c r="BZ73" s="5"/>
      <c r="CA73" s="24"/>
      <c r="CB73" s="24"/>
      <c r="CC73" s="24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>
        <f t="shared" si="112"/>
        <v>462</v>
      </c>
      <c r="CV73" s="25">
        <f t="shared" si="113"/>
        <v>0</v>
      </c>
      <c r="CW73" s="26"/>
      <c r="CX73" s="5"/>
      <c r="CY73" s="5"/>
    </row>
    <row r="74" spans="1:103" x14ac:dyDescent="0.2">
      <c r="A74" s="2"/>
      <c r="B74" s="3"/>
      <c r="C74" s="4"/>
      <c r="D74" s="5"/>
      <c r="E74" s="6"/>
      <c r="F74" s="7"/>
      <c r="G74" s="8"/>
      <c r="H74" s="9"/>
      <c r="I74" s="10"/>
      <c r="J74" s="11" t="s">
        <v>169</v>
      </c>
      <c r="K74" s="12">
        <v>7</v>
      </c>
      <c r="L74" s="13">
        <v>195</v>
      </c>
      <c r="M74" s="14">
        <f t="shared" si="111"/>
        <v>1365</v>
      </c>
      <c r="N74" s="15"/>
      <c r="O74" s="16" t="s">
        <v>111</v>
      </c>
      <c r="P74" s="17">
        <f t="shared" si="114"/>
        <v>12.187499999999998</v>
      </c>
      <c r="Q74" s="18">
        <f t="shared" si="115"/>
        <v>146.24999999999997</v>
      </c>
      <c r="R74" s="17">
        <f t="shared" si="116"/>
        <v>1230.9375</v>
      </c>
      <c r="S74" s="19"/>
      <c r="T74" s="19"/>
      <c r="U74" s="19"/>
      <c r="V74" s="19"/>
      <c r="W74" s="17"/>
      <c r="X74" s="20"/>
      <c r="Y74" s="19"/>
      <c r="Z74" s="19"/>
      <c r="AA74" s="19"/>
      <c r="AB74" s="19"/>
      <c r="AC74" s="19"/>
      <c r="AD74" s="19"/>
      <c r="AE74" s="5"/>
      <c r="AF74" s="19"/>
      <c r="AG74" s="5"/>
      <c r="AH74" s="17"/>
      <c r="AI74" s="19"/>
      <c r="AJ74" s="19"/>
      <c r="AK74" s="19"/>
      <c r="AL74" s="19"/>
      <c r="AM74" s="17"/>
      <c r="AN74" s="19"/>
      <c r="AO74" s="19"/>
      <c r="AP74" s="19"/>
      <c r="AQ74" s="19"/>
      <c r="AR74" s="19"/>
      <c r="AS74" s="21"/>
      <c r="AT74" s="5"/>
      <c r="AU74" s="19"/>
      <c r="AV74" s="5"/>
      <c r="AW74" s="22"/>
      <c r="AX74" s="19"/>
      <c r="AY74" s="5"/>
      <c r="AZ74" s="19"/>
      <c r="BA74" s="5"/>
      <c r="BB74" s="5"/>
      <c r="BC74" s="19"/>
      <c r="BD74" s="19"/>
      <c r="BE74" s="19"/>
      <c r="BF74" s="19"/>
      <c r="BG74" s="19"/>
      <c r="BH74" s="19"/>
      <c r="BI74" s="19"/>
      <c r="BJ74" s="19"/>
      <c r="BK74" s="13"/>
      <c r="BL74" s="5"/>
      <c r="BM74" s="5"/>
      <c r="BN74" s="19"/>
      <c r="BO74" s="17"/>
      <c r="BP74" s="19"/>
      <c r="BQ74" s="17"/>
      <c r="BR74" s="19"/>
      <c r="BS74" s="13"/>
      <c r="BT74" s="5"/>
      <c r="BU74" s="23"/>
      <c r="BV74" s="23"/>
      <c r="BW74" s="24"/>
      <c r="BX74" s="5"/>
      <c r="BY74" s="5"/>
      <c r="BZ74" s="5"/>
      <c r="CA74" s="24"/>
      <c r="CB74" s="24"/>
      <c r="CC74" s="24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>
        <f t="shared" si="112"/>
        <v>1365</v>
      </c>
      <c r="CV74" s="25">
        <f t="shared" si="113"/>
        <v>0</v>
      </c>
      <c r="CW74" s="26"/>
      <c r="CX74" s="5"/>
      <c r="CY74" s="5"/>
    </row>
    <row r="75" spans="1:103" x14ac:dyDescent="0.2">
      <c r="A75" s="2"/>
      <c r="B75" s="3"/>
      <c r="C75" s="4"/>
      <c r="D75" s="5"/>
      <c r="E75" s="6"/>
      <c r="F75" s="7"/>
      <c r="G75" s="8"/>
      <c r="H75" s="9"/>
      <c r="I75" s="10"/>
      <c r="J75" s="11" t="s">
        <v>170</v>
      </c>
      <c r="K75" s="12">
        <v>1</v>
      </c>
      <c r="L75" s="13">
        <v>103.05</v>
      </c>
      <c r="M75" s="14">
        <f t="shared" si="111"/>
        <v>103.05</v>
      </c>
      <c r="N75" s="15"/>
      <c r="O75" s="16" t="s">
        <v>111</v>
      </c>
      <c r="P75" s="17">
        <f t="shared" si="114"/>
        <v>0.92008928571428561</v>
      </c>
      <c r="Q75" s="18">
        <f t="shared" si="115"/>
        <v>11.041071428571426</v>
      </c>
      <c r="R75" s="17">
        <f t="shared" si="116"/>
        <v>92.929017857142853</v>
      </c>
      <c r="S75" s="19"/>
      <c r="T75" s="19"/>
      <c r="U75" s="19"/>
      <c r="V75" s="19"/>
      <c r="W75" s="17"/>
      <c r="X75" s="20"/>
      <c r="Y75" s="19"/>
      <c r="Z75" s="19"/>
      <c r="AA75" s="19"/>
      <c r="AB75" s="19"/>
      <c r="AC75" s="19"/>
      <c r="AD75" s="19"/>
      <c r="AE75" s="5"/>
      <c r="AF75" s="19"/>
      <c r="AG75" s="5"/>
      <c r="AH75" s="17"/>
      <c r="AI75" s="19"/>
      <c r="AJ75" s="19"/>
      <c r="AK75" s="19"/>
      <c r="AL75" s="19"/>
      <c r="AM75" s="17"/>
      <c r="AN75" s="19"/>
      <c r="AO75" s="19"/>
      <c r="AP75" s="19"/>
      <c r="AQ75" s="19"/>
      <c r="AR75" s="19"/>
      <c r="AS75" s="21"/>
      <c r="AT75" s="5"/>
      <c r="AU75" s="19"/>
      <c r="AV75" s="5"/>
      <c r="AW75" s="22"/>
      <c r="AX75" s="19"/>
      <c r="AY75" s="5"/>
      <c r="AZ75" s="19"/>
      <c r="BA75" s="5"/>
      <c r="BB75" s="5"/>
      <c r="BC75" s="19"/>
      <c r="BD75" s="19"/>
      <c r="BE75" s="19"/>
      <c r="BF75" s="19"/>
      <c r="BG75" s="19"/>
      <c r="BH75" s="19"/>
      <c r="BI75" s="19"/>
      <c r="BJ75" s="19"/>
      <c r="BK75" s="13"/>
      <c r="BL75" s="5"/>
      <c r="BM75" s="5"/>
      <c r="BN75" s="19"/>
      <c r="BO75" s="17"/>
      <c r="BP75" s="19"/>
      <c r="BQ75" s="17"/>
      <c r="BR75" s="19"/>
      <c r="BS75" s="13"/>
      <c r="BT75" s="5"/>
      <c r="BU75" s="23"/>
      <c r="BV75" s="23"/>
      <c r="BW75" s="24"/>
      <c r="BX75" s="5"/>
      <c r="BY75" s="5"/>
      <c r="BZ75" s="5"/>
      <c r="CA75" s="24"/>
      <c r="CB75" s="24"/>
      <c r="CC75" s="24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>
        <f t="shared" si="112"/>
        <v>103.05</v>
      </c>
      <c r="CV75" s="25">
        <f t="shared" si="113"/>
        <v>0</v>
      </c>
      <c r="CW75" s="26"/>
      <c r="CX75" s="5"/>
      <c r="CY75" s="5"/>
    </row>
    <row r="76" spans="1:103" x14ac:dyDescent="0.2">
      <c r="A76" s="2"/>
      <c r="B76" s="3"/>
      <c r="C76" s="4"/>
      <c r="D76" s="5"/>
      <c r="E76" s="6"/>
      <c r="F76" s="7"/>
      <c r="G76" s="8"/>
      <c r="H76" s="9"/>
      <c r="I76" s="10"/>
      <c r="J76" s="11" t="s">
        <v>171</v>
      </c>
      <c r="K76" s="12">
        <v>10</v>
      </c>
      <c r="L76" s="13">
        <v>100.5</v>
      </c>
      <c r="M76" s="14">
        <f t="shared" si="111"/>
        <v>1005</v>
      </c>
      <c r="N76" s="15"/>
      <c r="O76" s="16" t="s">
        <v>111</v>
      </c>
      <c r="P76" s="17">
        <f t="shared" si="114"/>
        <v>8.9732142857142847</v>
      </c>
      <c r="Q76" s="18">
        <f t="shared" si="115"/>
        <v>107.6785714285714</v>
      </c>
      <c r="R76" s="17">
        <f t="shared" si="116"/>
        <v>906.29464285714289</v>
      </c>
      <c r="S76" s="19"/>
      <c r="T76" s="19"/>
      <c r="U76" s="19"/>
      <c r="V76" s="19"/>
      <c r="W76" s="17"/>
      <c r="X76" s="20"/>
      <c r="Y76" s="19"/>
      <c r="Z76" s="19"/>
      <c r="AA76" s="19"/>
      <c r="AB76" s="19"/>
      <c r="AC76" s="19"/>
      <c r="AD76" s="19"/>
      <c r="AE76" s="5"/>
      <c r="AF76" s="19"/>
      <c r="AG76" s="5"/>
      <c r="AH76" s="17"/>
      <c r="AI76" s="19"/>
      <c r="AJ76" s="19"/>
      <c r="AK76" s="19"/>
      <c r="AL76" s="19"/>
      <c r="AM76" s="17"/>
      <c r="AN76" s="19"/>
      <c r="AO76" s="19"/>
      <c r="AP76" s="19"/>
      <c r="AQ76" s="19"/>
      <c r="AR76" s="19"/>
      <c r="AS76" s="21"/>
      <c r="AT76" s="5"/>
      <c r="AU76" s="19"/>
      <c r="AV76" s="5"/>
      <c r="AW76" s="22"/>
      <c r="AX76" s="19"/>
      <c r="AY76" s="5"/>
      <c r="AZ76" s="19"/>
      <c r="BA76" s="5"/>
      <c r="BB76" s="5"/>
      <c r="BC76" s="19"/>
      <c r="BD76" s="19"/>
      <c r="BE76" s="19"/>
      <c r="BF76" s="19"/>
      <c r="BG76" s="19"/>
      <c r="BH76" s="19"/>
      <c r="BI76" s="19"/>
      <c r="BJ76" s="19"/>
      <c r="BK76" s="13"/>
      <c r="BL76" s="5"/>
      <c r="BM76" s="5"/>
      <c r="BN76" s="19"/>
      <c r="BO76" s="17"/>
      <c r="BP76" s="19"/>
      <c r="BQ76" s="17"/>
      <c r="BR76" s="19"/>
      <c r="BS76" s="13"/>
      <c r="BT76" s="5"/>
      <c r="BU76" s="23"/>
      <c r="BV76" s="23"/>
      <c r="BW76" s="24"/>
      <c r="BX76" s="5"/>
      <c r="BY76" s="5"/>
      <c r="BZ76" s="5"/>
      <c r="CA76" s="24"/>
      <c r="CB76" s="24"/>
      <c r="CC76" s="24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>
        <f t="shared" si="112"/>
        <v>1005</v>
      </c>
      <c r="CV76" s="25">
        <f t="shared" si="113"/>
        <v>0</v>
      </c>
      <c r="CW76" s="26"/>
      <c r="CX76" s="5"/>
      <c r="CY76" s="5"/>
    </row>
    <row r="77" spans="1:103" x14ac:dyDescent="0.2">
      <c r="A77" s="2"/>
      <c r="B77" s="3"/>
      <c r="C77" s="4"/>
      <c r="D77" s="5"/>
      <c r="E77" s="6"/>
      <c r="F77" s="7"/>
      <c r="G77" s="8"/>
      <c r="H77" s="9"/>
      <c r="I77" s="10"/>
      <c r="J77" s="11" t="s">
        <v>172</v>
      </c>
      <c r="K77" s="12">
        <v>10</v>
      </c>
      <c r="L77" s="13">
        <v>175.05</v>
      </c>
      <c r="M77" s="14">
        <f t="shared" si="111"/>
        <v>1750.5</v>
      </c>
      <c r="N77" s="15"/>
      <c r="O77" s="16" t="s">
        <v>111</v>
      </c>
      <c r="P77" s="17">
        <f t="shared" si="114"/>
        <v>15.629464285714285</v>
      </c>
      <c r="Q77" s="18">
        <f t="shared" si="115"/>
        <v>187.55357142857142</v>
      </c>
      <c r="R77" s="17">
        <f t="shared" si="116"/>
        <v>1578.5758928571429</v>
      </c>
      <c r="S77" s="19"/>
      <c r="T77" s="19"/>
      <c r="U77" s="19"/>
      <c r="V77" s="19"/>
      <c r="W77" s="17"/>
      <c r="X77" s="20"/>
      <c r="Y77" s="19"/>
      <c r="Z77" s="19"/>
      <c r="AA77" s="19"/>
      <c r="AB77" s="19"/>
      <c r="AC77" s="19"/>
      <c r="AD77" s="19"/>
      <c r="AE77" s="5"/>
      <c r="AF77" s="19"/>
      <c r="AG77" s="5"/>
      <c r="AH77" s="17"/>
      <c r="AI77" s="19"/>
      <c r="AJ77" s="19"/>
      <c r="AK77" s="19"/>
      <c r="AL77" s="19"/>
      <c r="AM77" s="17"/>
      <c r="AN77" s="19"/>
      <c r="AO77" s="19"/>
      <c r="AP77" s="19"/>
      <c r="AQ77" s="19"/>
      <c r="AR77" s="19"/>
      <c r="AS77" s="21"/>
      <c r="AT77" s="5"/>
      <c r="AU77" s="19"/>
      <c r="AV77" s="5"/>
      <c r="AW77" s="22"/>
      <c r="AX77" s="19"/>
      <c r="AY77" s="5"/>
      <c r="AZ77" s="19"/>
      <c r="BA77" s="5"/>
      <c r="BB77" s="5"/>
      <c r="BC77" s="19"/>
      <c r="BD77" s="19"/>
      <c r="BE77" s="19"/>
      <c r="BF77" s="19"/>
      <c r="BG77" s="19"/>
      <c r="BH77" s="19"/>
      <c r="BI77" s="19"/>
      <c r="BJ77" s="19"/>
      <c r="BK77" s="13"/>
      <c r="BL77" s="5"/>
      <c r="BM77" s="5"/>
      <c r="BN77" s="19"/>
      <c r="BO77" s="17"/>
      <c r="BP77" s="19"/>
      <c r="BQ77" s="17"/>
      <c r="BR77" s="19"/>
      <c r="BS77" s="13"/>
      <c r="BT77" s="5"/>
      <c r="BU77" s="23"/>
      <c r="BV77" s="23"/>
      <c r="BW77" s="24"/>
      <c r="BX77" s="5"/>
      <c r="BY77" s="5"/>
      <c r="BZ77" s="5"/>
      <c r="CA77" s="24"/>
      <c r="CB77" s="24"/>
      <c r="CC77" s="24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>
        <f t="shared" si="112"/>
        <v>1750.5</v>
      </c>
      <c r="CV77" s="25">
        <f t="shared" si="113"/>
        <v>0</v>
      </c>
      <c r="CW77" s="26"/>
      <c r="CX77" s="5"/>
      <c r="CY77" s="5"/>
    </row>
    <row r="78" spans="1:103" x14ac:dyDescent="0.2">
      <c r="A78" s="2"/>
      <c r="B78" s="3"/>
      <c r="C78" s="4"/>
      <c r="D78" s="5"/>
      <c r="E78" s="6"/>
      <c r="F78" s="7"/>
      <c r="G78" s="8"/>
      <c r="H78" s="9"/>
      <c r="I78" s="10"/>
      <c r="J78" s="11" t="s">
        <v>173</v>
      </c>
      <c r="K78" s="12">
        <v>24</v>
      </c>
      <c r="L78" s="13">
        <v>19.25</v>
      </c>
      <c r="M78" s="14">
        <f t="shared" si="111"/>
        <v>462</v>
      </c>
      <c r="N78" s="15"/>
      <c r="O78" s="16" t="s">
        <v>111</v>
      </c>
      <c r="P78" s="17">
        <f t="shared" si="114"/>
        <v>4.1249999999999991</v>
      </c>
      <c r="Q78" s="18">
        <f t="shared" si="115"/>
        <v>49.499999999999993</v>
      </c>
      <c r="R78" s="17">
        <f t="shared" si="116"/>
        <v>416.625</v>
      </c>
      <c r="S78" s="19"/>
      <c r="T78" s="19"/>
      <c r="U78" s="19"/>
      <c r="V78" s="19"/>
      <c r="W78" s="17"/>
      <c r="X78" s="20"/>
      <c r="Y78" s="19"/>
      <c r="Z78" s="19"/>
      <c r="AA78" s="19"/>
      <c r="AB78" s="19"/>
      <c r="AC78" s="19"/>
      <c r="AD78" s="19"/>
      <c r="AE78" s="5"/>
      <c r="AF78" s="19"/>
      <c r="AG78" s="5"/>
      <c r="AH78" s="17"/>
      <c r="AI78" s="19"/>
      <c r="AJ78" s="19"/>
      <c r="AK78" s="19"/>
      <c r="AL78" s="19"/>
      <c r="AM78" s="17"/>
      <c r="AN78" s="19"/>
      <c r="AO78" s="19"/>
      <c r="AP78" s="19"/>
      <c r="AQ78" s="19"/>
      <c r="AR78" s="19"/>
      <c r="AS78" s="21"/>
      <c r="AT78" s="5"/>
      <c r="AU78" s="19"/>
      <c r="AV78" s="5"/>
      <c r="AW78" s="22"/>
      <c r="AX78" s="19"/>
      <c r="AY78" s="5"/>
      <c r="AZ78" s="19"/>
      <c r="BA78" s="5"/>
      <c r="BB78" s="5"/>
      <c r="BC78" s="19"/>
      <c r="BD78" s="19"/>
      <c r="BE78" s="19"/>
      <c r="BF78" s="19"/>
      <c r="BG78" s="19"/>
      <c r="BH78" s="19"/>
      <c r="BI78" s="19"/>
      <c r="BJ78" s="19"/>
      <c r="BK78" s="13"/>
      <c r="BL78" s="5"/>
      <c r="BM78" s="5"/>
      <c r="BN78" s="19"/>
      <c r="BO78" s="17"/>
      <c r="BP78" s="19"/>
      <c r="BQ78" s="17"/>
      <c r="BR78" s="19"/>
      <c r="BS78" s="13"/>
      <c r="BT78" s="5"/>
      <c r="BU78" s="23"/>
      <c r="BV78" s="23"/>
      <c r="BW78" s="24"/>
      <c r="BX78" s="5"/>
      <c r="BY78" s="5"/>
      <c r="BZ78" s="5"/>
      <c r="CA78" s="24"/>
      <c r="CB78" s="24"/>
      <c r="CC78" s="24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>
        <f t="shared" si="112"/>
        <v>462</v>
      </c>
      <c r="CV78" s="25">
        <f t="shared" si="113"/>
        <v>0</v>
      </c>
      <c r="CW78" s="26"/>
      <c r="CX78" s="5"/>
      <c r="CY78" s="5"/>
    </row>
    <row r="79" spans="1:103" x14ac:dyDescent="0.2">
      <c r="A79" s="2"/>
      <c r="B79" s="3"/>
      <c r="C79" s="4"/>
      <c r="D79" s="5"/>
      <c r="E79" s="6"/>
      <c r="F79" s="7"/>
      <c r="G79" s="8"/>
      <c r="H79" s="9"/>
      <c r="I79" s="10"/>
      <c r="J79" s="11" t="s">
        <v>174</v>
      </c>
      <c r="K79" s="12">
        <v>24</v>
      </c>
      <c r="L79" s="13">
        <v>19.25</v>
      </c>
      <c r="M79" s="14">
        <f t="shared" si="111"/>
        <v>462</v>
      </c>
      <c r="N79" s="15"/>
      <c r="O79" s="16" t="s">
        <v>111</v>
      </c>
      <c r="P79" s="17">
        <f t="shared" si="114"/>
        <v>4.1249999999999991</v>
      </c>
      <c r="Q79" s="18">
        <f t="shared" si="115"/>
        <v>49.499999999999993</v>
      </c>
      <c r="R79" s="17">
        <f t="shared" si="116"/>
        <v>416.625</v>
      </c>
      <c r="S79" s="19"/>
      <c r="T79" s="19"/>
      <c r="U79" s="19"/>
      <c r="V79" s="19"/>
      <c r="W79" s="17"/>
      <c r="X79" s="20"/>
      <c r="Y79" s="19"/>
      <c r="Z79" s="19"/>
      <c r="AA79" s="19"/>
      <c r="AB79" s="19"/>
      <c r="AC79" s="19"/>
      <c r="AD79" s="19"/>
      <c r="AE79" s="5"/>
      <c r="AF79" s="19"/>
      <c r="AG79" s="5"/>
      <c r="AH79" s="17"/>
      <c r="AI79" s="19"/>
      <c r="AJ79" s="19"/>
      <c r="AK79" s="19"/>
      <c r="AL79" s="19"/>
      <c r="AM79" s="17"/>
      <c r="AN79" s="19"/>
      <c r="AO79" s="19"/>
      <c r="AP79" s="19"/>
      <c r="AQ79" s="19"/>
      <c r="AR79" s="19"/>
      <c r="AS79" s="21"/>
      <c r="AT79" s="5"/>
      <c r="AU79" s="19"/>
      <c r="AV79" s="5"/>
      <c r="AW79" s="22"/>
      <c r="AX79" s="19"/>
      <c r="AY79" s="5"/>
      <c r="AZ79" s="19"/>
      <c r="BA79" s="5"/>
      <c r="BB79" s="5"/>
      <c r="BC79" s="19"/>
      <c r="BD79" s="19"/>
      <c r="BE79" s="19"/>
      <c r="BF79" s="19"/>
      <c r="BG79" s="19"/>
      <c r="BH79" s="19"/>
      <c r="BI79" s="19"/>
      <c r="BJ79" s="19"/>
      <c r="BK79" s="13"/>
      <c r="BL79" s="5"/>
      <c r="BM79" s="5"/>
      <c r="BN79" s="19"/>
      <c r="BO79" s="17"/>
      <c r="BP79" s="19"/>
      <c r="BQ79" s="17"/>
      <c r="BR79" s="19"/>
      <c r="BS79" s="13"/>
      <c r="BT79" s="5"/>
      <c r="BU79" s="23"/>
      <c r="BV79" s="23"/>
      <c r="BW79" s="24"/>
      <c r="BX79" s="5"/>
      <c r="BY79" s="5"/>
      <c r="BZ79" s="5"/>
      <c r="CA79" s="24"/>
      <c r="CB79" s="24"/>
      <c r="CC79" s="24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>
        <f t="shared" si="112"/>
        <v>462</v>
      </c>
      <c r="CV79" s="25">
        <f t="shared" si="113"/>
        <v>0</v>
      </c>
      <c r="CW79" s="26"/>
      <c r="CX79" s="5"/>
      <c r="CY79" s="5"/>
    </row>
    <row r="80" spans="1:103" x14ac:dyDescent="0.2">
      <c r="A80" s="27"/>
      <c r="B80" s="28"/>
      <c r="C80" s="29"/>
      <c r="D80" s="30"/>
      <c r="E80" s="31"/>
      <c r="F80" s="32"/>
      <c r="G80" s="33"/>
      <c r="H80" s="34"/>
      <c r="I80" s="34"/>
      <c r="J80" s="35"/>
      <c r="K80" s="36"/>
      <c r="L80" s="37"/>
      <c r="M80" s="38">
        <f>SUM(M70:M79)</f>
        <v>7764.55</v>
      </c>
      <c r="N80" s="38"/>
      <c r="O80" s="39" t="s">
        <v>111</v>
      </c>
      <c r="P80" s="38">
        <f>SUM(P70:P79)</f>
        <v>69.326339285714283</v>
      </c>
      <c r="Q80" s="38">
        <f>SUM(Q70:Q79)</f>
        <v>831.9160714285714</v>
      </c>
      <c r="R80" s="38">
        <f>SUM(R70:R79)</f>
        <v>7001.9602678571428</v>
      </c>
      <c r="S80" s="38">
        <f t="shared" ref="S80:AD80" si="117">SUM(S70:S70)</f>
        <v>0</v>
      </c>
      <c r="T80" s="38">
        <f t="shared" si="117"/>
        <v>0</v>
      </c>
      <c r="U80" s="38">
        <f t="shared" si="117"/>
        <v>0</v>
      </c>
      <c r="V80" s="38">
        <f t="shared" si="117"/>
        <v>0</v>
      </c>
      <c r="W80" s="38">
        <f t="shared" si="117"/>
        <v>0</v>
      </c>
      <c r="X80" s="38">
        <f t="shared" si="117"/>
        <v>0</v>
      </c>
      <c r="Y80" s="38">
        <f t="shared" si="117"/>
        <v>0</v>
      </c>
      <c r="Z80" s="38">
        <f t="shared" si="117"/>
        <v>0</v>
      </c>
      <c r="AA80" s="38">
        <f t="shared" si="117"/>
        <v>0</v>
      </c>
      <c r="AB80" s="38">
        <f t="shared" si="117"/>
        <v>0</v>
      </c>
      <c r="AC80" s="38">
        <f t="shared" si="117"/>
        <v>0</v>
      </c>
      <c r="AD80" s="38">
        <f t="shared" si="117"/>
        <v>0</v>
      </c>
      <c r="AE80" s="30"/>
      <c r="AF80" s="38">
        <f>SUM(AF70:AF70)</f>
        <v>0</v>
      </c>
      <c r="AG80" s="30"/>
      <c r="AH80" s="38">
        <f t="shared" ref="AH80:AZ80" si="118">SUM(AH70:AH70)</f>
        <v>0</v>
      </c>
      <c r="AI80" s="38">
        <f t="shared" si="118"/>
        <v>0</v>
      </c>
      <c r="AJ80" s="38">
        <f t="shared" si="118"/>
        <v>0</v>
      </c>
      <c r="AK80" s="38">
        <f t="shared" si="118"/>
        <v>0</v>
      </c>
      <c r="AL80" s="38">
        <f t="shared" si="118"/>
        <v>0</v>
      </c>
      <c r="AM80" s="38">
        <f t="shared" si="118"/>
        <v>0</v>
      </c>
      <c r="AN80" s="38">
        <f t="shared" si="118"/>
        <v>0</v>
      </c>
      <c r="AO80" s="38">
        <f t="shared" si="118"/>
        <v>0</v>
      </c>
      <c r="AP80" s="38">
        <f t="shared" si="118"/>
        <v>0</v>
      </c>
      <c r="AQ80" s="38">
        <f t="shared" si="118"/>
        <v>0</v>
      </c>
      <c r="AR80" s="38">
        <f t="shared" si="118"/>
        <v>0</v>
      </c>
      <c r="AS80" s="38">
        <f t="shared" si="118"/>
        <v>0</v>
      </c>
      <c r="AT80" s="38">
        <f t="shared" si="118"/>
        <v>0</v>
      </c>
      <c r="AU80" s="38">
        <f t="shared" si="118"/>
        <v>0</v>
      </c>
      <c r="AV80" s="38">
        <f t="shared" si="118"/>
        <v>0</v>
      </c>
      <c r="AW80" s="38">
        <f t="shared" si="118"/>
        <v>0</v>
      </c>
      <c r="AX80" s="38">
        <f t="shared" si="118"/>
        <v>0</v>
      </c>
      <c r="AY80" s="38">
        <f t="shared" si="118"/>
        <v>0</v>
      </c>
      <c r="AZ80" s="38">
        <f t="shared" si="118"/>
        <v>0</v>
      </c>
      <c r="BA80" s="30"/>
      <c r="BB80" s="38">
        <f t="shared" ref="BB80:CT80" si="119">SUM(BB70:BB70)</f>
        <v>0</v>
      </c>
      <c r="BC80" s="38">
        <f t="shared" si="119"/>
        <v>0</v>
      </c>
      <c r="BD80" s="38">
        <f t="shared" si="119"/>
        <v>0</v>
      </c>
      <c r="BE80" s="38">
        <f t="shared" si="119"/>
        <v>0</v>
      </c>
      <c r="BF80" s="38">
        <f t="shared" si="119"/>
        <v>0</v>
      </c>
      <c r="BG80" s="38">
        <f t="shared" si="119"/>
        <v>0</v>
      </c>
      <c r="BH80" s="38">
        <f t="shared" si="119"/>
        <v>0</v>
      </c>
      <c r="BI80" s="38">
        <f t="shared" si="119"/>
        <v>0</v>
      </c>
      <c r="BJ80" s="38">
        <f t="shared" si="119"/>
        <v>0</v>
      </c>
      <c r="BK80" s="38">
        <f t="shared" si="119"/>
        <v>0</v>
      </c>
      <c r="BL80" s="38">
        <f t="shared" si="119"/>
        <v>0</v>
      </c>
      <c r="BM80" s="38">
        <f t="shared" si="119"/>
        <v>0</v>
      </c>
      <c r="BN80" s="38">
        <f t="shared" si="119"/>
        <v>0</v>
      </c>
      <c r="BO80" s="38">
        <f t="shared" si="119"/>
        <v>0</v>
      </c>
      <c r="BP80" s="38">
        <f t="shared" si="119"/>
        <v>0</v>
      </c>
      <c r="BQ80" s="38">
        <f t="shared" si="119"/>
        <v>0</v>
      </c>
      <c r="BR80" s="38">
        <f t="shared" si="119"/>
        <v>0</v>
      </c>
      <c r="BS80" s="38">
        <f t="shared" si="119"/>
        <v>0</v>
      </c>
      <c r="BT80" s="38">
        <f t="shared" si="119"/>
        <v>0</v>
      </c>
      <c r="BU80" s="38">
        <f t="shared" si="119"/>
        <v>0</v>
      </c>
      <c r="BV80" s="38">
        <f t="shared" si="119"/>
        <v>0</v>
      </c>
      <c r="BW80" s="38">
        <f t="shared" si="119"/>
        <v>0</v>
      </c>
      <c r="BX80" s="38">
        <f t="shared" si="119"/>
        <v>0</v>
      </c>
      <c r="BY80" s="38">
        <f t="shared" si="119"/>
        <v>0</v>
      </c>
      <c r="BZ80" s="38">
        <f t="shared" si="119"/>
        <v>0</v>
      </c>
      <c r="CA80" s="38">
        <f t="shared" si="119"/>
        <v>0</v>
      </c>
      <c r="CB80" s="38">
        <f t="shared" si="119"/>
        <v>0</v>
      </c>
      <c r="CC80" s="38">
        <f t="shared" si="119"/>
        <v>0</v>
      </c>
      <c r="CD80" s="38">
        <f t="shared" si="119"/>
        <v>0</v>
      </c>
      <c r="CE80" s="38">
        <f t="shared" si="119"/>
        <v>0</v>
      </c>
      <c r="CF80" s="38">
        <f t="shared" si="119"/>
        <v>0</v>
      </c>
      <c r="CG80" s="38">
        <f t="shared" si="119"/>
        <v>0</v>
      </c>
      <c r="CH80" s="38">
        <f t="shared" si="119"/>
        <v>0</v>
      </c>
      <c r="CI80" s="38">
        <f t="shared" si="119"/>
        <v>0</v>
      </c>
      <c r="CJ80" s="38">
        <f t="shared" si="119"/>
        <v>0</v>
      </c>
      <c r="CK80" s="38">
        <f t="shared" si="119"/>
        <v>0</v>
      </c>
      <c r="CL80" s="38">
        <f t="shared" si="119"/>
        <v>0</v>
      </c>
      <c r="CM80" s="38">
        <f t="shared" si="119"/>
        <v>0</v>
      </c>
      <c r="CN80" s="38">
        <f t="shared" si="119"/>
        <v>0</v>
      </c>
      <c r="CO80" s="38">
        <f t="shared" si="119"/>
        <v>0</v>
      </c>
      <c r="CP80" s="38">
        <f t="shared" si="119"/>
        <v>0</v>
      </c>
      <c r="CQ80" s="38">
        <f t="shared" si="119"/>
        <v>0</v>
      </c>
      <c r="CR80" s="38">
        <f t="shared" si="119"/>
        <v>0</v>
      </c>
      <c r="CS80" s="38">
        <f t="shared" si="119"/>
        <v>0</v>
      </c>
      <c r="CT80" s="38">
        <f t="shared" si="119"/>
        <v>0</v>
      </c>
      <c r="CU80" s="17">
        <f t="shared" si="112"/>
        <v>7764.55</v>
      </c>
      <c r="CV80" s="25">
        <f t="shared" si="113"/>
        <v>0</v>
      </c>
      <c r="CW80" s="40"/>
      <c r="CX80" s="30"/>
      <c r="CY80" s="30"/>
    </row>
    <row r="81" spans="1:103" x14ac:dyDescent="0.2">
      <c r="A81" s="2">
        <v>45877</v>
      </c>
      <c r="B81" s="3" t="s">
        <v>146</v>
      </c>
      <c r="C81" s="4" t="s">
        <v>496</v>
      </c>
      <c r="D81" s="5" t="s">
        <v>122</v>
      </c>
      <c r="E81" s="156" t="s">
        <v>175</v>
      </c>
      <c r="F81" s="156" t="s">
        <v>176</v>
      </c>
      <c r="G81" s="156" t="s">
        <v>177</v>
      </c>
      <c r="H81" s="156">
        <v>1851920</v>
      </c>
      <c r="I81" s="10" t="s">
        <v>401</v>
      </c>
      <c r="J81" s="11" t="s">
        <v>178</v>
      </c>
      <c r="K81" s="12">
        <v>5</v>
      </c>
      <c r="L81" s="13">
        <v>107.5</v>
      </c>
      <c r="M81" s="14">
        <f t="shared" ref="M81:M82" si="120">L81*K81</f>
        <v>537.5</v>
      </c>
      <c r="N81" s="15"/>
      <c r="O81" s="16" t="s">
        <v>111</v>
      </c>
      <c r="P81" s="17">
        <f>M81/1.12*0.01</f>
        <v>4.7991071428571423</v>
      </c>
      <c r="Q81" s="18">
        <f>M81/1.12*0.12</f>
        <v>57.589285714285701</v>
      </c>
      <c r="R81" s="17">
        <f>M81+P81-Q81</f>
        <v>484.70982142857139</v>
      </c>
      <c r="S81" s="19"/>
      <c r="T81" s="19"/>
      <c r="U81" s="19"/>
      <c r="V81" s="19"/>
      <c r="W81" s="17"/>
      <c r="X81" s="20"/>
      <c r="Y81" s="19"/>
      <c r="Z81" s="19"/>
      <c r="AA81" s="19"/>
      <c r="AB81" s="19"/>
      <c r="AC81" s="19"/>
      <c r="AD81" s="19"/>
      <c r="AE81" s="5"/>
      <c r="AF81" s="19"/>
      <c r="AG81" s="5"/>
      <c r="AH81" s="17"/>
      <c r="AI81" s="19"/>
      <c r="AJ81" s="19"/>
      <c r="AK81" s="19"/>
      <c r="AL81" s="19"/>
      <c r="AM81" s="17"/>
      <c r="AN81" s="19"/>
      <c r="AO81" s="19"/>
      <c r="AP81" s="19"/>
      <c r="AQ81" s="19"/>
      <c r="AR81" s="19"/>
      <c r="AS81" s="21"/>
      <c r="AT81" s="5"/>
      <c r="AU81" s="19"/>
      <c r="AV81" s="5"/>
      <c r="AW81" s="22"/>
      <c r="AX81" s="19"/>
      <c r="AY81" s="5"/>
      <c r="AZ81" s="19"/>
      <c r="BA81" s="5"/>
      <c r="BB81" s="5"/>
      <c r="BC81" s="19"/>
      <c r="BD81" s="19"/>
      <c r="BE81" s="19"/>
      <c r="BF81" s="19"/>
      <c r="BG81" s="19"/>
      <c r="BH81" s="19"/>
      <c r="BI81" s="19"/>
      <c r="BJ81" s="19"/>
      <c r="BK81" s="13"/>
      <c r="BL81" s="5"/>
      <c r="BM81" s="5"/>
      <c r="BN81" s="19"/>
      <c r="BO81" s="17"/>
      <c r="BP81" s="19"/>
      <c r="BQ81" s="17"/>
      <c r="BR81" s="19"/>
      <c r="BS81" s="13"/>
      <c r="BT81" s="5"/>
      <c r="BU81" s="23"/>
      <c r="BV81" s="23"/>
      <c r="BW81" s="24"/>
      <c r="BX81" s="5"/>
      <c r="BY81" s="5"/>
      <c r="BZ81" s="5"/>
      <c r="CA81" s="24"/>
      <c r="CB81" s="24"/>
      <c r="CC81" s="24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>
        <f t="shared" si="112"/>
        <v>537.5</v>
      </c>
      <c r="CV81" s="25">
        <f t="shared" si="113"/>
        <v>0</v>
      </c>
      <c r="CW81" s="26"/>
      <c r="CX81" s="5"/>
      <c r="CY81" s="5"/>
    </row>
    <row r="82" spans="1:103" x14ac:dyDescent="0.2">
      <c r="A82" s="2"/>
      <c r="B82" s="3"/>
      <c r="C82" s="4"/>
      <c r="D82" s="5"/>
      <c r="E82" s="6"/>
      <c r="F82" s="7"/>
      <c r="G82" s="8"/>
      <c r="H82" s="9"/>
      <c r="I82" s="10"/>
      <c r="J82" s="11" t="s">
        <v>179</v>
      </c>
      <c r="K82" s="12">
        <v>10</v>
      </c>
      <c r="L82" s="13">
        <v>88</v>
      </c>
      <c r="M82" s="14">
        <f t="shared" si="120"/>
        <v>880</v>
      </c>
      <c r="N82" s="15"/>
      <c r="O82" s="16" t="s">
        <v>111</v>
      </c>
      <c r="P82" s="17">
        <f t="shared" ref="P82" si="121">M82/1.12*0.01</f>
        <v>7.8571428571428568</v>
      </c>
      <c r="Q82" s="18">
        <f t="shared" ref="Q82" si="122">M82/1.12*0.12</f>
        <v>94.285714285714278</v>
      </c>
      <c r="R82" s="17">
        <f t="shared" ref="R82" si="123">M82+P82-Q82</f>
        <v>793.57142857142867</v>
      </c>
      <c r="S82" s="19"/>
      <c r="T82" s="19"/>
      <c r="U82" s="19"/>
      <c r="V82" s="19"/>
      <c r="W82" s="17"/>
      <c r="X82" s="20"/>
      <c r="Y82" s="19"/>
      <c r="Z82" s="19"/>
      <c r="AA82" s="19"/>
      <c r="AB82" s="19"/>
      <c r="AC82" s="19"/>
      <c r="AD82" s="19"/>
      <c r="AE82" s="5"/>
      <c r="AF82" s="19"/>
      <c r="AG82" s="5"/>
      <c r="AH82" s="17"/>
      <c r="AI82" s="19"/>
      <c r="AJ82" s="19"/>
      <c r="AK82" s="19"/>
      <c r="AL82" s="19"/>
      <c r="AM82" s="17"/>
      <c r="AN82" s="19"/>
      <c r="AO82" s="19"/>
      <c r="AP82" s="19"/>
      <c r="AQ82" s="19"/>
      <c r="AR82" s="19"/>
      <c r="AS82" s="21"/>
      <c r="AT82" s="5"/>
      <c r="AU82" s="19"/>
      <c r="AV82" s="5"/>
      <c r="AW82" s="22"/>
      <c r="AX82" s="19"/>
      <c r="AY82" s="5"/>
      <c r="AZ82" s="19"/>
      <c r="BA82" s="5"/>
      <c r="BB82" s="5"/>
      <c r="BC82" s="19"/>
      <c r="BD82" s="19"/>
      <c r="BE82" s="19"/>
      <c r="BF82" s="19"/>
      <c r="BG82" s="19"/>
      <c r="BH82" s="19"/>
      <c r="BI82" s="19"/>
      <c r="BJ82" s="19"/>
      <c r="BK82" s="13"/>
      <c r="BL82" s="5"/>
      <c r="BM82" s="5"/>
      <c r="BN82" s="19"/>
      <c r="BO82" s="17"/>
      <c r="BP82" s="19"/>
      <c r="BQ82" s="17"/>
      <c r="BR82" s="19"/>
      <c r="BS82" s="13"/>
      <c r="BT82" s="5"/>
      <c r="BU82" s="23"/>
      <c r="BV82" s="23"/>
      <c r="BW82" s="24"/>
      <c r="BX82" s="5"/>
      <c r="BY82" s="5"/>
      <c r="BZ82" s="5"/>
      <c r="CA82" s="24"/>
      <c r="CB82" s="24"/>
      <c r="CC82" s="24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>
        <f t="shared" si="112"/>
        <v>880</v>
      </c>
      <c r="CV82" s="25">
        <f t="shared" si="113"/>
        <v>0</v>
      </c>
      <c r="CW82" s="26"/>
      <c r="CX82" s="5"/>
      <c r="CY82" s="5"/>
    </row>
    <row r="83" spans="1:103" x14ac:dyDescent="0.2">
      <c r="A83" s="27"/>
      <c r="B83" s="28"/>
      <c r="C83" s="29"/>
      <c r="D83" s="30"/>
      <c r="E83" s="31"/>
      <c r="F83" s="32"/>
      <c r="G83" s="33"/>
      <c r="H83" s="34"/>
      <c r="I83" s="34"/>
      <c r="J83" s="35"/>
      <c r="K83" s="36"/>
      <c r="L83" s="37"/>
      <c r="M83" s="38">
        <f>SUM(M81:M82)</f>
        <v>1417.5</v>
      </c>
      <c r="N83" s="38"/>
      <c r="O83" s="39" t="s">
        <v>111</v>
      </c>
      <c r="P83" s="38">
        <f>SUM(P81:P82)</f>
        <v>12.65625</v>
      </c>
      <c r="Q83" s="38">
        <f>SUM(Q81:Q82)</f>
        <v>151.87499999999997</v>
      </c>
      <c r="R83" s="38">
        <f>SUM(R81:R82)</f>
        <v>1278.28125</v>
      </c>
      <c r="S83" s="38">
        <f t="shared" ref="S83:AD83" si="124">SUM(S81:S81)</f>
        <v>0</v>
      </c>
      <c r="T83" s="38">
        <f t="shared" si="124"/>
        <v>0</v>
      </c>
      <c r="U83" s="38">
        <f t="shared" si="124"/>
        <v>0</v>
      </c>
      <c r="V83" s="38">
        <f t="shared" si="124"/>
        <v>0</v>
      </c>
      <c r="W83" s="38">
        <f t="shared" si="124"/>
        <v>0</v>
      </c>
      <c r="X83" s="38">
        <f t="shared" si="124"/>
        <v>0</v>
      </c>
      <c r="Y83" s="38">
        <f t="shared" si="124"/>
        <v>0</v>
      </c>
      <c r="Z83" s="38">
        <f t="shared" si="124"/>
        <v>0</v>
      </c>
      <c r="AA83" s="38">
        <f t="shared" si="124"/>
        <v>0</v>
      </c>
      <c r="AB83" s="38">
        <f t="shared" si="124"/>
        <v>0</v>
      </c>
      <c r="AC83" s="38">
        <f t="shared" si="124"/>
        <v>0</v>
      </c>
      <c r="AD83" s="38">
        <f t="shared" si="124"/>
        <v>0</v>
      </c>
      <c r="AE83" s="30"/>
      <c r="AF83" s="38">
        <f>SUM(AF81:AF81)</f>
        <v>0</v>
      </c>
      <c r="AG83" s="30"/>
      <c r="AH83" s="38">
        <f t="shared" ref="AH83:AZ83" si="125">SUM(AH81:AH81)</f>
        <v>0</v>
      </c>
      <c r="AI83" s="38">
        <f t="shared" si="125"/>
        <v>0</v>
      </c>
      <c r="AJ83" s="38">
        <f t="shared" si="125"/>
        <v>0</v>
      </c>
      <c r="AK83" s="38">
        <f t="shared" si="125"/>
        <v>0</v>
      </c>
      <c r="AL83" s="38">
        <f t="shared" si="125"/>
        <v>0</v>
      </c>
      <c r="AM83" s="38">
        <f t="shared" si="125"/>
        <v>0</v>
      </c>
      <c r="AN83" s="38">
        <f t="shared" si="125"/>
        <v>0</v>
      </c>
      <c r="AO83" s="38">
        <f t="shared" si="125"/>
        <v>0</v>
      </c>
      <c r="AP83" s="38">
        <f t="shared" si="125"/>
        <v>0</v>
      </c>
      <c r="AQ83" s="38">
        <f t="shared" si="125"/>
        <v>0</v>
      </c>
      <c r="AR83" s="38">
        <f t="shared" si="125"/>
        <v>0</v>
      </c>
      <c r="AS83" s="38">
        <f t="shared" si="125"/>
        <v>0</v>
      </c>
      <c r="AT83" s="38">
        <f t="shared" si="125"/>
        <v>0</v>
      </c>
      <c r="AU83" s="38">
        <f t="shared" si="125"/>
        <v>0</v>
      </c>
      <c r="AV83" s="38">
        <f t="shared" si="125"/>
        <v>0</v>
      </c>
      <c r="AW83" s="38">
        <f t="shared" si="125"/>
        <v>0</v>
      </c>
      <c r="AX83" s="38">
        <f t="shared" si="125"/>
        <v>0</v>
      </c>
      <c r="AY83" s="38">
        <f t="shared" si="125"/>
        <v>0</v>
      </c>
      <c r="AZ83" s="38">
        <f t="shared" si="125"/>
        <v>0</v>
      </c>
      <c r="BA83" s="30"/>
      <c r="BB83" s="38">
        <f t="shared" ref="BB83:CT83" si="126">SUM(BB81:BB81)</f>
        <v>0</v>
      </c>
      <c r="BC83" s="38">
        <f t="shared" si="126"/>
        <v>0</v>
      </c>
      <c r="BD83" s="38">
        <f t="shared" si="126"/>
        <v>0</v>
      </c>
      <c r="BE83" s="38">
        <f t="shared" si="126"/>
        <v>0</v>
      </c>
      <c r="BF83" s="38">
        <f t="shared" si="126"/>
        <v>0</v>
      </c>
      <c r="BG83" s="38">
        <f t="shared" si="126"/>
        <v>0</v>
      </c>
      <c r="BH83" s="38">
        <f t="shared" si="126"/>
        <v>0</v>
      </c>
      <c r="BI83" s="38">
        <f t="shared" si="126"/>
        <v>0</v>
      </c>
      <c r="BJ83" s="38">
        <f t="shared" si="126"/>
        <v>0</v>
      </c>
      <c r="BK83" s="38">
        <f t="shared" si="126"/>
        <v>0</v>
      </c>
      <c r="BL83" s="38">
        <f t="shared" si="126"/>
        <v>0</v>
      </c>
      <c r="BM83" s="38">
        <f t="shared" si="126"/>
        <v>0</v>
      </c>
      <c r="BN83" s="38">
        <f t="shared" si="126"/>
        <v>0</v>
      </c>
      <c r="BO83" s="38">
        <f t="shared" si="126"/>
        <v>0</v>
      </c>
      <c r="BP83" s="38">
        <f t="shared" si="126"/>
        <v>0</v>
      </c>
      <c r="BQ83" s="38">
        <f t="shared" si="126"/>
        <v>0</v>
      </c>
      <c r="BR83" s="38">
        <f t="shared" si="126"/>
        <v>0</v>
      </c>
      <c r="BS83" s="38">
        <f t="shared" si="126"/>
        <v>0</v>
      </c>
      <c r="BT83" s="38">
        <f t="shared" si="126"/>
        <v>0</v>
      </c>
      <c r="BU83" s="38">
        <f t="shared" si="126"/>
        <v>0</v>
      </c>
      <c r="BV83" s="38">
        <f t="shared" si="126"/>
        <v>0</v>
      </c>
      <c r="BW83" s="38">
        <f t="shared" si="126"/>
        <v>0</v>
      </c>
      <c r="BX83" s="38">
        <f t="shared" si="126"/>
        <v>0</v>
      </c>
      <c r="BY83" s="38">
        <f t="shared" si="126"/>
        <v>0</v>
      </c>
      <c r="BZ83" s="38">
        <f t="shared" si="126"/>
        <v>0</v>
      </c>
      <c r="CA83" s="38">
        <f t="shared" si="126"/>
        <v>0</v>
      </c>
      <c r="CB83" s="38">
        <f t="shared" si="126"/>
        <v>0</v>
      </c>
      <c r="CC83" s="38">
        <f t="shared" si="126"/>
        <v>0</v>
      </c>
      <c r="CD83" s="38">
        <f t="shared" si="126"/>
        <v>0</v>
      </c>
      <c r="CE83" s="38">
        <f t="shared" si="126"/>
        <v>0</v>
      </c>
      <c r="CF83" s="38">
        <f t="shared" si="126"/>
        <v>0</v>
      </c>
      <c r="CG83" s="38">
        <f t="shared" si="126"/>
        <v>0</v>
      </c>
      <c r="CH83" s="38">
        <f t="shared" si="126"/>
        <v>0</v>
      </c>
      <c r="CI83" s="38">
        <f t="shared" si="126"/>
        <v>0</v>
      </c>
      <c r="CJ83" s="38">
        <f t="shared" si="126"/>
        <v>0</v>
      </c>
      <c r="CK83" s="38">
        <f t="shared" si="126"/>
        <v>0</v>
      </c>
      <c r="CL83" s="38">
        <f t="shared" si="126"/>
        <v>0</v>
      </c>
      <c r="CM83" s="38">
        <f t="shared" si="126"/>
        <v>0</v>
      </c>
      <c r="CN83" s="38">
        <f t="shared" si="126"/>
        <v>0</v>
      </c>
      <c r="CO83" s="38">
        <f t="shared" si="126"/>
        <v>0</v>
      </c>
      <c r="CP83" s="38">
        <f t="shared" si="126"/>
        <v>0</v>
      </c>
      <c r="CQ83" s="38">
        <f t="shared" si="126"/>
        <v>0</v>
      </c>
      <c r="CR83" s="38">
        <f t="shared" si="126"/>
        <v>0</v>
      </c>
      <c r="CS83" s="38">
        <f t="shared" si="126"/>
        <v>0</v>
      </c>
      <c r="CT83" s="38">
        <f t="shared" si="126"/>
        <v>0</v>
      </c>
      <c r="CU83" s="17">
        <f t="shared" si="112"/>
        <v>1417.5</v>
      </c>
      <c r="CV83" s="25">
        <f t="shared" si="113"/>
        <v>0</v>
      </c>
      <c r="CW83" s="40"/>
      <c r="CX83" s="30"/>
      <c r="CY83" s="30"/>
    </row>
    <row r="84" spans="1:103" x14ac:dyDescent="0.2">
      <c r="A84" s="2">
        <v>45877</v>
      </c>
      <c r="B84" s="3" t="s">
        <v>146</v>
      </c>
      <c r="C84" s="4" t="s">
        <v>497</v>
      </c>
      <c r="D84" s="5" t="s">
        <v>122</v>
      </c>
      <c r="E84" s="6" t="s">
        <v>180</v>
      </c>
      <c r="F84" s="7"/>
      <c r="G84" s="8"/>
      <c r="H84" s="9">
        <v>2797465</v>
      </c>
      <c r="I84" s="10"/>
      <c r="J84" s="11" t="s">
        <v>181</v>
      </c>
      <c r="K84" s="12">
        <v>1</v>
      </c>
      <c r="L84" s="13">
        <v>115</v>
      </c>
      <c r="M84" s="14">
        <f t="shared" ref="M84" si="127">L84*K84</f>
        <v>115</v>
      </c>
      <c r="N84" s="15"/>
      <c r="O84" s="16" t="s">
        <v>182</v>
      </c>
      <c r="P84" s="17"/>
      <c r="Q84" s="18"/>
      <c r="R84" s="5"/>
      <c r="S84" s="19"/>
      <c r="T84" s="19"/>
      <c r="U84" s="19"/>
      <c r="V84" s="19"/>
      <c r="W84" s="17"/>
      <c r="X84" s="20"/>
      <c r="Y84" s="19"/>
      <c r="Z84" s="19"/>
      <c r="AA84" s="19"/>
      <c r="AB84" s="19"/>
      <c r="AC84" s="19"/>
      <c r="AD84" s="19"/>
      <c r="AE84" s="5"/>
      <c r="AF84" s="19"/>
      <c r="AG84" s="5"/>
      <c r="AH84" s="17"/>
      <c r="AI84" s="19"/>
      <c r="AJ84" s="19"/>
      <c r="AK84" s="19"/>
      <c r="AL84" s="19"/>
      <c r="AM84" s="17"/>
      <c r="AN84" s="19"/>
      <c r="AO84" s="19"/>
      <c r="AP84" s="19"/>
      <c r="AQ84" s="19"/>
      <c r="AR84" s="19"/>
      <c r="AS84" s="21"/>
      <c r="AT84" s="5"/>
      <c r="AU84" s="19"/>
      <c r="AV84" s="5"/>
      <c r="AW84" s="22"/>
      <c r="AX84" s="19"/>
      <c r="AY84" s="5"/>
      <c r="AZ84" s="19"/>
      <c r="BA84" s="5"/>
      <c r="BB84" s="5"/>
      <c r="BC84" s="17">
        <f>M84+P84-Q84</f>
        <v>115</v>
      </c>
      <c r="BD84" s="19"/>
      <c r="BE84" s="19"/>
      <c r="BF84" s="19"/>
      <c r="BG84" s="19"/>
      <c r="BH84" s="19"/>
      <c r="BI84" s="19"/>
      <c r="BJ84" s="19"/>
      <c r="BK84" s="13"/>
      <c r="BL84" s="5"/>
      <c r="BM84" s="5"/>
      <c r="BN84" s="19"/>
      <c r="BO84" s="17"/>
      <c r="BP84" s="19"/>
      <c r="BQ84" s="17"/>
      <c r="BR84" s="19"/>
      <c r="BS84" s="13"/>
      <c r="BT84" s="5"/>
      <c r="BU84" s="23"/>
      <c r="BV84" s="23"/>
      <c r="BW84" s="24"/>
      <c r="BX84" s="5"/>
      <c r="BY84" s="5"/>
      <c r="BZ84" s="5"/>
      <c r="CA84" s="24"/>
      <c r="CB84" s="24"/>
      <c r="CC84" s="24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>
        <f t="shared" si="112"/>
        <v>115</v>
      </c>
      <c r="CV84" s="25">
        <f t="shared" si="113"/>
        <v>0</v>
      </c>
      <c r="CW84" s="26"/>
      <c r="CX84" s="5"/>
      <c r="CY84" s="5"/>
    </row>
    <row r="85" spans="1:103" x14ac:dyDescent="0.2">
      <c r="A85" s="161"/>
      <c r="B85" s="162"/>
      <c r="C85" s="163"/>
      <c r="D85" s="164"/>
      <c r="E85" s="165"/>
      <c r="F85" s="166"/>
      <c r="G85" s="167"/>
      <c r="H85" s="168"/>
      <c r="I85" s="168"/>
      <c r="J85" s="169"/>
      <c r="K85" s="170"/>
      <c r="L85" s="171"/>
      <c r="M85" s="172">
        <f>SUM(M84:M84)</f>
        <v>115</v>
      </c>
      <c r="N85" s="172">
        <f>M85+M83+M80+M69+M67</f>
        <v>12930.05</v>
      </c>
      <c r="O85" s="173" t="s">
        <v>137</v>
      </c>
      <c r="P85" s="172">
        <f>SUM(P84:P84)</f>
        <v>0</v>
      </c>
      <c r="Q85" s="172">
        <f>SUM(Q84:Q84)</f>
        <v>0</v>
      </c>
      <c r="R85" s="164"/>
      <c r="S85" s="172">
        <f t="shared" ref="S85:AD85" si="128">SUM(S84:S84)</f>
        <v>0</v>
      </c>
      <c r="T85" s="172">
        <f t="shared" si="128"/>
        <v>0</v>
      </c>
      <c r="U85" s="172">
        <f t="shared" si="128"/>
        <v>0</v>
      </c>
      <c r="V85" s="172">
        <f t="shared" si="128"/>
        <v>0</v>
      </c>
      <c r="W85" s="172">
        <f t="shared" si="128"/>
        <v>0</v>
      </c>
      <c r="X85" s="172">
        <f t="shared" si="128"/>
        <v>0</v>
      </c>
      <c r="Y85" s="172">
        <f t="shared" si="128"/>
        <v>0</v>
      </c>
      <c r="Z85" s="172">
        <f t="shared" si="128"/>
        <v>0</v>
      </c>
      <c r="AA85" s="172">
        <f t="shared" si="128"/>
        <v>0</v>
      </c>
      <c r="AB85" s="172">
        <f t="shared" si="128"/>
        <v>0</v>
      </c>
      <c r="AC85" s="172">
        <f t="shared" si="128"/>
        <v>0</v>
      </c>
      <c r="AD85" s="172">
        <f t="shared" si="128"/>
        <v>0</v>
      </c>
      <c r="AE85" s="164"/>
      <c r="AF85" s="172">
        <f>SUM(AF84:AF84)</f>
        <v>0</v>
      </c>
      <c r="AG85" s="164"/>
      <c r="AH85" s="172">
        <f t="shared" ref="AH85:AZ85" si="129">SUM(AH84:AH84)</f>
        <v>0</v>
      </c>
      <c r="AI85" s="172">
        <f t="shared" si="129"/>
        <v>0</v>
      </c>
      <c r="AJ85" s="172">
        <f t="shared" si="129"/>
        <v>0</v>
      </c>
      <c r="AK85" s="172">
        <f t="shared" si="129"/>
        <v>0</v>
      </c>
      <c r="AL85" s="172">
        <f t="shared" si="129"/>
        <v>0</v>
      </c>
      <c r="AM85" s="172">
        <f t="shared" si="129"/>
        <v>0</v>
      </c>
      <c r="AN85" s="172">
        <f t="shared" si="129"/>
        <v>0</v>
      </c>
      <c r="AO85" s="172">
        <f t="shared" si="129"/>
        <v>0</v>
      </c>
      <c r="AP85" s="172">
        <f t="shared" si="129"/>
        <v>0</v>
      </c>
      <c r="AQ85" s="172">
        <f t="shared" si="129"/>
        <v>0</v>
      </c>
      <c r="AR85" s="172">
        <f t="shared" si="129"/>
        <v>0</v>
      </c>
      <c r="AS85" s="172">
        <f t="shared" si="129"/>
        <v>0</v>
      </c>
      <c r="AT85" s="172">
        <f t="shared" si="129"/>
        <v>0</v>
      </c>
      <c r="AU85" s="172">
        <f t="shared" si="129"/>
        <v>0</v>
      </c>
      <c r="AV85" s="172">
        <f t="shared" si="129"/>
        <v>0</v>
      </c>
      <c r="AW85" s="172">
        <f t="shared" si="129"/>
        <v>0</v>
      </c>
      <c r="AX85" s="172">
        <f t="shared" si="129"/>
        <v>0</v>
      </c>
      <c r="AY85" s="172">
        <f t="shared" si="129"/>
        <v>0</v>
      </c>
      <c r="AZ85" s="172">
        <f t="shared" si="129"/>
        <v>0</v>
      </c>
      <c r="BA85" s="164"/>
      <c r="BB85" s="172">
        <f t="shared" ref="BB85:CT85" si="130">SUM(BB84:BB84)</f>
        <v>0</v>
      </c>
      <c r="BC85" s="172">
        <f>SUM(BC84:BC84)</f>
        <v>115</v>
      </c>
      <c r="BD85" s="172">
        <f t="shared" si="130"/>
        <v>0</v>
      </c>
      <c r="BE85" s="172">
        <f t="shared" si="130"/>
        <v>0</v>
      </c>
      <c r="BF85" s="172">
        <f t="shared" si="130"/>
        <v>0</v>
      </c>
      <c r="BG85" s="172">
        <f t="shared" si="130"/>
        <v>0</v>
      </c>
      <c r="BH85" s="172">
        <f t="shared" si="130"/>
        <v>0</v>
      </c>
      <c r="BI85" s="172">
        <f t="shared" si="130"/>
        <v>0</v>
      </c>
      <c r="BJ85" s="172">
        <f t="shared" si="130"/>
        <v>0</v>
      </c>
      <c r="BK85" s="172">
        <f t="shared" si="130"/>
        <v>0</v>
      </c>
      <c r="BL85" s="172">
        <f t="shared" si="130"/>
        <v>0</v>
      </c>
      <c r="BM85" s="172">
        <f t="shared" si="130"/>
        <v>0</v>
      </c>
      <c r="BN85" s="172">
        <f t="shared" si="130"/>
        <v>0</v>
      </c>
      <c r="BO85" s="172">
        <f t="shared" si="130"/>
        <v>0</v>
      </c>
      <c r="BP85" s="172">
        <f t="shared" si="130"/>
        <v>0</v>
      </c>
      <c r="BQ85" s="172">
        <f t="shared" si="130"/>
        <v>0</v>
      </c>
      <c r="BR85" s="172">
        <f t="shared" si="130"/>
        <v>0</v>
      </c>
      <c r="BS85" s="172">
        <f t="shared" si="130"/>
        <v>0</v>
      </c>
      <c r="BT85" s="172">
        <f t="shared" si="130"/>
        <v>0</v>
      </c>
      <c r="BU85" s="172">
        <f t="shared" si="130"/>
        <v>0</v>
      </c>
      <c r="BV85" s="172">
        <f t="shared" si="130"/>
        <v>0</v>
      </c>
      <c r="BW85" s="172">
        <f t="shared" si="130"/>
        <v>0</v>
      </c>
      <c r="BX85" s="172">
        <f t="shared" si="130"/>
        <v>0</v>
      </c>
      <c r="BY85" s="172">
        <f t="shared" si="130"/>
        <v>0</v>
      </c>
      <c r="BZ85" s="172">
        <f t="shared" si="130"/>
        <v>0</v>
      </c>
      <c r="CA85" s="172">
        <f t="shared" si="130"/>
        <v>0</v>
      </c>
      <c r="CB85" s="172">
        <f t="shared" si="130"/>
        <v>0</v>
      </c>
      <c r="CC85" s="172">
        <f t="shared" si="130"/>
        <v>0</v>
      </c>
      <c r="CD85" s="172">
        <f t="shared" si="130"/>
        <v>0</v>
      </c>
      <c r="CE85" s="172">
        <f t="shared" si="130"/>
        <v>0</v>
      </c>
      <c r="CF85" s="172">
        <f t="shared" si="130"/>
        <v>0</v>
      </c>
      <c r="CG85" s="172">
        <f t="shared" si="130"/>
        <v>0</v>
      </c>
      <c r="CH85" s="172">
        <f t="shared" si="130"/>
        <v>0</v>
      </c>
      <c r="CI85" s="172">
        <f t="shared" si="130"/>
        <v>0</v>
      </c>
      <c r="CJ85" s="172">
        <f t="shared" si="130"/>
        <v>0</v>
      </c>
      <c r="CK85" s="172">
        <f t="shared" si="130"/>
        <v>0</v>
      </c>
      <c r="CL85" s="172">
        <f t="shared" si="130"/>
        <v>0</v>
      </c>
      <c r="CM85" s="172">
        <f t="shared" si="130"/>
        <v>0</v>
      </c>
      <c r="CN85" s="172">
        <f t="shared" si="130"/>
        <v>0</v>
      </c>
      <c r="CO85" s="172">
        <f t="shared" si="130"/>
        <v>0</v>
      </c>
      <c r="CP85" s="172">
        <f t="shared" si="130"/>
        <v>0</v>
      </c>
      <c r="CQ85" s="172">
        <f t="shared" si="130"/>
        <v>0</v>
      </c>
      <c r="CR85" s="172">
        <f t="shared" si="130"/>
        <v>0</v>
      </c>
      <c r="CS85" s="172">
        <f t="shared" si="130"/>
        <v>0</v>
      </c>
      <c r="CT85" s="172">
        <f t="shared" si="130"/>
        <v>0</v>
      </c>
      <c r="CU85" s="17">
        <f t="shared" si="112"/>
        <v>115</v>
      </c>
      <c r="CV85" s="25">
        <f t="shared" si="113"/>
        <v>0</v>
      </c>
      <c r="CW85" s="176"/>
      <c r="CX85" s="164"/>
      <c r="CY85" s="164"/>
    </row>
    <row r="86" spans="1:103" x14ac:dyDescent="0.2">
      <c r="A86" s="2">
        <v>45877</v>
      </c>
      <c r="B86" s="3" t="s">
        <v>513</v>
      </c>
      <c r="C86" s="4" t="s">
        <v>498</v>
      </c>
      <c r="D86" s="5" t="s">
        <v>122</v>
      </c>
      <c r="E86" s="6" t="s">
        <v>184</v>
      </c>
      <c r="F86" s="7" t="s">
        <v>185</v>
      </c>
      <c r="G86" s="8" t="s">
        <v>186</v>
      </c>
      <c r="H86" s="9">
        <v>809984</v>
      </c>
      <c r="I86" s="10" t="s">
        <v>402</v>
      </c>
      <c r="J86" s="11" t="s">
        <v>187</v>
      </c>
      <c r="K86" s="12">
        <v>3</v>
      </c>
      <c r="L86" s="13">
        <v>1573</v>
      </c>
      <c r="M86" s="14">
        <f t="shared" ref="M86" si="131">L86*K86</f>
        <v>4719</v>
      </c>
      <c r="N86" s="15"/>
      <c r="O86" s="16" t="s">
        <v>111</v>
      </c>
      <c r="P86" s="17">
        <f>M86/1.12*0.01</f>
        <v>42.133928571428569</v>
      </c>
      <c r="Q86" s="18">
        <f>M86/1.12*0.12</f>
        <v>505.60714285714283</v>
      </c>
      <c r="R86" s="17">
        <f>M86+P86-Q86</f>
        <v>4255.5267857142853</v>
      </c>
      <c r="S86" s="19"/>
      <c r="T86" s="19"/>
      <c r="U86" s="19"/>
      <c r="V86" s="19"/>
      <c r="W86" s="17"/>
      <c r="X86" s="20"/>
      <c r="Y86" s="19"/>
      <c r="Z86" s="19"/>
      <c r="AA86" s="19"/>
      <c r="AB86" s="19"/>
      <c r="AC86" s="19"/>
      <c r="AD86" s="19"/>
      <c r="AE86" s="5"/>
      <c r="AF86" s="19"/>
      <c r="AG86" s="5"/>
      <c r="AH86" s="17"/>
      <c r="AI86" s="19"/>
      <c r="AJ86" s="19"/>
      <c r="AK86" s="19"/>
      <c r="AL86" s="19"/>
      <c r="AM86" s="17"/>
      <c r="AN86" s="19"/>
      <c r="AO86" s="19"/>
      <c r="AP86" s="19"/>
      <c r="AQ86" s="19"/>
      <c r="AR86" s="19"/>
      <c r="AS86" s="21"/>
      <c r="AT86" s="5"/>
      <c r="AU86" s="19"/>
      <c r="AV86" s="5"/>
      <c r="AW86" s="22"/>
      <c r="AX86" s="19"/>
      <c r="AY86" s="5"/>
      <c r="AZ86" s="19"/>
      <c r="BA86" s="5"/>
      <c r="BB86" s="5"/>
      <c r="BC86" s="19"/>
      <c r="BD86" s="19"/>
      <c r="BE86" s="19"/>
      <c r="BF86" s="19"/>
      <c r="BG86" s="19"/>
      <c r="BH86" s="19"/>
      <c r="BI86" s="19"/>
      <c r="BJ86" s="19"/>
      <c r="BK86" s="13"/>
      <c r="BL86" s="5"/>
      <c r="BM86" s="5"/>
      <c r="BN86" s="19"/>
      <c r="BO86" s="17"/>
      <c r="BP86" s="19"/>
      <c r="BQ86" s="17"/>
      <c r="BR86" s="19"/>
      <c r="BS86" s="13"/>
      <c r="BT86" s="5"/>
      <c r="BU86" s="23"/>
      <c r="BV86" s="23"/>
      <c r="BW86" s="24"/>
      <c r="BX86" s="5"/>
      <c r="BY86" s="5"/>
      <c r="BZ86" s="5"/>
      <c r="CA86" s="24"/>
      <c r="CB86" s="24"/>
      <c r="CC86" s="24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>
        <f t="shared" si="112"/>
        <v>4719</v>
      </c>
      <c r="CV86" s="25">
        <f t="shared" si="113"/>
        <v>0</v>
      </c>
      <c r="CW86" s="26"/>
      <c r="CX86" s="5"/>
      <c r="CY86" s="5"/>
    </row>
    <row r="87" spans="1:103" x14ac:dyDescent="0.2">
      <c r="A87" s="161"/>
      <c r="B87" s="162"/>
      <c r="C87" s="163"/>
      <c r="D87" s="164"/>
      <c r="E87" s="165"/>
      <c r="F87" s="166"/>
      <c r="G87" s="167"/>
      <c r="H87" s="168"/>
      <c r="I87" s="168"/>
      <c r="J87" s="169"/>
      <c r="K87" s="170"/>
      <c r="L87" s="171"/>
      <c r="M87" s="172">
        <f>SUM(M86:M86)</f>
        <v>4719</v>
      </c>
      <c r="N87" s="172">
        <f>M87</f>
        <v>4719</v>
      </c>
      <c r="O87" s="173" t="s">
        <v>111</v>
      </c>
      <c r="P87" s="172">
        <f>SUM(P86:P86)</f>
        <v>42.133928571428569</v>
      </c>
      <c r="Q87" s="172">
        <f>SUM(Q86:Q86)</f>
        <v>505.60714285714283</v>
      </c>
      <c r="R87" s="172">
        <f>SUM(R86:R86)</f>
        <v>4255.5267857142853</v>
      </c>
      <c r="S87" s="172">
        <f t="shared" ref="S87:AD87" si="132">SUM(S86:S86)</f>
        <v>0</v>
      </c>
      <c r="T87" s="172">
        <f t="shared" si="132"/>
        <v>0</v>
      </c>
      <c r="U87" s="172">
        <f t="shared" si="132"/>
        <v>0</v>
      </c>
      <c r="V87" s="172">
        <f t="shared" si="132"/>
        <v>0</v>
      </c>
      <c r="W87" s="172">
        <f t="shared" si="132"/>
        <v>0</v>
      </c>
      <c r="X87" s="172">
        <f t="shared" si="132"/>
        <v>0</v>
      </c>
      <c r="Y87" s="172">
        <f t="shared" si="132"/>
        <v>0</v>
      </c>
      <c r="Z87" s="172">
        <f t="shared" si="132"/>
        <v>0</v>
      </c>
      <c r="AA87" s="172">
        <f t="shared" si="132"/>
        <v>0</v>
      </c>
      <c r="AB87" s="172">
        <f t="shared" si="132"/>
        <v>0</v>
      </c>
      <c r="AC87" s="172">
        <f t="shared" si="132"/>
        <v>0</v>
      </c>
      <c r="AD87" s="172">
        <f t="shared" si="132"/>
        <v>0</v>
      </c>
      <c r="AE87" s="164"/>
      <c r="AF87" s="172">
        <f>SUM(AF86:AF86)</f>
        <v>0</v>
      </c>
      <c r="AG87" s="164"/>
      <c r="AH87" s="172">
        <f t="shared" ref="AH87:AZ87" si="133">SUM(AH86:AH86)</f>
        <v>0</v>
      </c>
      <c r="AI87" s="172">
        <f t="shared" si="133"/>
        <v>0</v>
      </c>
      <c r="AJ87" s="172">
        <f t="shared" si="133"/>
        <v>0</v>
      </c>
      <c r="AK87" s="172">
        <f t="shared" si="133"/>
        <v>0</v>
      </c>
      <c r="AL87" s="172">
        <f t="shared" si="133"/>
        <v>0</v>
      </c>
      <c r="AM87" s="172">
        <f t="shared" si="133"/>
        <v>0</v>
      </c>
      <c r="AN87" s="172">
        <f t="shared" si="133"/>
        <v>0</v>
      </c>
      <c r="AO87" s="172">
        <f t="shared" si="133"/>
        <v>0</v>
      </c>
      <c r="AP87" s="172">
        <f t="shared" si="133"/>
        <v>0</v>
      </c>
      <c r="AQ87" s="172">
        <f t="shared" si="133"/>
        <v>0</v>
      </c>
      <c r="AR87" s="172">
        <f t="shared" si="133"/>
        <v>0</v>
      </c>
      <c r="AS87" s="172">
        <f t="shared" si="133"/>
        <v>0</v>
      </c>
      <c r="AT87" s="172">
        <f t="shared" si="133"/>
        <v>0</v>
      </c>
      <c r="AU87" s="172">
        <f t="shared" si="133"/>
        <v>0</v>
      </c>
      <c r="AV87" s="172">
        <f t="shared" si="133"/>
        <v>0</v>
      </c>
      <c r="AW87" s="172">
        <f t="shared" si="133"/>
        <v>0</v>
      </c>
      <c r="AX87" s="172">
        <f t="shared" si="133"/>
        <v>0</v>
      </c>
      <c r="AY87" s="172">
        <f t="shared" si="133"/>
        <v>0</v>
      </c>
      <c r="AZ87" s="172">
        <f t="shared" si="133"/>
        <v>0</v>
      </c>
      <c r="BA87" s="164"/>
      <c r="BB87" s="172">
        <f t="shared" ref="BB87:CT87" si="134">SUM(BB86:BB86)</f>
        <v>0</v>
      </c>
      <c r="BC87" s="172">
        <f t="shared" si="134"/>
        <v>0</v>
      </c>
      <c r="BD87" s="172">
        <f t="shared" si="134"/>
        <v>0</v>
      </c>
      <c r="BE87" s="172">
        <f t="shared" si="134"/>
        <v>0</v>
      </c>
      <c r="BF87" s="172">
        <f t="shared" si="134"/>
        <v>0</v>
      </c>
      <c r="BG87" s="172">
        <f t="shared" si="134"/>
        <v>0</v>
      </c>
      <c r="BH87" s="172">
        <f t="shared" si="134"/>
        <v>0</v>
      </c>
      <c r="BI87" s="172">
        <f t="shared" si="134"/>
        <v>0</v>
      </c>
      <c r="BJ87" s="172">
        <f t="shared" si="134"/>
        <v>0</v>
      </c>
      <c r="BK87" s="172">
        <f t="shared" si="134"/>
        <v>0</v>
      </c>
      <c r="BL87" s="172">
        <f t="shared" si="134"/>
        <v>0</v>
      </c>
      <c r="BM87" s="172">
        <f t="shared" si="134"/>
        <v>0</v>
      </c>
      <c r="BN87" s="172">
        <f t="shared" si="134"/>
        <v>0</v>
      </c>
      <c r="BO87" s="172">
        <f t="shared" si="134"/>
        <v>0</v>
      </c>
      <c r="BP87" s="172">
        <f t="shared" si="134"/>
        <v>0</v>
      </c>
      <c r="BQ87" s="172">
        <f t="shared" si="134"/>
        <v>0</v>
      </c>
      <c r="BR87" s="172">
        <f t="shared" si="134"/>
        <v>0</v>
      </c>
      <c r="BS87" s="172">
        <f t="shared" si="134"/>
        <v>0</v>
      </c>
      <c r="BT87" s="172">
        <f t="shared" si="134"/>
        <v>0</v>
      </c>
      <c r="BU87" s="172">
        <f t="shared" si="134"/>
        <v>0</v>
      </c>
      <c r="BV87" s="172">
        <f t="shared" si="134"/>
        <v>0</v>
      </c>
      <c r="BW87" s="172">
        <f t="shared" si="134"/>
        <v>0</v>
      </c>
      <c r="BX87" s="172">
        <f t="shared" si="134"/>
        <v>0</v>
      </c>
      <c r="BY87" s="172">
        <f t="shared" si="134"/>
        <v>0</v>
      </c>
      <c r="BZ87" s="172">
        <f t="shared" si="134"/>
        <v>0</v>
      </c>
      <c r="CA87" s="172">
        <f t="shared" si="134"/>
        <v>0</v>
      </c>
      <c r="CB87" s="172">
        <f t="shared" si="134"/>
        <v>0</v>
      </c>
      <c r="CC87" s="172">
        <f t="shared" si="134"/>
        <v>0</v>
      </c>
      <c r="CD87" s="172">
        <f t="shared" si="134"/>
        <v>0</v>
      </c>
      <c r="CE87" s="172">
        <f t="shared" si="134"/>
        <v>0</v>
      </c>
      <c r="CF87" s="172">
        <f t="shared" si="134"/>
        <v>0</v>
      </c>
      <c r="CG87" s="172">
        <f t="shared" si="134"/>
        <v>0</v>
      </c>
      <c r="CH87" s="172">
        <f t="shared" si="134"/>
        <v>0</v>
      </c>
      <c r="CI87" s="172">
        <f t="shared" si="134"/>
        <v>0</v>
      </c>
      <c r="CJ87" s="172">
        <f t="shared" si="134"/>
        <v>0</v>
      </c>
      <c r="CK87" s="172">
        <f t="shared" si="134"/>
        <v>0</v>
      </c>
      <c r="CL87" s="172">
        <f t="shared" si="134"/>
        <v>0</v>
      </c>
      <c r="CM87" s="172">
        <f t="shared" si="134"/>
        <v>0</v>
      </c>
      <c r="CN87" s="172">
        <f t="shared" si="134"/>
        <v>0</v>
      </c>
      <c r="CO87" s="172">
        <f t="shared" si="134"/>
        <v>0</v>
      </c>
      <c r="CP87" s="172">
        <f t="shared" si="134"/>
        <v>0</v>
      </c>
      <c r="CQ87" s="172">
        <f t="shared" si="134"/>
        <v>0</v>
      </c>
      <c r="CR87" s="172">
        <f t="shared" si="134"/>
        <v>0</v>
      </c>
      <c r="CS87" s="172">
        <f t="shared" si="134"/>
        <v>0</v>
      </c>
      <c r="CT87" s="172">
        <f t="shared" si="134"/>
        <v>0</v>
      </c>
      <c r="CU87" s="17">
        <f t="shared" si="112"/>
        <v>4719</v>
      </c>
      <c r="CV87" s="25">
        <f t="shared" si="113"/>
        <v>0</v>
      </c>
      <c r="CW87" s="176"/>
      <c r="CX87" s="164"/>
      <c r="CY87" s="164"/>
    </row>
    <row r="88" spans="1:103" x14ac:dyDescent="0.2">
      <c r="A88" s="2">
        <v>45878</v>
      </c>
      <c r="B88" s="3" t="s">
        <v>188</v>
      </c>
      <c r="C88" s="4" t="s">
        <v>499</v>
      </c>
      <c r="D88" s="5" t="s">
        <v>189</v>
      </c>
      <c r="E88" s="6" t="s">
        <v>190</v>
      </c>
      <c r="F88" s="7" t="s">
        <v>191</v>
      </c>
      <c r="G88" s="8" t="s">
        <v>192</v>
      </c>
      <c r="H88" s="9">
        <v>12474</v>
      </c>
      <c r="I88" s="10" t="s">
        <v>403</v>
      </c>
      <c r="J88" s="11" t="s">
        <v>193</v>
      </c>
      <c r="K88" s="12">
        <v>15</v>
      </c>
      <c r="L88" s="12">
        <v>77.3</v>
      </c>
      <c r="M88" s="14">
        <f>L88*K88</f>
        <v>1159.5</v>
      </c>
      <c r="N88" s="15"/>
      <c r="O88" s="16" t="s">
        <v>137</v>
      </c>
      <c r="P88" s="17">
        <f>M88*0.01</f>
        <v>11.595000000000001</v>
      </c>
      <c r="Q88" s="18"/>
      <c r="R88" s="17">
        <f>M88+P88-Q88</f>
        <v>1171.095</v>
      </c>
      <c r="S88" s="19"/>
      <c r="T88" s="19"/>
      <c r="U88" s="19"/>
      <c r="V88" s="19"/>
      <c r="W88" s="17"/>
      <c r="X88" s="20"/>
      <c r="Y88" s="19"/>
      <c r="Z88" s="19"/>
      <c r="AA88" s="19"/>
      <c r="AB88" s="19"/>
      <c r="AC88" s="19"/>
      <c r="AD88" s="19"/>
      <c r="AE88" s="5"/>
      <c r="AF88" s="19"/>
      <c r="AG88" s="5"/>
      <c r="AH88" s="17"/>
      <c r="AI88" s="19"/>
      <c r="AJ88" s="19"/>
      <c r="AK88" s="19"/>
      <c r="AL88" s="19"/>
      <c r="AM88" s="17"/>
      <c r="AN88" s="19"/>
      <c r="AO88" s="19"/>
      <c r="AP88" s="19"/>
      <c r="AQ88" s="19"/>
      <c r="AR88" s="19"/>
      <c r="AS88" s="21"/>
      <c r="AT88" s="5"/>
      <c r="AU88" s="19"/>
      <c r="AV88" s="5"/>
      <c r="AW88" s="22"/>
      <c r="AX88" s="19"/>
      <c r="AY88" s="5"/>
      <c r="AZ88" s="19"/>
      <c r="BA88" s="5"/>
      <c r="BB88" s="5"/>
      <c r="BC88" s="19"/>
      <c r="BD88" s="19"/>
      <c r="BE88" s="19"/>
      <c r="BF88" s="19"/>
      <c r="BG88" s="19"/>
      <c r="BH88" s="19"/>
      <c r="BI88" s="19"/>
      <c r="BJ88" s="19"/>
      <c r="BK88" s="13"/>
      <c r="BL88" s="5"/>
      <c r="BM88" s="5"/>
      <c r="BN88" s="19"/>
      <c r="BO88" s="17"/>
      <c r="BP88" s="19"/>
      <c r="BQ88" s="17"/>
      <c r="BR88" s="19"/>
      <c r="BS88" s="13"/>
      <c r="BT88" s="5"/>
      <c r="BU88" s="23"/>
      <c r="BV88" s="23"/>
      <c r="BW88" s="24"/>
      <c r="BX88" s="5"/>
      <c r="BY88" s="5"/>
      <c r="BZ88" s="5"/>
      <c r="CA88" s="24"/>
      <c r="CB88" s="24"/>
      <c r="CC88" s="24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>
        <f t="shared" si="112"/>
        <v>1159.5</v>
      </c>
      <c r="CV88" s="25">
        <f t="shared" si="113"/>
        <v>0</v>
      </c>
      <c r="CW88" s="26"/>
      <c r="CX88" s="5"/>
      <c r="CY88" s="5"/>
    </row>
    <row r="89" spans="1:103" x14ac:dyDescent="0.2">
      <c r="A89" s="2"/>
      <c r="B89" s="3"/>
      <c r="C89" s="4"/>
      <c r="D89" s="5"/>
      <c r="E89" s="6"/>
      <c r="F89" s="7"/>
      <c r="G89" s="8"/>
      <c r="H89" s="9"/>
      <c r="I89" s="10"/>
      <c r="J89" s="11" t="s">
        <v>194</v>
      </c>
      <c r="K89" s="12">
        <v>15</v>
      </c>
      <c r="L89" s="12">
        <v>87.25</v>
      </c>
      <c r="M89" s="14">
        <f>L89*K89</f>
        <v>1308.75</v>
      </c>
      <c r="N89" s="15"/>
      <c r="O89" s="16" t="s">
        <v>137</v>
      </c>
      <c r="P89" s="17">
        <f t="shared" ref="P89:P90" si="135">M89*0.01</f>
        <v>13.0875</v>
      </c>
      <c r="Q89" s="18"/>
      <c r="R89" s="17">
        <f t="shared" ref="R89:R90" si="136">M89+P89-Q89</f>
        <v>1321.8375000000001</v>
      </c>
      <c r="S89" s="19"/>
      <c r="T89" s="19"/>
      <c r="U89" s="19"/>
      <c r="V89" s="19"/>
      <c r="W89" s="17"/>
      <c r="X89" s="20"/>
      <c r="Y89" s="19"/>
      <c r="Z89" s="19"/>
      <c r="AA89" s="19"/>
      <c r="AB89" s="19"/>
      <c r="AC89" s="19"/>
      <c r="AD89" s="19"/>
      <c r="AE89" s="5"/>
      <c r="AF89" s="19"/>
      <c r="AG89" s="5"/>
      <c r="AH89" s="17"/>
      <c r="AI89" s="19"/>
      <c r="AJ89" s="19"/>
      <c r="AK89" s="19"/>
      <c r="AL89" s="19"/>
      <c r="AM89" s="17"/>
      <c r="AN89" s="19"/>
      <c r="AO89" s="19"/>
      <c r="AP89" s="19"/>
      <c r="AQ89" s="19"/>
      <c r="AR89" s="19"/>
      <c r="AS89" s="21"/>
      <c r="AT89" s="5"/>
      <c r="AU89" s="19"/>
      <c r="AV89" s="5"/>
      <c r="AW89" s="22"/>
      <c r="AX89" s="19"/>
      <c r="AY89" s="5"/>
      <c r="AZ89" s="19"/>
      <c r="BA89" s="5"/>
      <c r="BB89" s="5"/>
      <c r="BC89" s="19"/>
      <c r="BD89" s="19"/>
      <c r="BE89" s="19"/>
      <c r="BF89" s="19"/>
      <c r="BG89" s="19"/>
      <c r="BH89" s="19"/>
      <c r="BI89" s="19"/>
      <c r="BJ89" s="19"/>
      <c r="BK89" s="13"/>
      <c r="BL89" s="5"/>
      <c r="BM89" s="5"/>
      <c r="BN89" s="19"/>
      <c r="BO89" s="17"/>
      <c r="BP89" s="19"/>
      <c r="BQ89" s="17"/>
      <c r="BR89" s="19"/>
      <c r="BS89" s="13"/>
      <c r="BT89" s="5"/>
      <c r="BU89" s="23"/>
      <c r="BV89" s="23"/>
      <c r="BW89" s="24"/>
      <c r="BX89" s="5"/>
      <c r="BY89" s="5"/>
      <c r="BZ89" s="5"/>
      <c r="CA89" s="24"/>
      <c r="CB89" s="24"/>
      <c r="CC89" s="24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>
        <f t="shared" si="112"/>
        <v>1308.75</v>
      </c>
      <c r="CV89" s="25">
        <f t="shared" si="113"/>
        <v>0</v>
      </c>
      <c r="CW89" s="26"/>
      <c r="CX89" s="5"/>
      <c r="CY89" s="5"/>
    </row>
    <row r="90" spans="1:103" x14ac:dyDescent="0.2">
      <c r="A90" s="2"/>
      <c r="B90" s="3"/>
      <c r="C90" s="4"/>
      <c r="D90" s="5"/>
      <c r="E90" s="6"/>
      <c r="F90" s="7"/>
      <c r="G90" s="8"/>
      <c r="H90" s="9"/>
      <c r="I90" s="10"/>
      <c r="J90" s="11" t="s">
        <v>195</v>
      </c>
      <c r="K90" s="12">
        <v>10</v>
      </c>
      <c r="L90" s="12">
        <v>50.9</v>
      </c>
      <c r="M90" s="14">
        <f>L90*K90</f>
        <v>509</v>
      </c>
      <c r="N90" s="15"/>
      <c r="O90" s="16" t="s">
        <v>137</v>
      </c>
      <c r="P90" s="17">
        <f t="shared" si="135"/>
        <v>5.09</v>
      </c>
      <c r="Q90" s="18"/>
      <c r="R90" s="17">
        <f t="shared" si="136"/>
        <v>514.09</v>
      </c>
      <c r="S90" s="19"/>
      <c r="T90" s="19"/>
      <c r="U90" s="19"/>
      <c r="V90" s="19"/>
      <c r="W90" s="17"/>
      <c r="X90" s="20"/>
      <c r="Y90" s="19"/>
      <c r="Z90" s="19"/>
      <c r="AA90" s="19"/>
      <c r="AB90" s="19"/>
      <c r="AC90" s="19"/>
      <c r="AD90" s="19"/>
      <c r="AE90" s="5"/>
      <c r="AF90" s="19"/>
      <c r="AG90" s="5"/>
      <c r="AH90" s="17"/>
      <c r="AI90" s="19"/>
      <c r="AJ90" s="19"/>
      <c r="AK90" s="19"/>
      <c r="AL90" s="19"/>
      <c r="AM90" s="17"/>
      <c r="AN90" s="19"/>
      <c r="AO90" s="19"/>
      <c r="AP90" s="19"/>
      <c r="AQ90" s="19"/>
      <c r="AR90" s="19"/>
      <c r="AS90" s="21"/>
      <c r="AT90" s="5"/>
      <c r="AU90" s="19"/>
      <c r="AV90" s="5"/>
      <c r="AW90" s="22"/>
      <c r="AX90" s="19"/>
      <c r="AY90" s="5"/>
      <c r="AZ90" s="19"/>
      <c r="BA90" s="5"/>
      <c r="BB90" s="5"/>
      <c r="BC90" s="19"/>
      <c r="BD90" s="19"/>
      <c r="BE90" s="19"/>
      <c r="BF90" s="19"/>
      <c r="BG90" s="19"/>
      <c r="BH90" s="19"/>
      <c r="BI90" s="19"/>
      <c r="BJ90" s="19"/>
      <c r="BK90" s="13"/>
      <c r="BL90" s="5"/>
      <c r="BM90" s="5"/>
      <c r="BN90" s="19"/>
      <c r="BO90" s="17"/>
      <c r="BP90" s="19"/>
      <c r="BQ90" s="17"/>
      <c r="BR90" s="19"/>
      <c r="BS90" s="13"/>
      <c r="BT90" s="5"/>
      <c r="BU90" s="23"/>
      <c r="BV90" s="23"/>
      <c r="BW90" s="24"/>
      <c r="BX90" s="5"/>
      <c r="BY90" s="5"/>
      <c r="BZ90" s="5"/>
      <c r="CA90" s="24"/>
      <c r="CB90" s="24"/>
      <c r="CC90" s="24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>
        <f t="shared" si="112"/>
        <v>509.00000000000006</v>
      </c>
      <c r="CV90" s="25">
        <f t="shared" si="113"/>
        <v>0</v>
      </c>
      <c r="CW90" s="26"/>
      <c r="CX90" s="5"/>
      <c r="CY90" s="5"/>
    </row>
    <row r="91" spans="1:103" x14ac:dyDescent="0.2">
      <c r="A91" s="161"/>
      <c r="B91" s="162"/>
      <c r="C91" s="163"/>
      <c r="D91" s="164"/>
      <c r="E91" s="165"/>
      <c r="F91" s="166"/>
      <c r="G91" s="167"/>
      <c r="H91" s="168"/>
      <c r="I91" s="168"/>
      <c r="J91" s="169"/>
      <c r="K91" s="170"/>
      <c r="L91" s="171"/>
      <c r="M91" s="172">
        <f>SUM(M88:M90)</f>
        <v>2977.25</v>
      </c>
      <c r="N91" s="172">
        <f>M91</f>
        <v>2977.25</v>
      </c>
      <c r="O91" s="173" t="s">
        <v>137</v>
      </c>
      <c r="P91" s="172">
        <f>SUM(P88:P90)</f>
        <v>29.772500000000001</v>
      </c>
      <c r="Q91" s="172">
        <f>SUM(Q88:Q90)</f>
        <v>0</v>
      </c>
      <c r="R91" s="172">
        <f>SUM(R88:R90)</f>
        <v>3007.0225</v>
      </c>
      <c r="S91" s="172">
        <f t="shared" ref="S91:AD91" si="137">SUM(S88:S88)</f>
        <v>0</v>
      </c>
      <c r="T91" s="172">
        <f t="shared" si="137"/>
        <v>0</v>
      </c>
      <c r="U91" s="172">
        <f t="shared" si="137"/>
        <v>0</v>
      </c>
      <c r="V91" s="172">
        <f t="shared" si="137"/>
        <v>0</v>
      </c>
      <c r="W91" s="172">
        <f t="shared" si="137"/>
        <v>0</v>
      </c>
      <c r="X91" s="172">
        <f t="shared" si="137"/>
        <v>0</v>
      </c>
      <c r="Y91" s="172">
        <f t="shared" si="137"/>
        <v>0</v>
      </c>
      <c r="Z91" s="172">
        <f t="shared" si="137"/>
        <v>0</v>
      </c>
      <c r="AA91" s="172">
        <f t="shared" si="137"/>
        <v>0</v>
      </c>
      <c r="AB91" s="172">
        <f t="shared" si="137"/>
        <v>0</v>
      </c>
      <c r="AC91" s="172">
        <f t="shared" si="137"/>
        <v>0</v>
      </c>
      <c r="AD91" s="172">
        <f t="shared" si="137"/>
        <v>0</v>
      </c>
      <c r="AE91" s="164"/>
      <c r="AF91" s="172">
        <f>SUM(AF88:AF88)</f>
        <v>0</v>
      </c>
      <c r="AG91" s="164"/>
      <c r="AH91" s="172">
        <f t="shared" ref="AH91:AZ91" si="138">SUM(AH88:AH88)</f>
        <v>0</v>
      </c>
      <c r="AI91" s="172">
        <f t="shared" si="138"/>
        <v>0</v>
      </c>
      <c r="AJ91" s="172">
        <f t="shared" si="138"/>
        <v>0</v>
      </c>
      <c r="AK91" s="172">
        <f t="shared" si="138"/>
        <v>0</v>
      </c>
      <c r="AL91" s="172">
        <f t="shared" si="138"/>
        <v>0</v>
      </c>
      <c r="AM91" s="172">
        <f t="shared" si="138"/>
        <v>0</v>
      </c>
      <c r="AN91" s="172">
        <f t="shared" si="138"/>
        <v>0</v>
      </c>
      <c r="AO91" s="172">
        <f t="shared" si="138"/>
        <v>0</v>
      </c>
      <c r="AP91" s="172">
        <f t="shared" si="138"/>
        <v>0</v>
      </c>
      <c r="AQ91" s="172">
        <f t="shared" si="138"/>
        <v>0</v>
      </c>
      <c r="AR91" s="172">
        <f t="shared" si="138"/>
        <v>0</v>
      </c>
      <c r="AS91" s="172">
        <f t="shared" si="138"/>
        <v>0</v>
      </c>
      <c r="AT91" s="172">
        <f t="shared" si="138"/>
        <v>0</v>
      </c>
      <c r="AU91" s="172">
        <f t="shared" si="138"/>
        <v>0</v>
      </c>
      <c r="AV91" s="172">
        <f t="shared" si="138"/>
        <v>0</v>
      </c>
      <c r="AW91" s="172">
        <f t="shared" si="138"/>
        <v>0</v>
      </c>
      <c r="AX91" s="172">
        <f t="shared" si="138"/>
        <v>0</v>
      </c>
      <c r="AY91" s="172">
        <f t="shared" si="138"/>
        <v>0</v>
      </c>
      <c r="AZ91" s="172">
        <f t="shared" si="138"/>
        <v>0</v>
      </c>
      <c r="BA91" s="164"/>
      <c r="BB91" s="172">
        <f t="shared" ref="BB91:CT91" si="139">SUM(BB88:BB88)</f>
        <v>0</v>
      </c>
      <c r="BC91" s="172">
        <f t="shared" si="139"/>
        <v>0</v>
      </c>
      <c r="BD91" s="172">
        <f t="shared" si="139"/>
        <v>0</v>
      </c>
      <c r="BE91" s="172">
        <f t="shared" si="139"/>
        <v>0</v>
      </c>
      <c r="BF91" s="172">
        <f t="shared" si="139"/>
        <v>0</v>
      </c>
      <c r="BG91" s="172">
        <f t="shared" si="139"/>
        <v>0</v>
      </c>
      <c r="BH91" s="172">
        <f t="shared" si="139"/>
        <v>0</v>
      </c>
      <c r="BI91" s="172">
        <f t="shared" si="139"/>
        <v>0</v>
      </c>
      <c r="BJ91" s="172">
        <f t="shared" si="139"/>
        <v>0</v>
      </c>
      <c r="BK91" s="172">
        <f t="shared" si="139"/>
        <v>0</v>
      </c>
      <c r="BL91" s="172">
        <f t="shared" si="139"/>
        <v>0</v>
      </c>
      <c r="BM91" s="172">
        <f t="shared" si="139"/>
        <v>0</v>
      </c>
      <c r="BN91" s="172">
        <f t="shared" si="139"/>
        <v>0</v>
      </c>
      <c r="BO91" s="172">
        <f t="shared" si="139"/>
        <v>0</v>
      </c>
      <c r="BP91" s="172">
        <f t="shared" si="139"/>
        <v>0</v>
      </c>
      <c r="BQ91" s="172">
        <f t="shared" si="139"/>
        <v>0</v>
      </c>
      <c r="BR91" s="172">
        <f t="shared" si="139"/>
        <v>0</v>
      </c>
      <c r="BS91" s="172">
        <f t="shared" si="139"/>
        <v>0</v>
      </c>
      <c r="BT91" s="172">
        <f t="shared" si="139"/>
        <v>0</v>
      </c>
      <c r="BU91" s="172">
        <f t="shared" si="139"/>
        <v>0</v>
      </c>
      <c r="BV91" s="172">
        <f t="shared" si="139"/>
        <v>0</v>
      </c>
      <c r="BW91" s="172">
        <f t="shared" si="139"/>
        <v>0</v>
      </c>
      <c r="BX91" s="172">
        <f t="shared" si="139"/>
        <v>0</v>
      </c>
      <c r="BY91" s="172">
        <f t="shared" si="139"/>
        <v>0</v>
      </c>
      <c r="BZ91" s="172">
        <f t="shared" si="139"/>
        <v>0</v>
      </c>
      <c r="CA91" s="172">
        <f t="shared" si="139"/>
        <v>0</v>
      </c>
      <c r="CB91" s="172">
        <f t="shared" si="139"/>
        <v>0</v>
      </c>
      <c r="CC91" s="172">
        <f t="shared" si="139"/>
        <v>0</v>
      </c>
      <c r="CD91" s="172">
        <f t="shared" si="139"/>
        <v>0</v>
      </c>
      <c r="CE91" s="172">
        <f t="shared" si="139"/>
        <v>0</v>
      </c>
      <c r="CF91" s="172">
        <f t="shared" si="139"/>
        <v>0</v>
      </c>
      <c r="CG91" s="172">
        <f t="shared" si="139"/>
        <v>0</v>
      </c>
      <c r="CH91" s="172">
        <f t="shared" si="139"/>
        <v>0</v>
      </c>
      <c r="CI91" s="172">
        <f t="shared" si="139"/>
        <v>0</v>
      </c>
      <c r="CJ91" s="172">
        <f t="shared" si="139"/>
        <v>0</v>
      </c>
      <c r="CK91" s="172">
        <f t="shared" si="139"/>
        <v>0</v>
      </c>
      <c r="CL91" s="172">
        <f t="shared" si="139"/>
        <v>0</v>
      </c>
      <c r="CM91" s="172">
        <f t="shared" si="139"/>
        <v>0</v>
      </c>
      <c r="CN91" s="172">
        <f t="shared" si="139"/>
        <v>0</v>
      </c>
      <c r="CO91" s="172">
        <f t="shared" si="139"/>
        <v>0</v>
      </c>
      <c r="CP91" s="172">
        <f t="shared" si="139"/>
        <v>0</v>
      </c>
      <c r="CQ91" s="172">
        <f t="shared" si="139"/>
        <v>0</v>
      </c>
      <c r="CR91" s="172">
        <f t="shared" si="139"/>
        <v>0</v>
      </c>
      <c r="CS91" s="172">
        <f t="shared" si="139"/>
        <v>0</v>
      </c>
      <c r="CT91" s="172">
        <f t="shared" si="139"/>
        <v>0</v>
      </c>
      <c r="CU91" s="17">
        <f t="shared" si="112"/>
        <v>2977.25</v>
      </c>
      <c r="CV91" s="25">
        <f t="shared" si="113"/>
        <v>0</v>
      </c>
      <c r="CW91" s="176"/>
      <c r="CX91" s="164"/>
      <c r="CY91" s="164"/>
    </row>
    <row r="92" spans="1:103" x14ac:dyDescent="0.2">
      <c r="A92" s="2">
        <v>45878</v>
      </c>
      <c r="B92" s="3" t="s">
        <v>196</v>
      </c>
      <c r="C92" s="4" t="s">
        <v>500</v>
      </c>
      <c r="D92" s="5" t="s">
        <v>122</v>
      </c>
      <c r="E92" s="6" t="s">
        <v>197</v>
      </c>
      <c r="F92" s="7" t="s">
        <v>198</v>
      </c>
      <c r="G92" s="8" t="s">
        <v>199</v>
      </c>
      <c r="H92" s="9" t="s">
        <v>200</v>
      </c>
      <c r="I92" s="10" t="s">
        <v>404</v>
      </c>
      <c r="J92" s="11" t="s">
        <v>201</v>
      </c>
      <c r="K92" s="12">
        <v>20</v>
      </c>
      <c r="L92" s="13">
        <v>45.5</v>
      </c>
      <c r="M92" s="14">
        <f t="shared" ref="M92" si="140">L92*K92</f>
        <v>910</v>
      </c>
      <c r="N92" s="15"/>
      <c r="O92" s="16" t="s">
        <v>111</v>
      </c>
      <c r="P92" s="17">
        <f>M92/1.12*0.01</f>
        <v>8.1249999999999982</v>
      </c>
      <c r="Q92" s="18">
        <f>M92/1.12*0.12</f>
        <v>97.499999999999986</v>
      </c>
      <c r="R92" s="17">
        <f>M92+P92-Q92</f>
        <v>820.625</v>
      </c>
      <c r="S92" s="19"/>
      <c r="T92" s="19"/>
      <c r="U92" s="19"/>
      <c r="V92" s="19"/>
      <c r="W92" s="17"/>
      <c r="X92" s="20"/>
      <c r="Y92" s="19"/>
      <c r="Z92" s="19"/>
      <c r="AA92" s="19"/>
      <c r="AB92" s="19"/>
      <c r="AC92" s="19"/>
      <c r="AD92" s="19"/>
      <c r="AE92" s="5"/>
      <c r="AF92" s="19"/>
      <c r="AG92" s="5"/>
      <c r="AH92" s="17"/>
      <c r="AI92" s="19"/>
      <c r="AJ92" s="19"/>
      <c r="AK92" s="19"/>
      <c r="AL92" s="19"/>
      <c r="AM92" s="17"/>
      <c r="AN92" s="19"/>
      <c r="AO92" s="19"/>
      <c r="AP92" s="19"/>
      <c r="AQ92" s="19"/>
      <c r="AR92" s="19"/>
      <c r="AS92" s="21"/>
      <c r="AT92" s="5"/>
      <c r="AU92" s="19"/>
      <c r="AV92" s="5"/>
      <c r="AW92" s="22"/>
      <c r="AX92" s="19"/>
      <c r="AY92" s="5"/>
      <c r="AZ92" s="19"/>
      <c r="BA92" s="5"/>
      <c r="BB92" s="5"/>
      <c r="BC92" s="19"/>
      <c r="BD92" s="19"/>
      <c r="BE92" s="19"/>
      <c r="BF92" s="19"/>
      <c r="BG92" s="19"/>
      <c r="BH92" s="19"/>
      <c r="BI92" s="19"/>
      <c r="BJ92" s="19"/>
      <c r="BK92" s="13"/>
      <c r="BL92" s="5"/>
      <c r="BM92" s="5"/>
      <c r="BN92" s="19"/>
      <c r="BO92" s="17"/>
      <c r="BP92" s="19"/>
      <c r="BQ92" s="17"/>
      <c r="BR92" s="19"/>
      <c r="BS92" s="13"/>
      <c r="BT92" s="5"/>
      <c r="BU92" s="23"/>
      <c r="BV92" s="23"/>
      <c r="BW92" s="24"/>
      <c r="BX92" s="5"/>
      <c r="BY92" s="5"/>
      <c r="BZ92" s="5"/>
      <c r="CA92" s="24"/>
      <c r="CB92" s="24"/>
      <c r="CC92" s="24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>
        <f t="shared" si="112"/>
        <v>910</v>
      </c>
      <c r="CV92" s="25">
        <f t="shared" si="113"/>
        <v>0</v>
      </c>
      <c r="CW92" s="26"/>
      <c r="CX92" s="5"/>
      <c r="CY92" s="5"/>
    </row>
    <row r="93" spans="1:103" x14ac:dyDescent="0.2">
      <c r="A93" s="161"/>
      <c r="B93" s="162"/>
      <c r="C93" s="163"/>
      <c r="D93" s="164"/>
      <c r="E93" s="165"/>
      <c r="F93" s="166"/>
      <c r="G93" s="167"/>
      <c r="H93" s="168"/>
      <c r="I93" s="168"/>
      <c r="J93" s="169"/>
      <c r="K93" s="170"/>
      <c r="L93" s="171"/>
      <c r="M93" s="172">
        <f>SUM(M92:M92)</f>
        <v>910</v>
      </c>
      <c r="N93" s="172">
        <f>M93</f>
        <v>910</v>
      </c>
      <c r="O93" s="173" t="s">
        <v>111</v>
      </c>
      <c r="P93" s="172">
        <f>SUM(P92:P92)</f>
        <v>8.1249999999999982</v>
      </c>
      <c r="Q93" s="172">
        <f>SUM(Q92:Q92)</f>
        <v>97.499999999999986</v>
      </c>
      <c r="R93" s="172">
        <f>SUM(R92:R92)</f>
        <v>820.625</v>
      </c>
      <c r="S93" s="172">
        <f t="shared" ref="S93:AD93" si="141">SUM(S92:S92)</f>
        <v>0</v>
      </c>
      <c r="T93" s="172">
        <f t="shared" si="141"/>
        <v>0</v>
      </c>
      <c r="U93" s="172">
        <f t="shared" si="141"/>
        <v>0</v>
      </c>
      <c r="V93" s="172">
        <f t="shared" si="141"/>
        <v>0</v>
      </c>
      <c r="W93" s="172">
        <f t="shared" si="141"/>
        <v>0</v>
      </c>
      <c r="X93" s="172">
        <f t="shared" si="141"/>
        <v>0</v>
      </c>
      <c r="Y93" s="172">
        <f t="shared" si="141"/>
        <v>0</v>
      </c>
      <c r="Z93" s="172">
        <f t="shared" si="141"/>
        <v>0</v>
      </c>
      <c r="AA93" s="172">
        <f t="shared" si="141"/>
        <v>0</v>
      </c>
      <c r="AB93" s="172">
        <f t="shared" si="141"/>
        <v>0</v>
      </c>
      <c r="AC93" s="172">
        <f t="shared" si="141"/>
        <v>0</v>
      </c>
      <c r="AD93" s="172">
        <f t="shared" si="141"/>
        <v>0</v>
      </c>
      <c r="AE93" s="164"/>
      <c r="AF93" s="172">
        <f>SUM(AF92:AF92)</f>
        <v>0</v>
      </c>
      <c r="AG93" s="164"/>
      <c r="AH93" s="172">
        <f t="shared" ref="AH93:AZ93" si="142">SUM(AH92:AH92)</f>
        <v>0</v>
      </c>
      <c r="AI93" s="172">
        <f t="shared" si="142"/>
        <v>0</v>
      </c>
      <c r="AJ93" s="172">
        <f t="shared" si="142"/>
        <v>0</v>
      </c>
      <c r="AK93" s="172">
        <f t="shared" si="142"/>
        <v>0</v>
      </c>
      <c r="AL93" s="172">
        <f t="shared" si="142"/>
        <v>0</v>
      </c>
      <c r="AM93" s="172">
        <f t="shared" si="142"/>
        <v>0</v>
      </c>
      <c r="AN93" s="172">
        <f t="shared" si="142"/>
        <v>0</v>
      </c>
      <c r="AO93" s="172">
        <f t="shared" si="142"/>
        <v>0</v>
      </c>
      <c r="AP93" s="172">
        <f t="shared" si="142"/>
        <v>0</v>
      </c>
      <c r="AQ93" s="172">
        <f t="shared" si="142"/>
        <v>0</v>
      </c>
      <c r="AR93" s="172">
        <f t="shared" si="142"/>
        <v>0</v>
      </c>
      <c r="AS93" s="172">
        <f t="shared" si="142"/>
        <v>0</v>
      </c>
      <c r="AT93" s="172">
        <f t="shared" si="142"/>
        <v>0</v>
      </c>
      <c r="AU93" s="172">
        <f t="shared" si="142"/>
        <v>0</v>
      </c>
      <c r="AV93" s="172">
        <f t="shared" si="142"/>
        <v>0</v>
      </c>
      <c r="AW93" s="172">
        <f t="shared" si="142"/>
        <v>0</v>
      </c>
      <c r="AX93" s="172">
        <f t="shared" si="142"/>
        <v>0</v>
      </c>
      <c r="AY93" s="172">
        <f t="shared" si="142"/>
        <v>0</v>
      </c>
      <c r="AZ93" s="172">
        <f t="shared" si="142"/>
        <v>0</v>
      </c>
      <c r="BA93" s="164"/>
      <c r="BB93" s="172">
        <f t="shared" ref="BB93:CT93" si="143">SUM(BB92:BB92)</f>
        <v>0</v>
      </c>
      <c r="BC93" s="172">
        <f t="shared" si="143"/>
        <v>0</v>
      </c>
      <c r="BD93" s="172">
        <f t="shared" si="143"/>
        <v>0</v>
      </c>
      <c r="BE93" s="172">
        <f t="shared" si="143"/>
        <v>0</v>
      </c>
      <c r="BF93" s="172">
        <f t="shared" si="143"/>
        <v>0</v>
      </c>
      <c r="BG93" s="172">
        <f t="shared" si="143"/>
        <v>0</v>
      </c>
      <c r="BH93" s="172">
        <f t="shared" si="143"/>
        <v>0</v>
      </c>
      <c r="BI93" s="172">
        <f t="shared" si="143"/>
        <v>0</v>
      </c>
      <c r="BJ93" s="172">
        <f t="shared" si="143"/>
        <v>0</v>
      </c>
      <c r="BK93" s="172">
        <f t="shared" si="143"/>
        <v>0</v>
      </c>
      <c r="BL93" s="172">
        <f t="shared" si="143"/>
        <v>0</v>
      </c>
      <c r="BM93" s="172">
        <f t="shared" si="143"/>
        <v>0</v>
      </c>
      <c r="BN93" s="172">
        <f t="shared" si="143"/>
        <v>0</v>
      </c>
      <c r="BO93" s="172">
        <f t="shared" si="143"/>
        <v>0</v>
      </c>
      <c r="BP93" s="172">
        <f t="shared" si="143"/>
        <v>0</v>
      </c>
      <c r="BQ93" s="172">
        <f t="shared" si="143"/>
        <v>0</v>
      </c>
      <c r="BR93" s="172">
        <f t="shared" si="143"/>
        <v>0</v>
      </c>
      <c r="BS93" s="172">
        <f t="shared" si="143"/>
        <v>0</v>
      </c>
      <c r="BT93" s="172">
        <f t="shared" si="143"/>
        <v>0</v>
      </c>
      <c r="BU93" s="172">
        <f t="shared" si="143"/>
        <v>0</v>
      </c>
      <c r="BV93" s="172">
        <f t="shared" si="143"/>
        <v>0</v>
      </c>
      <c r="BW93" s="172">
        <f t="shared" si="143"/>
        <v>0</v>
      </c>
      <c r="BX93" s="172">
        <f t="shared" si="143"/>
        <v>0</v>
      </c>
      <c r="BY93" s="172">
        <f t="shared" si="143"/>
        <v>0</v>
      </c>
      <c r="BZ93" s="172">
        <f t="shared" si="143"/>
        <v>0</v>
      </c>
      <c r="CA93" s="172">
        <f t="shared" si="143"/>
        <v>0</v>
      </c>
      <c r="CB93" s="172">
        <f t="shared" si="143"/>
        <v>0</v>
      </c>
      <c r="CC93" s="172">
        <f t="shared" si="143"/>
        <v>0</v>
      </c>
      <c r="CD93" s="172">
        <f t="shared" si="143"/>
        <v>0</v>
      </c>
      <c r="CE93" s="172">
        <f t="shared" si="143"/>
        <v>0</v>
      </c>
      <c r="CF93" s="172">
        <f t="shared" si="143"/>
        <v>0</v>
      </c>
      <c r="CG93" s="172">
        <f t="shared" si="143"/>
        <v>0</v>
      </c>
      <c r="CH93" s="172">
        <f t="shared" si="143"/>
        <v>0</v>
      </c>
      <c r="CI93" s="172">
        <f t="shared" si="143"/>
        <v>0</v>
      </c>
      <c r="CJ93" s="172">
        <f t="shared" si="143"/>
        <v>0</v>
      </c>
      <c r="CK93" s="172">
        <f t="shared" si="143"/>
        <v>0</v>
      </c>
      <c r="CL93" s="172">
        <f t="shared" si="143"/>
        <v>0</v>
      </c>
      <c r="CM93" s="172">
        <f t="shared" si="143"/>
        <v>0</v>
      </c>
      <c r="CN93" s="172">
        <f t="shared" si="143"/>
        <v>0</v>
      </c>
      <c r="CO93" s="172">
        <f t="shared" si="143"/>
        <v>0</v>
      </c>
      <c r="CP93" s="172">
        <f t="shared" si="143"/>
        <v>0</v>
      </c>
      <c r="CQ93" s="172">
        <f t="shared" si="143"/>
        <v>0</v>
      </c>
      <c r="CR93" s="172">
        <f t="shared" si="143"/>
        <v>0</v>
      </c>
      <c r="CS93" s="172">
        <f t="shared" si="143"/>
        <v>0</v>
      </c>
      <c r="CT93" s="172">
        <f t="shared" si="143"/>
        <v>0</v>
      </c>
      <c r="CU93" s="17">
        <f t="shared" si="112"/>
        <v>910</v>
      </c>
      <c r="CV93" s="25">
        <f t="shared" si="113"/>
        <v>0</v>
      </c>
      <c r="CW93" s="176"/>
      <c r="CX93" s="164"/>
      <c r="CY93" s="164"/>
    </row>
    <row r="94" spans="1:103" x14ac:dyDescent="0.2">
      <c r="A94" s="2">
        <v>45882</v>
      </c>
      <c r="B94" s="3" t="s">
        <v>256</v>
      </c>
      <c r="C94" s="4" t="s">
        <v>501</v>
      </c>
      <c r="D94" s="5" t="s">
        <v>122</v>
      </c>
      <c r="E94" s="6" t="s">
        <v>257</v>
      </c>
      <c r="F94" s="7" t="s">
        <v>258</v>
      </c>
      <c r="G94" s="8" t="s">
        <v>259</v>
      </c>
      <c r="H94" s="9">
        <v>100287488</v>
      </c>
      <c r="I94" s="10" t="s">
        <v>405</v>
      </c>
      <c r="J94" s="11" t="s">
        <v>260</v>
      </c>
      <c r="K94" s="12">
        <v>2</v>
      </c>
      <c r="L94" s="13">
        <v>900</v>
      </c>
      <c r="M94" s="14">
        <f>L94*K94</f>
        <v>1800</v>
      </c>
      <c r="N94" s="15"/>
      <c r="O94" s="16" t="s">
        <v>111</v>
      </c>
      <c r="P94" s="17">
        <f>M94/1.12*0.01</f>
        <v>16.071428571428569</v>
      </c>
      <c r="Q94" s="18">
        <f>M94/1.12*0.12</f>
        <v>192.85714285714283</v>
      </c>
      <c r="R94" s="5"/>
      <c r="S94" s="19"/>
      <c r="T94" s="19"/>
      <c r="U94" s="19"/>
      <c r="V94" s="19"/>
      <c r="W94" s="17"/>
      <c r="X94" s="20"/>
      <c r="Y94" s="19"/>
      <c r="Z94" s="19"/>
      <c r="AA94" s="19"/>
      <c r="AB94" s="19"/>
      <c r="AC94" s="19"/>
      <c r="AD94" s="19"/>
      <c r="AE94" s="5"/>
      <c r="AF94" s="19"/>
      <c r="AG94" s="5"/>
      <c r="AH94" s="17">
        <f>M94+P94-Q94</f>
        <v>1623.2142857142858</v>
      </c>
      <c r="AI94" s="19"/>
      <c r="AJ94" s="19"/>
      <c r="AK94" s="19"/>
      <c r="AL94" s="19"/>
      <c r="AM94" s="17"/>
      <c r="AN94" s="19"/>
      <c r="AO94" s="19"/>
      <c r="AP94" s="19"/>
      <c r="AQ94" s="19"/>
      <c r="AR94" s="19"/>
      <c r="AS94" s="21"/>
      <c r="AT94" s="5"/>
      <c r="AU94" s="19"/>
      <c r="AV94" s="5"/>
      <c r="AW94" s="22"/>
      <c r="AX94" s="19"/>
      <c r="AY94" s="5"/>
      <c r="AZ94" s="19"/>
      <c r="BA94" s="5"/>
      <c r="BB94" s="5"/>
      <c r="BC94" s="19"/>
      <c r="BD94" s="19"/>
      <c r="BE94" s="19"/>
      <c r="BF94" s="19"/>
      <c r="BG94" s="19"/>
      <c r="BH94" s="19"/>
      <c r="BI94" s="19"/>
      <c r="BJ94" s="19"/>
      <c r="BK94" s="13"/>
      <c r="BL94" s="5"/>
      <c r="BM94" s="5"/>
      <c r="BN94" s="19"/>
      <c r="BO94" s="17"/>
      <c r="BP94" s="19"/>
      <c r="BQ94" s="17"/>
      <c r="BR94" s="19"/>
      <c r="BS94" s="13"/>
      <c r="BT94" s="5"/>
      <c r="BU94" s="23"/>
      <c r="BV94" s="23"/>
      <c r="BW94" s="24"/>
      <c r="BX94" s="5"/>
      <c r="BY94" s="5"/>
      <c r="BZ94" s="5"/>
      <c r="CA94" s="24"/>
      <c r="CB94" s="24"/>
      <c r="CC94" s="24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>
        <f t="shared" si="112"/>
        <v>1800</v>
      </c>
      <c r="CV94" s="25">
        <f t="shared" si="113"/>
        <v>0</v>
      </c>
      <c r="CW94" s="26"/>
      <c r="CX94" s="5"/>
      <c r="CY94" s="5"/>
    </row>
    <row r="95" spans="1:103" x14ac:dyDescent="0.2">
      <c r="A95" s="27"/>
      <c r="B95" s="28"/>
      <c r="C95" s="29"/>
      <c r="D95" s="30"/>
      <c r="E95" s="31"/>
      <c r="F95" s="32"/>
      <c r="G95" s="33"/>
      <c r="H95" s="34"/>
      <c r="I95" s="34"/>
      <c r="J95" s="35"/>
      <c r="K95" s="36"/>
      <c r="L95" s="37"/>
      <c r="M95" s="38">
        <f>SUM(M94:M94)</f>
        <v>1800</v>
      </c>
      <c r="N95" s="38"/>
      <c r="O95" s="39" t="s">
        <v>111</v>
      </c>
      <c r="P95" s="38">
        <f>SUM(P94:P94)</f>
        <v>16.071428571428569</v>
      </c>
      <c r="Q95" s="38">
        <f>SUM(Q94:Q94)</f>
        <v>192.85714285714283</v>
      </c>
      <c r="R95" s="30"/>
      <c r="S95" s="38">
        <f t="shared" ref="S95:AD95" si="144">SUM(S94:S94)</f>
        <v>0</v>
      </c>
      <c r="T95" s="38">
        <f t="shared" si="144"/>
        <v>0</v>
      </c>
      <c r="U95" s="38">
        <f t="shared" si="144"/>
        <v>0</v>
      </c>
      <c r="V95" s="38">
        <f t="shared" si="144"/>
        <v>0</v>
      </c>
      <c r="W95" s="38">
        <f t="shared" si="144"/>
        <v>0</v>
      </c>
      <c r="X95" s="38">
        <f t="shared" si="144"/>
        <v>0</v>
      </c>
      <c r="Y95" s="38">
        <f t="shared" si="144"/>
        <v>0</v>
      </c>
      <c r="Z95" s="38">
        <f t="shared" si="144"/>
        <v>0</v>
      </c>
      <c r="AA95" s="38">
        <f t="shared" si="144"/>
        <v>0</v>
      </c>
      <c r="AB95" s="38">
        <f t="shared" si="144"/>
        <v>0</v>
      </c>
      <c r="AC95" s="38">
        <f t="shared" si="144"/>
        <v>0</v>
      </c>
      <c r="AD95" s="38">
        <f t="shared" si="144"/>
        <v>0</v>
      </c>
      <c r="AE95" s="30"/>
      <c r="AF95" s="38">
        <f>SUM(AF94:AF94)</f>
        <v>0</v>
      </c>
      <c r="AG95" s="30"/>
      <c r="AH95" s="38">
        <f t="shared" ref="AH95:AZ95" si="145">SUM(AH94:AH94)</f>
        <v>1623.2142857142858</v>
      </c>
      <c r="AI95" s="38">
        <f t="shared" si="145"/>
        <v>0</v>
      </c>
      <c r="AJ95" s="38">
        <f t="shared" si="145"/>
        <v>0</v>
      </c>
      <c r="AK95" s="38">
        <f t="shared" si="145"/>
        <v>0</v>
      </c>
      <c r="AL95" s="38">
        <f t="shared" si="145"/>
        <v>0</v>
      </c>
      <c r="AM95" s="38">
        <f t="shared" si="145"/>
        <v>0</v>
      </c>
      <c r="AN95" s="38">
        <f t="shared" si="145"/>
        <v>0</v>
      </c>
      <c r="AO95" s="38">
        <f t="shared" si="145"/>
        <v>0</v>
      </c>
      <c r="AP95" s="38">
        <f t="shared" si="145"/>
        <v>0</v>
      </c>
      <c r="AQ95" s="38">
        <f t="shared" si="145"/>
        <v>0</v>
      </c>
      <c r="AR95" s="38">
        <f t="shared" si="145"/>
        <v>0</v>
      </c>
      <c r="AS95" s="38">
        <f t="shared" si="145"/>
        <v>0</v>
      </c>
      <c r="AT95" s="38">
        <f t="shared" si="145"/>
        <v>0</v>
      </c>
      <c r="AU95" s="38">
        <f t="shared" si="145"/>
        <v>0</v>
      </c>
      <c r="AV95" s="38">
        <f t="shared" si="145"/>
        <v>0</v>
      </c>
      <c r="AW95" s="38">
        <f t="shared" si="145"/>
        <v>0</v>
      </c>
      <c r="AX95" s="38">
        <f t="shared" si="145"/>
        <v>0</v>
      </c>
      <c r="AY95" s="38">
        <f t="shared" si="145"/>
        <v>0</v>
      </c>
      <c r="AZ95" s="38">
        <f t="shared" si="145"/>
        <v>0</v>
      </c>
      <c r="BA95" s="30"/>
      <c r="BB95" s="38">
        <f t="shared" ref="BB95:CT95" si="146">SUM(BB94:BB94)</f>
        <v>0</v>
      </c>
      <c r="BC95" s="38">
        <f t="shared" si="146"/>
        <v>0</v>
      </c>
      <c r="BD95" s="38">
        <f t="shared" si="146"/>
        <v>0</v>
      </c>
      <c r="BE95" s="38">
        <f t="shared" si="146"/>
        <v>0</v>
      </c>
      <c r="BF95" s="38">
        <f t="shared" si="146"/>
        <v>0</v>
      </c>
      <c r="BG95" s="38">
        <f t="shared" si="146"/>
        <v>0</v>
      </c>
      <c r="BH95" s="38">
        <f t="shared" si="146"/>
        <v>0</v>
      </c>
      <c r="BI95" s="38">
        <f t="shared" si="146"/>
        <v>0</v>
      </c>
      <c r="BJ95" s="38">
        <f t="shared" si="146"/>
        <v>0</v>
      </c>
      <c r="BK95" s="38">
        <f t="shared" si="146"/>
        <v>0</v>
      </c>
      <c r="BL95" s="38">
        <f t="shared" si="146"/>
        <v>0</v>
      </c>
      <c r="BM95" s="38">
        <f t="shared" si="146"/>
        <v>0</v>
      </c>
      <c r="BN95" s="38">
        <f t="shared" si="146"/>
        <v>0</v>
      </c>
      <c r="BO95" s="38">
        <f t="shared" si="146"/>
        <v>0</v>
      </c>
      <c r="BP95" s="38">
        <f t="shared" si="146"/>
        <v>0</v>
      </c>
      <c r="BQ95" s="38">
        <f t="shared" si="146"/>
        <v>0</v>
      </c>
      <c r="BR95" s="38">
        <f t="shared" si="146"/>
        <v>0</v>
      </c>
      <c r="BS95" s="38">
        <f t="shared" si="146"/>
        <v>0</v>
      </c>
      <c r="BT95" s="38">
        <f t="shared" si="146"/>
        <v>0</v>
      </c>
      <c r="BU95" s="38">
        <f t="shared" si="146"/>
        <v>0</v>
      </c>
      <c r="BV95" s="38">
        <f t="shared" si="146"/>
        <v>0</v>
      </c>
      <c r="BW95" s="38">
        <f t="shared" si="146"/>
        <v>0</v>
      </c>
      <c r="BX95" s="38">
        <f t="shared" si="146"/>
        <v>0</v>
      </c>
      <c r="BY95" s="38">
        <f t="shared" si="146"/>
        <v>0</v>
      </c>
      <c r="BZ95" s="38">
        <f t="shared" si="146"/>
        <v>0</v>
      </c>
      <c r="CA95" s="38">
        <f t="shared" si="146"/>
        <v>0</v>
      </c>
      <c r="CB95" s="38">
        <f t="shared" si="146"/>
        <v>0</v>
      </c>
      <c r="CC95" s="38">
        <f t="shared" si="146"/>
        <v>0</v>
      </c>
      <c r="CD95" s="38">
        <f t="shared" si="146"/>
        <v>0</v>
      </c>
      <c r="CE95" s="38">
        <f t="shared" si="146"/>
        <v>0</v>
      </c>
      <c r="CF95" s="38">
        <f t="shared" si="146"/>
        <v>0</v>
      </c>
      <c r="CG95" s="38">
        <f t="shared" si="146"/>
        <v>0</v>
      </c>
      <c r="CH95" s="38">
        <f t="shared" si="146"/>
        <v>0</v>
      </c>
      <c r="CI95" s="38">
        <f t="shared" si="146"/>
        <v>0</v>
      </c>
      <c r="CJ95" s="38">
        <f t="shared" si="146"/>
        <v>0</v>
      </c>
      <c r="CK95" s="38">
        <f t="shared" si="146"/>
        <v>0</v>
      </c>
      <c r="CL95" s="38">
        <f t="shared" si="146"/>
        <v>0</v>
      </c>
      <c r="CM95" s="38">
        <f t="shared" si="146"/>
        <v>0</v>
      </c>
      <c r="CN95" s="38">
        <f t="shared" si="146"/>
        <v>0</v>
      </c>
      <c r="CO95" s="38">
        <f t="shared" si="146"/>
        <v>0</v>
      </c>
      <c r="CP95" s="38">
        <f t="shared" si="146"/>
        <v>0</v>
      </c>
      <c r="CQ95" s="38">
        <f t="shared" si="146"/>
        <v>0</v>
      </c>
      <c r="CR95" s="38">
        <f t="shared" si="146"/>
        <v>0</v>
      </c>
      <c r="CS95" s="38">
        <f t="shared" si="146"/>
        <v>0</v>
      </c>
      <c r="CT95" s="38">
        <f t="shared" si="146"/>
        <v>0</v>
      </c>
      <c r="CU95" s="17">
        <f t="shared" si="112"/>
        <v>1800</v>
      </c>
      <c r="CV95" s="25">
        <f t="shared" si="113"/>
        <v>0</v>
      </c>
      <c r="CW95" s="40"/>
      <c r="CX95" s="30"/>
      <c r="CY95" s="30"/>
    </row>
    <row r="96" spans="1:103" x14ac:dyDescent="0.2">
      <c r="A96" s="2">
        <v>45880</v>
      </c>
      <c r="B96" s="3" t="s">
        <v>256</v>
      </c>
      <c r="C96" s="4" t="s">
        <v>502</v>
      </c>
      <c r="D96" s="5" t="s">
        <v>122</v>
      </c>
      <c r="E96" s="6" t="s">
        <v>264</v>
      </c>
      <c r="F96" s="7" t="s">
        <v>258</v>
      </c>
      <c r="G96" s="8" t="s">
        <v>259</v>
      </c>
      <c r="H96" s="9">
        <v>100287122</v>
      </c>
      <c r="I96" s="10" t="s">
        <v>406</v>
      </c>
      <c r="J96" s="11" t="s">
        <v>267</v>
      </c>
      <c r="K96" s="12">
        <v>3</v>
      </c>
      <c r="L96" s="13">
        <v>412.5</v>
      </c>
      <c r="M96" s="14">
        <f>L96*K96</f>
        <v>1237.5</v>
      </c>
      <c r="N96" s="15"/>
      <c r="O96" s="16" t="s">
        <v>111</v>
      </c>
      <c r="P96" s="17">
        <f>M96/1.12*0.01</f>
        <v>11.049107142857142</v>
      </c>
      <c r="Q96" s="18">
        <f>M96/1.12*0.12</f>
        <v>132.58928571428569</v>
      </c>
      <c r="R96" s="5"/>
      <c r="S96" s="19"/>
      <c r="T96" s="19"/>
      <c r="U96" s="19"/>
      <c r="V96" s="19"/>
      <c r="W96" s="17"/>
      <c r="X96" s="20"/>
      <c r="Y96" s="19"/>
      <c r="Z96" s="19"/>
      <c r="AA96" s="19"/>
      <c r="AB96" s="19"/>
      <c r="AC96" s="19"/>
      <c r="AD96" s="19"/>
      <c r="AE96" s="5"/>
      <c r="AF96" s="19"/>
      <c r="AG96" s="5"/>
      <c r="AH96" s="17">
        <f>M96+P96-Q96</f>
        <v>1115.9598214285713</v>
      </c>
      <c r="AI96" s="19"/>
      <c r="AJ96" s="19"/>
      <c r="AK96" s="19"/>
      <c r="AL96" s="19"/>
      <c r="AM96" s="17"/>
      <c r="AN96" s="19"/>
      <c r="AO96" s="19"/>
      <c r="AP96" s="19"/>
      <c r="AQ96" s="19"/>
      <c r="AR96" s="19"/>
      <c r="AS96" s="21"/>
      <c r="AT96" s="5"/>
      <c r="AU96" s="19"/>
      <c r="AV96" s="5"/>
      <c r="AW96" s="22"/>
      <c r="AX96" s="19"/>
      <c r="AY96" s="5"/>
      <c r="AZ96" s="19"/>
      <c r="BA96" s="5"/>
      <c r="BB96" s="5"/>
      <c r="BC96" s="19"/>
      <c r="BD96" s="19"/>
      <c r="BE96" s="19"/>
      <c r="BF96" s="19"/>
      <c r="BG96" s="19"/>
      <c r="BH96" s="19"/>
      <c r="BI96" s="19"/>
      <c r="BJ96" s="19"/>
      <c r="BK96" s="13"/>
      <c r="BL96" s="5"/>
      <c r="BM96" s="5"/>
      <c r="BN96" s="19"/>
      <c r="BO96" s="17"/>
      <c r="BP96" s="19"/>
      <c r="BQ96" s="17"/>
      <c r="BR96" s="19"/>
      <c r="BS96" s="13"/>
      <c r="BT96" s="5"/>
      <c r="BU96" s="23"/>
      <c r="BV96" s="23"/>
      <c r="BW96" s="24"/>
      <c r="BX96" s="5"/>
      <c r="BY96" s="5"/>
      <c r="BZ96" s="5"/>
      <c r="CA96" s="24"/>
      <c r="CB96" s="24"/>
      <c r="CC96" s="24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>
        <f t="shared" si="112"/>
        <v>1237.5</v>
      </c>
      <c r="CV96" s="25">
        <f t="shared" si="113"/>
        <v>0</v>
      </c>
      <c r="CW96" s="26"/>
      <c r="CX96" s="5"/>
      <c r="CY96" s="5"/>
    </row>
    <row r="97" spans="1:103" x14ac:dyDescent="0.2">
      <c r="A97" s="2"/>
      <c r="B97" s="3"/>
      <c r="C97" s="4"/>
      <c r="D97" s="5"/>
      <c r="E97" s="6"/>
      <c r="F97" s="7"/>
      <c r="G97" s="8"/>
      <c r="H97" s="9"/>
      <c r="I97" s="10"/>
      <c r="J97" s="11" t="s">
        <v>265</v>
      </c>
      <c r="K97" s="12">
        <v>4</v>
      </c>
      <c r="L97" s="13">
        <v>249</v>
      </c>
      <c r="M97" s="14">
        <f t="shared" ref="M97:M98" si="147">L97*K97</f>
        <v>996</v>
      </c>
      <c r="N97" s="15"/>
      <c r="O97" s="16" t="s">
        <v>111</v>
      </c>
      <c r="P97" s="17">
        <f t="shared" ref="P97:P98" si="148">M97/1.12*0.01</f>
        <v>8.8928571428571423</v>
      </c>
      <c r="Q97" s="18">
        <f t="shared" ref="Q97:Q98" si="149">M97/1.12*0.12</f>
        <v>106.71428571428571</v>
      </c>
      <c r="R97" s="5"/>
      <c r="S97" s="19"/>
      <c r="T97" s="19"/>
      <c r="U97" s="19"/>
      <c r="V97" s="19"/>
      <c r="W97" s="17"/>
      <c r="X97" s="20"/>
      <c r="Y97" s="19"/>
      <c r="Z97" s="19"/>
      <c r="AA97" s="19"/>
      <c r="AB97" s="19"/>
      <c r="AC97" s="19"/>
      <c r="AD97" s="19"/>
      <c r="AE97" s="5"/>
      <c r="AF97" s="19"/>
      <c r="AG97" s="5"/>
      <c r="AH97" s="17">
        <f>M97+P97-Q97</f>
        <v>898.17857142857144</v>
      </c>
      <c r="AI97" s="19"/>
      <c r="AJ97" s="19"/>
      <c r="AK97" s="19"/>
      <c r="AL97" s="19"/>
      <c r="AM97" s="17"/>
      <c r="AN97" s="19"/>
      <c r="AO97" s="19"/>
      <c r="AP97" s="19"/>
      <c r="AQ97" s="19"/>
      <c r="AR97" s="19"/>
      <c r="AS97" s="21"/>
      <c r="AT97" s="5"/>
      <c r="AU97" s="19"/>
      <c r="AV97" s="5"/>
      <c r="AW97" s="22"/>
      <c r="AX97" s="19"/>
      <c r="AY97" s="5"/>
      <c r="AZ97" s="19"/>
      <c r="BA97" s="5"/>
      <c r="BB97" s="5"/>
      <c r="BC97" s="19"/>
      <c r="BD97" s="19"/>
      <c r="BE97" s="19"/>
      <c r="BF97" s="19"/>
      <c r="BG97" s="19"/>
      <c r="BH97" s="19"/>
      <c r="BI97" s="19"/>
      <c r="BJ97" s="19"/>
      <c r="BK97" s="13"/>
      <c r="BL97" s="5"/>
      <c r="BM97" s="5"/>
      <c r="BN97" s="19"/>
      <c r="BO97" s="17"/>
      <c r="BP97" s="19"/>
      <c r="BQ97" s="17"/>
      <c r="BR97" s="19"/>
      <c r="BS97" s="13"/>
      <c r="BT97" s="5"/>
      <c r="BU97" s="23"/>
      <c r="BV97" s="23"/>
      <c r="BW97" s="24"/>
      <c r="BX97" s="5"/>
      <c r="BY97" s="5"/>
      <c r="BZ97" s="5"/>
      <c r="CA97" s="24"/>
      <c r="CB97" s="24"/>
      <c r="CC97" s="24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>
        <f t="shared" si="112"/>
        <v>996</v>
      </c>
      <c r="CV97" s="25">
        <f t="shared" si="113"/>
        <v>0</v>
      </c>
      <c r="CW97" s="26"/>
      <c r="CX97" s="5"/>
      <c r="CY97" s="5"/>
    </row>
    <row r="98" spans="1:103" x14ac:dyDescent="0.2">
      <c r="A98" s="2"/>
      <c r="B98" s="3"/>
      <c r="C98" s="4"/>
      <c r="D98" s="5"/>
      <c r="E98" s="6"/>
      <c r="F98" s="7"/>
      <c r="G98" s="8"/>
      <c r="H98" s="9"/>
      <c r="I98" s="10"/>
      <c r="J98" s="11" t="s">
        <v>268</v>
      </c>
      <c r="K98" s="12">
        <v>2</v>
      </c>
      <c r="L98" s="13">
        <v>1742.5</v>
      </c>
      <c r="M98" s="14">
        <f t="shared" si="147"/>
        <v>3485</v>
      </c>
      <c r="N98" s="15"/>
      <c r="O98" s="16" t="s">
        <v>111</v>
      </c>
      <c r="P98" s="17">
        <f t="shared" si="148"/>
        <v>31.116071428571427</v>
      </c>
      <c r="Q98" s="18">
        <f t="shared" si="149"/>
        <v>373.39285714285711</v>
      </c>
      <c r="R98" s="5"/>
      <c r="S98" s="19"/>
      <c r="T98" s="19"/>
      <c r="U98" s="19"/>
      <c r="V98" s="19"/>
      <c r="W98" s="17"/>
      <c r="X98" s="20"/>
      <c r="Y98" s="19"/>
      <c r="Z98" s="19"/>
      <c r="AA98" s="19"/>
      <c r="AB98" s="19"/>
      <c r="AC98" s="19"/>
      <c r="AD98" s="19"/>
      <c r="AE98" s="5"/>
      <c r="AF98" s="19"/>
      <c r="AG98" s="5"/>
      <c r="AH98" s="17">
        <f>M98+P98-Q98</f>
        <v>3142.7232142857147</v>
      </c>
      <c r="AI98" s="19"/>
      <c r="AJ98" s="19"/>
      <c r="AK98" s="19"/>
      <c r="AL98" s="19"/>
      <c r="AM98" s="17"/>
      <c r="AN98" s="19"/>
      <c r="AO98" s="19"/>
      <c r="AP98" s="19"/>
      <c r="AQ98" s="19"/>
      <c r="AR98" s="19"/>
      <c r="AS98" s="21"/>
      <c r="AT98" s="5"/>
      <c r="AU98" s="19"/>
      <c r="AV98" s="5"/>
      <c r="AW98" s="22"/>
      <c r="AX98" s="19"/>
      <c r="AY98" s="5"/>
      <c r="AZ98" s="19"/>
      <c r="BA98" s="5"/>
      <c r="BB98" s="5"/>
      <c r="BC98" s="19"/>
      <c r="BD98" s="19"/>
      <c r="BE98" s="19"/>
      <c r="BF98" s="19"/>
      <c r="BG98" s="19"/>
      <c r="BH98" s="19"/>
      <c r="BI98" s="19"/>
      <c r="BJ98" s="19"/>
      <c r="BK98" s="13"/>
      <c r="BL98" s="5"/>
      <c r="BM98" s="5"/>
      <c r="BN98" s="19"/>
      <c r="BO98" s="17"/>
      <c r="BP98" s="19"/>
      <c r="BQ98" s="17"/>
      <c r="BR98" s="19"/>
      <c r="BS98" s="13"/>
      <c r="BT98" s="5"/>
      <c r="BU98" s="23"/>
      <c r="BV98" s="23"/>
      <c r="BW98" s="24"/>
      <c r="BX98" s="5"/>
      <c r="BY98" s="5"/>
      <c r="BZ98" s="5"/>
      <c r="CA98" s="24"/>
      <c r="CB98" s="24"/>
      <c r="CC98" s="24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>
        <f t="shared" si="112"/>
        <v>3485</v>
      </c>
      <c r="CV98" s="25">
        <f t="shared" si="113"/>
        <v>0</v>
      </c>
      <c r="CW98" s="26"/>
      <c r="CX98" s="5"/>
      <c r="CY98" s="5"/>
    </row>
    <row r="99" spans="1:103" x14ac:dyDescent="0.2">
      <c r="A99" s="27"/>
      <c r="B99" s="28"/>
      <c r="C99" s="29"/>
      <c r="D99" s="30"/>
      <c r="E99" s="31"/>
      <c r="F99" s="32"/>
      <c r="G99" s="33"/>
      <c r="H99" s="34"/>
      <c r="I99" s="34"/>
      <c r="J99" s="35"/>
      <c r="K99" s="36"/>
      <c r="L99" s="37">
        <f>SUM(L96:L98)</f>
        <v>2404</v>
      </c>
      <c r="M99" s="38">
        <f>SUM(M96:M98)</f>
        <v>5718.5</v>
      </c>
      <c r="N99" s="38"/>
      <c r="O99" s="39" t="s">
        <v>111</v>
      </c>
      <c r="P99" s="38">
        <f>SUM(P96:P98)</f>
        <v>51.058035714285708</v>
      </c>
      <c r="Q99" s="38">
        <f>SUM(Q96:Q98)</f>
        <v>612.69642857142844</v>
      </c>
      <c r="R99" s="30"/>
      <c r="S99" s="38">
        <f t="shared" ref="S99:AD99" si="150">SUM(S96:S96)</f>
        <v>0</v>
      </c>
      <c r="T99" s="38">
        <f t="shared" si="150"/>
        <v>0</v>
      </c>
      <c r="U99" s="38">
        <f t="shared" si="150"/>
        <v>0</v>
      </c>
      <c r="V99" s="38">
        <f t="shared" si="150"/>
        <v>0</v>
      </c>
      <c r="W99" s="38">
        <f t="shared" si="150"/>
        <v>0</v>
      </c>
      <c r="X99" s="38">
        <f t="shared" si="150"/>
        <v>0</v>
      </c>
      <c r="Y99" s="38">
        <f t="shared" si="150"/>
        <v>0</v>
      </c>
      <c r="Z99" s="38">
        <f t="shared" si="150"/>
        <v>0</v>
      </c>
      <c r="AA99" s="38">
        <f t="shared" si="150"/>
        <v>0</v>
      </c>
      <c r="AB99" s="38">
        <f t="shared" si="150"/>
        <v>0</v>
      </c>
      <c r="AC99" s="38">
        <f t="shared" si="150"/>
        <v>0</v>
      </c>
      <c r="AD99" s="38">
        <f t="shared" si="150"/>
        <v>0</v>
      </c>
      <c r="AE99" s="30"/>
      <c r="AF99" s="38">
        <f>SUM(AF96:AF96)</f>
        <v>0</v>
      </c>
      <c r="AG99" s="30"/>
      <c r="AH99" s="159">
        <f>SUM(AH96:AH98)</f>
        <v>5156.8616071428569</v>
      </c>
      <c r="AI99" s="38">
        <f t="shared" ref="AI99:AZ99" si="151">SUM(AI96:AI96)</f>
        <v>0</v>
      </c>
      <c r="AJ99" s="38">
        <f t="shared" si="151"/>
        <v>0</v>
      </c>
      <c r="AK99" s="38">
        <f t="shared" si="151"/>
        <v>0</v>
      </c>
      <c r="AL99" s="38">
        <f t="shared" si="151"/>
        <v>0</v>
      </c>
      <c r="AM99" s="38">
        <f t="shared" si="151"/>
        <v>0</v>
      </c>
      <c r="AN99" s="38">
        <f t="shared" si="151"/>
        <v>0</v>
      </c>
      <c r="AO99" s="38">
        <f t="shared" si="151"/>
        <v>0</v>
      </c>
      <c r="AP99" s="38">
        <f t="shared" si="151"/>
        <v>0</v>
      </c>
      <c r="AQ99" s="38">
        <f t="shared" si="151"/>
        <v>0</v>
      </c>
      <c r="AR99" s="38">
        <f t="shared" si="151"/>
        <v>0</v>
      </c>
      <c r="AS99" s="38">
        <f t="shared" si="151"/>
        <v>0</v>
      </c>
      <c r="AT99" s="38">
        <f t="shared" si="151"/>
        <v>0</v>
      </c>
      <c r="AU99" s="38">
        <f t="shared" si="151"/>
        <v>0</v>
      </c>
      <c r="AV99" s="38">
        <f t="shared" si="151"/>
        <v>0</v>
      </c>
      <c r="AW99" s="38">
        <f t="shared" si="151"/>
        <v>0</v>
      </c>
      <c r="AX99" s="38">
        <f t="shared" si="151"/>
        <v>0</v>
      </c>
      <c r="AY99" s="38">
        <f t="shared" si="151"/>
        <v>0</v>
      </c>
      <c r="AZ99" s="38">
        <f t="shared" si="151"/>
        <v>0</v>
      </c>
      <c r="BA99" s="30"/>
      <c r="BB99" s="38">
        <f t="shared" ref="BB99:CT99" si="152">SUM(BB96:BB96)</f>
        <v>0</v>
      </c>
      <c r="BC99" s="38">
        <f t="shared" si="152"/>
        <v>0</v>
      </c>
      <c r="BD99" s="38">
        <f t="shared" si="152"/>
        <v>0</v>
      </c>
      <c r="BE99" s="38">
        <f t="shared" si="152"/>
        <v>0</v>
      </c>
      <c r="BF99" s="38">
        <f t="shared" si="152"/>
        <v>0</v>
      </c>
      <c r="BG99" s="38">
        <f t="shared" si="152"/>
        <v>0</v>
      </c>
      <c r="BH99" s="38">
        <f t="shared" si="152"/>
        <v>0</v>
      </c>
      <c r="BI99" s="38">
        <f t="shared" si="152"/>
        <v>0</v>
      </c>
      <c r="BJ99" s="38">
        <f t="shared" si="152"/>
        <v>0</v>
      </c>
      <c r="BK99" s="38">
        <f t="shared" si="152"/>
        <v>0</v>
      </c>
      <c r="BL99" s="38">
        <f t="shared" si="152"/>
        <v>0</v>
      </c>
      <c r="BM99" s="38">
        <f t="shared" si="152"/>
        <v>0</v>
      </c>
      <c r="BN99" s="38">
        <f t="shared" si="152"/>
        <v>0</v>
      </c>
      <c r="BO99" s="38">
        <f t="shared" si="152"/>
        <v>0</v>
      </c>
      <c r="BP99" s="38">
        <f t="shared" si="152"/>
        <v>0</v>
      </c>
      <c r="BQ99" s="38">
        <f t="shared" si="152"/>
        <v>0</v>
      </c>
      <c r="BR99" s="38">
        <f t="shared" si="152"/>
        <v>0</v>
      </c>
      <c r="BS99" s="38">
        <f t="shared" si="152"/>
        <v>0</v>
      </c>
      <c r="BT99" s="38">
        <f t="shared" si="152"/>
        <v>0</v>
      </c>
      <c r="BU99" s="38">
        <f t="shared" si="152"/>
        <v>0</v>
      </c>
      <c r="BV99" s="38">
        <f t="shared" si="152"/>
        <v>0</v>
      </c>
      <c r="BW99" s="38">
        <f t="shared" si="152"/>
        <v>0</v>
      </c>
      <c r="BX99" s="38">
        <f t="shared" si="152"/>
        <v>0</v>
      </c>
      <c r="BY99" s="38">
        <f t="shared" si="152"/>
        <v>0</v>
      </c>
      <c r="BZ99" s="38">
        <f t="shared" si="152"/>
        <v>0</v>
      </c>
      <c r="CA99" s="38">
        <f t="shared" si="152"/>
        <v>0</v>
      </c>
      <c r="CB99" s="38">
        <f t="shared" si="152"/>
        <v>0</v>
      </c>
      <c r="CC99" s="38">
        <f t="shared" si="152"/>
        <v>0</v>
      </c>
      <c r="CD99" s="38">
        <f t="shared" si="152"/>
        <v>0</v>
      </c>
      <c r="CE99" s="38">
        <f t="shared" si="152"/>
        <v>0</v>
      </c>
      <c r="CF99" s="38">
        <f t="shared" si="152"/>
        <v>0</v>
      </c>
      <c r="CG99" s="38">
        <f t="shared" si="152"/>
        <v>0</v>
      </c>
      <c r="CH99" s="38">
        <f t="shared" si="152"/>
        <v>0</v>
      </c>
      <c r="CI99" s="38">
        <f t="shared" si="152"/>
        <v>0</v>
      </c>
      <c r="CJ99" s="38">
        <f t="shared" si="152"/>
        <v>0</v>
      </c>
      <c r="CK99" s="38">
        <f t="shared" si="152"/>
        <v>0</v>
      </c>
      <c r="CL99" s="38">
        <f t="shared" si="152"/>
        <v>0</v>
      </c>
      <c r="CM99" s="38">
        <f t="shared" si="152"/>
        <v>0</v>
      </c>
      <c r="CN99" s="38">
        <f t="shared" si="152"/>
        <v>0</v>
      </c>
      <c r="CO99" s="38">
        <f t="shared" si="152"/>
        <v>0</v>
      </c>
      <c r="CP99" s="38">
        <f t="shared" si="152"/>
        <v>0</v>
      </c>
      <c r="CQ99" s="38">
        <f t="shared" si="152"/>
        <v>0</v>
      </c>
      <c r="CR99" s="38">
        <f t="shared" si="152"/>
        <v>0</v>
      </c>
      <c r="CS99" s="38">
        <f t="shared" si="152"/>
        <v>0</v>
      </c>
      <c r="CT99" s="38">
        <f t="shared" si="152"/>
        <v>0</v>
      </c>
      <c r="CU99" s="17">
        <f t="shared" si="112"/>
        <v>5718.5</v>
      </c>
      <c r="CV99" s="25">
        <f t="shared" si="113"/>
        <v>0</v>
      </c>
      <c r="CW99" s="40"/>
      <c r="CX99" s="30"/>
      <c r="CY99" s="30"/>
    </row>
    <row r="100" spans="1:103" x14ac:dyDescent="0.2">
      <c r="A100" s="2">
        <v>45882</v>
      </c>
      <c r="B100" s="3" t="s">
        <v>256</v>
      </c>
      <c r="C100" s="4" t="s">
        <v>503</v>
      </c>
      <c r="D100" s="5" t="s">
        <v>122</v>
      </c>
      <c r="E100" s="6" t="s">
        <v>266</v>
      </c>
      <c r="F100" s="7"/>
      <c r="G100" s="8"/>
      <c r="H100" s="9">
        <v>2797481</v>
      </c>
      <c r="I100" s="10"/>
      <c r="J100" s="11" t="s">
        <v>226</v>
      </c>
      <c r="K100" s="12">
        <v>1</v>
      </c>
      <c r="L100" s="13">
        <v>115</v>
      </c>
      <c r="M100" s="14">
        <f>L100*K100</f>
        <v>115</v>
      </c>
      <c r="N100" s="15"/>
      <c r="O100" s="16" t="s">
        <v>137</v>
      </c>
      <c r="P100" s="17"/>
      <c r="Q100" s="18"/>
      <c r="R100" s="5"/>
      <c r="S100" s="19"/>
      <c r="T100" s="19"/>
      <c r="U100" s="19"/>
      <c r="V100" s="19"/>
      <c r="W100" s="17"/>
      <c r="X100" s="20"/>
      <c r="Y100" s="19"/>
      <c r="Z100" s="19"/>
      <c r="AA100" s="19"/>
      <c r="AB100" s="19"/>
      <c r="AC100" s="19"/>
      <c r="AD100" s="19"/>
      <c r="AE100" s="5"/>
      <c r="AF100" s="19"/>
      <c r="AG100" s="5"/>
      <c r="AH100" s="17"/>
      <c r="AI100" s="19"/>
      <c r="AJ100" s="19"/>
      <c r="AK100" s="19"/>
      <c r="AL100" s="19"/>
      <c r="AM100" s="17"/>
      <c r="AN100" s="19"/>
      <c r="AO100" s="19"/>
      <c r="AP100" s="19"/>
      <c r="AQ100" s="19"/>
      <c r="AR100" s="19"/>
      <c r="AS100" s="21"/>
      <c r="AT100" s="5"/>
      <c r="AU100" s="19"/>
      <c r="AV100" s="5"/>
      <c r="AW100" s="22"/>
      <c r="AX100" s="19"/>
      <c r="AY100" s="5"/>
      <c r="AZ100" s="19"/>
      <c r="BA100" s="5"/>
      <c r="BB100" s="5"/>
      <c r="BC100" s="17">
        <f>M100+P100-Q100</f>
        <v>115</v>
      </c>
      <c r="BD100" s="19"/>
      <c r="BE100" s="19"/>
      <c r="BF100" s="19"/>
      <c r="BG100" s="19"/>
      <c r="BH100" s="19"/>
      <c r="BI100" s="19"/>
      <c r="BJ100" s="19"/>
      <c r="BK100" s="13"/>
      <c r="BL100" s="5"/>
      <c r="BM100" s="5"/>
      <c r="BN100" s="19"/>
      <c r="BO100" s="17"/>
      <c r="BP100" s="19"/>
      <c r="BQ100" s="17"/>
      <c r="BR100" s="19"/>
      <c r="BS100" s="13"/>
      <c r="BT100" s="5"/>
      <c r="BU100" s="23"/>
      <c r="BV100" s="23"/>
      <c r="BW100" s="24"/>
      <c r="BX100" s="5"/>
      <c r="BY100" s="5"/>
      <c r="BZ100" s="5"/>
      <c r="CA100" s="24"/>
      <c r="CB100" s="24"/>
      <c r="CC100" s="24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>
        <f t="shared" si="112"/>
        <v>115</v>
      </c>
      <c r="CV100" s="25">
        <f t="shared" si="113"/>
        <v>0</v>
      </c>
      <c r="CW100" s="26"/>
      <c r="CX100" s="5"/>
      <c r="CY100" s="5"/>
    </row>
    <row r="101" spans="1:103" x14ac:dyDescent="0.2">
      <c r="A101" s="161"/>
      <c r="B101" s="162"/>
      <c r="C101" s="163"/>
      <c r="D101" s="164"/>
      <c r="E101" s="165"/>
      <c r="F101" s="166"/>
      <c r="G101" s="167"/>
      <c r="H101" s="168"/>
      <c r="I101" s="168"/>
      <c r="J101" s="169"/>
      <c r="K101" s="170"/>
      <c r="L101" s="171">
        <f>SUM(L100:L100)</f>
        <v>115</v>
      </c>
      <c r="M101" s="172">
        <f>SUM(M100:M100)</f>
        <v>115</v>
      </c>
      <c r="N101" s="172">
        <f>M101+M99+M95</f>
        <v>7633.5</v>
      </c>
      <c r="O101" s="173" t="s">
        <v>137</v>
      </c>
      <c r="P101" s="172">
        <f>SUM(P100:P100)</f>
        <v>0</v>
      </c>
      <c r="Q101" s="172">
        <f>SUM(Q100:Q100)</f>
        <v>0</v>
      </c>
      <c r="R101" s="164"/>
      <c r="S101" s="172">
        <f t="shared" ref="S101:AD101" si="153">SUM(S100:S100)</f>
        <v>0</v>
      </c>
      <c r="T101" s="172">
        <f t="shared" si="153"/>
        <v>0</v>
      </c>
      <c r="U101" s="172">
        <f t="shared" si="153"/>
        <v>0</v>
      </c>
      <c r="V101" s="172">
        <f t="shared" si="153"/>
        <v>0</v>
      </c>
      <c r="W101" s="172">
        <f t="shared" si="153"/>
        <v>0</v>
      </c>
      <c r="X101" s="172">
        <f t="shared" si="153"/>
        <v>0</v>
      </c>
      <c r="Y101" s="172">
        <f t="shared" si="153"/>
        <v>0</v>
      </c>
      <c r="Z101" s="172">
        <f t="shared" si="153"/>
        <v>0</v>
      </c>
      <c r="AA101" s="172">
        <f t="shared" si="153"/>
        <v>0</v>
      </c>
      <c r="AB101" s="172">
        <f t="shared" si="153"/>
        <v>0</v>
      </c>
      <c r="AC101" s="172">
        <f t="shared" si="153"/>
        <v>0</v>
      </c>
      <c r="AD101" s="172">
        <f t="shared" si="153"/>
        <v>0</v>
      </c>
      <c r="AE101" s="164"/>
      <c r="AF101" s="172">
        <f>SUM(AF100:AF100)</f>
        <v>0</v>
      </c>
      <c r="AG101" s="164"/>
      <c r="AH101" s="177">
        <f t="shared" ref="AH101:AZ101" si="154">SUM(AH100:AH100)</f>
        <v>0</v>
      </c>
      <c r="AI101" s="172">
        <f t="shared" si="154"/>
        <v>0</v>
      </c>
      <c r="AJ101" s="172">
        <f t="shared" si="154"/>
        <v>0</v>
      </c>
      <c r="AK101" s="172">
        <f t="shared" si="154"/>
        <v>0</v>
      </c>
      <c r="AL101" s="172">
        <f t="shared" si="154"/>
        <v>0</v>
      </c>
      <c r="AM101" s="172">
        <f t="shared" si="154"/>
        <v>0</v>
      </c>
      <c r="AN101" s="172">
        <f t="shared" si="154"/>
        <v>0</v>
      </c>
      <c r="AO101" s="172">
        <f t="shared" si="154"/>
        <v>0</v>
      </c>
      <c r="AP101" s="172">
        <f t="shared" si="154"/>
        <v>0</v>
      </c>
      <c r="AQ101" s="172">
        <f t="shared" si="154"/>
        <v>0</v>
      </c>
      <c r="AR101" s="172">
        <f t="shared" si="154"/>
        <v>0</v>
      </c>
      <c r="AS101" s="172">
        <f t="shared" si="154"/>
        <v>0</v>
      </c>
      <c r="AT101" s="172">
        <f t="shared" si="154"/>
        <v>0</v>
      </c>
      <c r="AU101" s="172">
        <f t="shared" si="154"/>
        <v>0</v>
      </c>
      <c r="AV101" s="172">
        <f t="shared" si="154"/>
        <v>0</v>
      </c>
      <c r="AW101" s="172">
        <f t="shared" si="154"/>
        <v>0</v>
      </c>
      <c r="AX101" s="172">
        <f t="shared" si="154"/>
        <v>0</v>
      </c>
      <c r="AY101" s="172">
        <f t="shared" si="154"/>
        <v>0</v>
      </c>
      <c r="AZ101" s="172">
        <f t="shared" si="154"/>
        <v>0</v>
      </c>
      <c r="BA101" s="164"/>
      <c r="BB101" s="172">
        <f>SUM(BB100:BB100)</f>
        <v>0</v>
      </c>
      <c r="BC101" s="177">
        <f>BC100</f>
        <v>115</v>
      </c>
      <c r="BD101" s="172">
        <f t="shared" ref="BD101:CT101" si="155">SUM(BD100:BD100)</f>
        <v>0</v>
      </c>
      <c r="BE101" s="172">
        <f t="shared" si="155"/>
        <v>0</v>
      </c>
      <c r="BF101" s="172">
        <f t="shared" si="155"/>
        <v>0</v>
      </c>
      <c r="BG101" s="172">
        <f t="shared" si="155"/>
        <v>0</v>
      </c>
      <c r="BH101" s="172">
        <f t="shared" si="155"/>
        <v>0</v>
      </c>
      <c r="BI101" s="172">
        <f t="shared" si="155"/>
        <v>0</v>
      </c>
      <c r="BJ101" s="172">
        <f t="shared" si="155"/>
        <v>0</v>
      </c>
      <c r="BK101" s="172">
        <f t="shared" si="155"/>
        <v>0</v>
      </c>
      <c r="BL101" s="172">
        <f t="shared" si="155"/>
        <v>0</v>
      </c>
      <c r="BM101" s="172">
        <f t="shared" si="155"/>
        <v>0</v>
      </c>
      <c r="BN101" s="172">
        <f t="shared" si="155"/>
        <v>0</v>
      </c>
      <c r="BO101" s="172">
        <f t="shared" si="155"/>
        <v>0</v>
      </c>
      <c r="BP101" s="172">
        <f t="shared" si="155"/>
        <v>0</v>
      </c>
      <c r="BQ101" s="172">
        <f t="shared" si="155"/>
        <v>0</v>
      </c>
      <c r="BR101" s="172">
        <f t="shared" si="155"/>
        <v>0</v>
      </c>
      <c r="BS101" s="172">
        <f t="shared" si="155"/>
        <v>0</v>
      </c>
      <c r="BT101" s="172">
        <f t="shared" si="155"/>
        <v>0</v>
      </c>
      <c r="BU101" s="172">
        <f t="shared" si="155"/>
        <v>0</v>
      </c>
      <c r="BV101" s="172">
        <f t="shared" si="155"/>
        <v>0</v>
      </c>
      <c r="BW101" s="172">
        <f t="shared" si="155"/>
        <v>0</v>
      </c>
      <c r="BX101" s="172">
        <f t="shared" si="155"/>
        <v>0</v>
      </c>
      <c r="BY101" s="172">
        <f t="shared" si="155"/>
        <v>0</v>
      </c>
      <c r="BZ101" s="172">
        <f t="shared" si="155"/>
        <v>0</v>
      </c>
      <c r="CA101" s="172">
        <f t="shared" si="155"/>
        <v>0</v>
      </c>
      <c r="CB101" s="172">
        <f t="shared" si="155"/>
        <v>0</v>
      </c>
      <c r="CC101" s="172">
        <f t="shared" si="155"/>
        <v>0</v>
      </c>
      <c r="CD101" s="172">
        <f t="shared" si="155"/>
        <v>0</v>
      </c>
      <c r="CE101" s="172">
        <f t="shared" si="155"/>
        <v>0</v>
      </c>
      <c r="CF101" s="172">
        <f t="shared" si="155"/>
        <v>0</v>
      </c>
      <c r="CG101" s="172">
        <f t="shared" si="155"/>
        <v>0</v>
      </c>
      <c r="CH101" s="172">
        <f t="shared" si="155"/>
        <v>0</v>
      </c>
      <c r="CI101" s="172">
        <f t="shared" si="155"/>
        <v>0</v>
      </c>
      <c r="CJ101" s="172">
        <f t="shared" si="155"/>
        <v>0</v>
      </c>
      <c r="CK101" s="172">
        <f t="shared" si="155"/>
        <v>0</v>
      </c>
      <c r="CL101" s="172">
        <f t="shared" si="155"/>
        <v>0</v>
      </c>
      <c r="CM101" s="172">
        <f t="shared" si="155"/>
        <v>0</v>
      </c>
      <c r="CN101" s="172">
        <f t="shared" si="155"/>
        <v>0</v>
      </c>
      <c r="CO101" s="172">
        <f t="shared" si="155"/>
        <v>0</v>
      </c>
      <c r="CP101" s="172">
        <f t="shared" si="155"/>
        <v>0</v>
      </c>
      <c r="CQ101" s="172">
        <f t="shared" si="155"/>
        <v>0</v>
      </c>
      <c r="CR101" s="172">
        <f t="shared" si="155"/>
        <v>0</v>
      </c>
      <c r="CS101" s="172">
        <f t="shared" si="155"/>
        <v>0</v>
      </c>
      <c r="CT101" s="172">
        <f t="shared" si="155"/>
        <v>0</v>
      </c>
      <c r="CU101" s="17">
        <f t="shared" si="112"/>
        <v>115</v>
      </c>
      <c r="CV101" s="25">
        <f t="shared" si="113"/>
        <v>0</v>
      </c>
      <c r="CW101" s="176"/>
      <c r="CX101" s="164"/>
      <c r="CY101" s="164"/>
    </row>
    <row r="102" spans="1:103" x14ac:dyDescent="0.2">
      <c r="A102" s="2">
        <v>45878</v>
      </c>
      <c r="B102" s="3" t="s">
        <v>202</v>
      </c>
      <c r="C102" s="4" t="s">
        <v>504</v>
      </c>
      <c r="D102" s="5" t="s">
        <v>203</v>
      </c>
      <c r="E102" s="6" t="s">
        <v>204</v>
      </c>
      <c r="F102" s="7" t="s">
        <v>205</v>
      </c>
      <c r="G102" s="8" t="s">
        <v>206</v>
      </c>
      <c r="H102" s="9">
        <v>25286</v>
      </c>
      <c r="I102" s="10" t="s">
        <v>407</v>
      </c>
      <c r="J102" s="11" t="s">
        <v>207</v>
      </c>
      <c r="K102" s="12">
        <v>3</v>
      </c>
      <c r="L102" s="157">
        <v>69.214290000000005</v>
      </c>
      <c r="M102" s="14">
        <f>K102*L102</f>
        <v>207.64287000000002</v>
      </c>
      <c r="N102" s="15"/>
      <c r="O102" s="16" t="s">
        <v>111</v>
      </c>
      <c r="P102" s="17">
        <f>M102/1.12*0.01</f>
        <v>1.8539541964285715</v>
      </c>
      <c r="Q102" s="158">
        <f>M102/1.12*0.12</f>
        <v>22.247450357142856</v>
      </c>
      <c r="R102" s="17">
        <f>M102+P102-Q102</f>
        <v>187.24937383928571</v>
      </c>
      <c r="S102" s="19"/>
      <c r="T102" s="19"/>
      <c r="U102" s="19"/>
      <c r="V102" s="19"/>
      <c r="W102" s="17"/>
      <c r="X102" s="20"/>
      <c r="Y102" s="19"/>
      <c r="Z102" s="19"/>
      <c r="AA102" s="19"/>
      <c r="AB102" s="19"/>
      <c r="AC102" s="19"/>
      <c r="AD102" s="19"/>
      <c r="AE102" s="5"/>
      <c r="AF102" s="19"/>
      <c r="AG102" s="5"/>
      <c r="AH102" s="17"/>
      <c r="AI102" s="19"/>
      <c r="AJ102" s="19"/>
      <c r="AK102" s="19"/>
      <c r="AL102" s="19"/>
      <c r="AM102" s="17"/>
      <c r="AN102" s="19"/>
      <c r="AO102" s="19"/>
      <c r="AP102" s="19"/>
      <c r="AQ102" s="19"/>
      <c r="AR102" s="19"/>
      <c r="AS102" s="21"/>
      <c r="AT102" s="5"/>
      <c r="AU102" s="19"/>
      <c r="AV102" s="5"/>
      <c r="AW102" s="22"/>
      <c r="AX102" s="19"/>
      <c r="AY102" s="5"/>
      <c r="AZ102" s="19"/>
      <c r="BA102" s="5"/>
      <c r="BB102" s="5"/>
      <c r="BC102" s="19"/>
      <c r="BD102" s="19"/>
      <c r="BE102" s="19"/>
      <c r="BF102" s="19"/>
      <c r="BG102" s="19"/>
      <c r="BH102" s="19"/>
      <c r="BI102" s="19"/>
      <c r="BJ102" s="19"/>
      <c r="BK102" s="157"/>
      <c r="BL102" s="5"/>
      <c r="BM102" s="5"/>
      <c r="BN102" s="19"/>
      <c r="BO102" s="17"/>
      <c r="BP102" s="19"/>
      <c r="BQ102" s="17"/>
      <c r="BR102" s="19"/>
      <c r="BS102" s="157"/>
      <c r="BT102" s="5"/>
      <c r="BU102" s="23"/>
      <c r="BV102" s="23"/>
      <c r="BW102" s="24"/>
      <c r="BX102" s="5"/>
      <c r="BY102" s="5"/>
      <c r="BZ102" s="5"/>
      <c r="CA102" s="24"/>
      <c r="CB102" s="24"/>
      <c r="CC102" s="24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>
        <f t="shared" si="112"/>
        <v>207.64287000000002</v>
      </c>
      <c r="CV102" s="25">
        <f t="shared" si="113"/>
        <v>0</v>
      </c>
      <c r="CW102" s="26"/>
      <c r="CX102" s="5"/>
      <c r="CY102" s="5"/>
    </row>
    <row r="103" spans="1:103" x14ac:dyDescent="0.2">
      <c r="A103" s="2"/>
      <c r="B103" s="3"/>
      <c r="C103" s="4"/>
      <c r="D103" s="5"/>
      <c r="E103" s="6"/>
      <c r="F103" s="7"/>
      <c r="G103" s="8"/>
      <c r="H103" s="9"/>
      <c r="I103" s="10"/>
      <c r="J103" s="11" t="s">
        <v>208</v>
      </c>
      <c r="K103" s="12">
        <v>30</v>
      </c>
      <c r="L103" s="13">
        <v>69.214290000000005</v>
      </c>
      <c r="M103" s="14">
        <f t="shared" ref="M103" si="156">L103*K103</f>
        <v>2076.4287000000004</v>
      </c>
      <c r="N103" s="15"/>
      <c r="O103" s="16" t="s">
        <v>111</v>
      </c>
      <c r="P103" s="17">
        <f t="shared" ref="P103" si="157">M103/1.12*0.01</f>
        <v>18.539541964285714</v>
      </c>
      <c r="Q103" s="18">
        <f t="shared" ref="Q103" si="158">M103/1.12*0.12</f>
        <v>222.47450357142858</v>
      </c>
      <c r="R103" s="17">
        <f t="shared" ref="R103" si="159">M103+P103-Q103</f>
        <v>1872.4937383928573</v>
      </c>
      <c r="S103" s="19"/>
      <c r="T103" s="19"/>
      <c r="U103" s="19"/>
      <c r="V103" s="19"/>
      <c r="W103" s="17"/>
      <c r="X103" s="20"/>
      <c r="Y103" s="19"/>
      <c r="Z103" s="19"/>
      <c r="AA103" s="19"/>
      <c r="AB103" s="19"/>
      <c r="AC103" s="19"/>
      <c r="AD103" s="19"/>
      <c r="AE103" s="5"/>
      <c r="AF103" s="19"/>
      <c r="AG103" s="5"/>
      <c r="AH103" s="17"/>
      <c r="AI103" s="19"/>
      <c r="AJ103" s="19"/>
      <c r="AK103" s="19"/>
      <c r="AL103" s="19"/>
      <c r="AM103" s="17"/>
      <c r="AN103" s="19"/>
      <c r="AO103" s="19"/>
      <c r="AP103" s="19"/>
      <c r="AQ103" s="19"/>
      <c r="AR103" s="19"/>
      <c r="AS103" s="21"/>
      <c r="AT103" s="5"/>
      <c r="AU103" s="19"/>
      <c r="AV103" s="5"/>
      <c r="AW103" s="22"/>
      <c r="AX103" s="19"/>
      <c r="AY103" s="5"/>
      <c r="AZ103" s="19"/>
      <c r="BA103" s="5"/>
      <c r="BB103" s="5"/>
      <c r="BC103" s="19"/>
      <c r="BD103" s="19"/>
      <c r="BE103" s="19"/>
      <c r="BF103" s="19"/>
      <c r="BG103" s="19"/>
      <c r="BH103" s="19"/>
      <c r="BI103" s="19"/>
      <c r="BJ103" s="19"/>
      <c r="BK103" s="13"/>
      <c r="BL103" s="5"/>
      <c r="BM103" s="5"/>
      <c r="BN103" s="19"/>
      <c r="BO103" s="17"/>
      <c r="BP103" s="19"/>
      <c r="BQ103" s="17"/>
      <c r="BR103" s="19"/>
      <c r="BS103" s="13"/>
      <c r="BT103" s="5"/>
      <c r="BU103" s="23"/>
      <c r="BV103" s="23"/>
      <c r="BW103" s="24"/>
      <c r="BX103" s="5"/>
      <c r="BY103" s="5"/>
      <c r="BZ103" s="5"/>
      <c r="CA103" s="24"/>
      <c r="CB103" s="24"/>
      <c r="CC103" s="24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>
        <f t="shared" si="112"/>
        <v>2076.4287000000004</v>
      </c>
      <c r="CV103" s="25">
        <f t="shared" si="113"/>
        <v>0</v>
      </c>
      <c r="CW103" s="26"/>
      <c r="CX103" s="5"/>
      <c r="CY103" s="5"/>
    </row>
    <row r="104" spans="1:103" x14ac:dyDescent="0.2">
      <c r="A104" s="161"/>
      <c r="B104" s="162"/>
      <c r="C104" s="163"/>
      <c r="D104" s="164"/>
      <c r="E104" s="165"/>
      <c r="F104" s="166"/>
      <c r="G104" s="167"/>
      <c r="H104" s="168"/>
      <c r="I104" s="168"/>
      <c r="J104" s="169"/>
      <c r="K104" s="170"/>
      <c r="L104" s="171"/>
      <c r="M104" s="172">
        <f>SUM(M102:M103)</f>
        <v>2284.0715700000005</v>
      </c>
      <c r="N104" s="172">
        <f>M104</f>
        <v>2284.0715700000005</v>
      </c>
      <c r="O104" s="173" t="s">
        <v>111</v>
      </c>
      <c r="P104" s="172">
        <f>SUM(P102:P103)</f>
        <v>20.393496160714285</v>
      </c>
      <c r="Q104" s="172">
        <f>SUM(Q102:Q103)</f>
        <v>244.72195392857145</v>
      </c>
      <c r="R104" s="172">
        <f>SUM(R102:R103)</f>
        <v>2059.7431122321432</v>
      </c>
      <c r="S104" s="172">
        <f t="shared" ref="S104:AD104" si="160">SUM(S102:S102)</f>
        <v>0</v>
      </c>
      <c r="T104" s="172">
        <f t="shared" si="160"/>
        <v>0</v>
      </c>
      <c r="U104" s="172">
        <f t="shared" si="160"/>
        <v>0</v>
      </c>
      <c r="V104" s="172">
        <f t="shared" si="160"/>
        <v>0</v>
      </c>
      <c r="W104" s="172">
        <f t="shared" si="160"/>
        <v>0</v>
      </c>
      <c r="X104" s="172">
        <f t="shared" si="160"/>
        <v>0</v>
      </c>
      <c r="Y104" s="172">
        <f t="shared" si="160"/>
        <v>0</v>
      </c>
      <c r="Z104" s="172">
        <f t="shared" si="160"/>
        <v>0</v>
      </c>
      <c r="AA104" s="172">
        <f t="shared" si="160"/>
        <v>0</v>
      </c>
      <c r="AB104" s="172">
        <f t="shared" si="160"/>
        <v>0</v>
      </c>
      <c r="AC104" s="172">
        <f t="shared" si="160"/>
        <v>0</v>
      </c>
      <c r="AD104" s="172">
        <f t="shared" si="160"/>
        <v>0</v>
      </c>
      <c r="AE104" s="164"/>
      <c r="AF104" s="172">
        <f>SUM(AF102:AF102)</f>
        <v>0</v>
      </c>
      <c r="AG104" s="164"/>
      <c r="AH104" s="172">
        <f t="shared" ref="AH104:AZ104" si="161">SUM(AH102:AH102)</f>
        <v>0</v>
      </c>
      <c r="AI104" s="172">
        <f t="shared" si="161"/>
        <v>0</v>
      </c>
      <c r="AJ104" s="172">
        <f t="shared" si="161"/>
        <v>0</v>
      </c>
      <c r="AK104" s="172">
        <f t="shared" si="161"/>
        <v>0</v>
      </c>
      <c r="AL104" s="172">
        <f t="shared" si="161"/>
        <v>0</v>
      </c>
      <c r="AM104" s="172">
        <f t="shared" si="161"/>
        <v>0</v>
      </c>
      <c r="AN104" s="172">
        <f t="shared" si="161"/>
        <v>0</v>
      </c>
      <c r="AO104" s="172">
        <f t="shared" si="161"/>
        <v>0</v>
      </c>
      <c r="AP104" s="172">
        <f t="shared" si="161"/>
        <v>0</v>
      </c>
      <c r="AQ104" s="172">
        <f t="shared" si="161"/>
        <v>0</v>
      </c>
      <c r="AR104" s="172">
        <f t="shared" si="161"/>
        <v>0</v>
      </c>
      <c r="AS104" s="172">
        <f t="shared" si="161"/>
        <v>0</v>
      </c>
      <c r="AT104" s="172">
        <f t="shared" si="161"/>
        <v>0</v>
      </c>
      <c r="AU104" s="172">
        <f t="shared" si="161"/>
        <v>0</v>
      </c>
      <c r="AV104" s="172">
        <f t="shared" si="161"/>
        <v>0</v>
      </c>
      <c r="AW104" s="172">
        <f t="shared" si="161"/>
        <v>0</v>
      </c>
      <c r="AX104" s="172">
        <f t="shared" si="161"/>
        <v>0</v>
      </c>
      <c r="AY104" s="172">
        <f t="shared" si="161"/>
        <v>0</v>
      </c>
      <c r="AZ104" s="172">
        <f t="shared" si="161"/>
        <v>0</v>
      </c>
      <c r="BA104" s="164"/>
      <c r="BB104" s="172">
        <f t="shared" ref="BB104:CT104" si="162">SUM(BB102:BB102)</f>
        <v>0</v>
      </c>
      <c r="BC104" s="172">
        <f t="shared" si="162"/>
        <v>0</v>
      </c>
      <c r="BD104" s="172">
        <f t="shared" si="162"/>
        <v>0</v>
      </c>
      <c r="BE104" s="172">
        <f t="shared" si="162"/>
        <v>0</v>
      </c>
      <c r="BF104" s="172">
        <f t="shared" si="162"/>
        <v>0</v>
      </c>
      <c r="BG104" s="172">
        <f t="shared" si="162"/>
        <v>0</v>
      </c>
      <c r="BH104" s="172">
        <f t="shared" si="162"/>
        <v>0</v>
      </c>
      <c r="BI104" s="172">
        <f t="shared" si="162"/>
        <v>0</v>
      </c>
      <c r="BJ104" s="172">
        <f t="shared" si="162"/>
        <v>0</v>
      </c>
      <c r="BK104" s="172">
        <f t="shared" si="162"/>
        <v>0</v>
      </c>
      <c r="BL104" s="172">
        <f t="shared" si="162"/>
        <v>0</v>
      </c>
      <c r="BM104" s="172">
        <f t="shared" si="162"/>
        <v>0</v>
      </c>
      <c r="BN104" s="172">
        <f t="shared" si="162"/>
        <v>0</v>
      </c>
      <c r="BO104" s="172">
        <f t="shared" si="162"/>
        <v>0</v>
      </c>
      <c r="BP104" s="172">
        <f t="shared" si="162"/>
        <v>0</v>
      </c>
      <c r="BQ104" s="172">
        <f t="shared" si="162"/>
        <v>0</v>
      </c>
      <c r="BR104" s="172">
        <f t="shared" si="162"/>
        <v>0</v>
      </c>
      <c r="BS104" s="172">
        <f t="shared" si="162"/>
        <v>0</v>
      </c>
      <c r="BT104" s="172">
        <f t="shared" si="162"/>
        <v>0</v>
      </c>
      <c r="BU104" s="172">
        <f t="shared" si="162"/>
        <v>0</v>
      </c>
      <c r="BV104" s="172">
        <f t="shared" si="162"/>
        <v>0</v>
      </c>
      <c r="BW104" s="172">
        <f t="shared" si="162"/>
        <v>0</v>
      </c>
      <c r="BX104" s="172">
        <f t="shared" si="162"/>
        <v>0</v>
      </c>
      <c r="BY104" s="172">
        <f t="shared" si="162"/>
        <v>0</v>
      </c>
      <c r="BZ104" s="172">
        <f t="shared" si="162"/>
        <v>0</v>
      </c>
      <c r="CA104" s="172">
        <f t="shared" si="162"/>
        <v>0</v>
      </c>
      <c r="CB104" s="172">
        <f t="shared" si="162"/>
        <v>0</v>
      </c>
      <c r="CC104" s="172">
        <f t="shared" si="162"/>
        <v>0</v>
      </c>
      <c r="CD104" s="172">
        <f t="shared" si="162"/>
        <v>0</v>
      </c>
      <c r="CE104" s="172">
        <f t="shared" si="162"/>
        <v>0</v>
      </c>
      <c r="CF104" s="172">
        <f t="shared" si="162"/>
        <v>0</v>
      </c>
      <c r="CG104" s="172">
        <f t="shared" si="162"/>
        <v>0</v>
      </c>
      <c r="CH104" s="172">
        <f t="shared" si="162"/>
        <v>0</v>
      </c>
      <c r="CI104" s="172">
        <f t="shared" si="162"/>
        <v>0</v>
      </c>
      <c r="CJ104" s="172">
        <f t="shared" si="162"/>
        <v>0</v>
      </c>
      <c r="CK104" s="172">
        <f t="shared" si="162"/>
        <v>0</v>
      </c>
      <c r="CL104" s="172">
        <f t="shared" si="162"/>
        <v>0</v>
      </c>
      <c r="CM104" s="172">
        <f t="shared" si="162"/>
        <v>0</v>
      </c>
      <c r="CN104" s="172">
        <f t="shared" si="162"/>
        <v>0</v>
      </c>
      <c r="CO104" s="172">
        <f t="shared" si="162"/>
        <v>0</v>
      </c>
      <c r="CP104" s="172">
        <f t="shared" si="162"/>
        <v>0</v>
      </c>
      <c r="CQ104" s="172">
        <f t="shared" si="162"/>
        <v>0</v>
      </c>
      <c r="CR104" s="172">
        <f t="shared" si="162"/>
        <v>0</v>
      </c>
      <c r="CS104" s="172">
        <f t="shared" si="162"/>
        <v>0</v>
      </c>
      <c r="CT104" s="172">
        <f t="shared" si="162"/>
        <v>0</v>
      </c>
      <c r="CU104" s="17">
        <f t="shared" si="112"/>
        <v>2284.0715700000005</v>
      </c>
      <c r="CV104" s="25">
        <f t="shared" si="113"/>
        <v>0</v>
      </c>
      <c r="CW104" s="176"/>
      <c r="CX104" s="164"/>
      <c r="CY104" s="164"/>
    </row>
    <row r="105" spans="1:103" ht="18.75" x14ac:dyDescent="0.3">
      <c r="A105" s="160"/>
      <c r="B105" s="160"/>
      <c r="C105" s="160"/>
      <c r="D105" s="160"/>
      <c r="E105" s="160"/>
      <c r="F105" s="160"/>
      <c r="G105" s="160"/>
      <c r="H105" s="160"/>
      <c r="I105" s="160"/>
      <c r="J105" s="160"/>
      <c r="K105" s="160"/>
      <c r="L105" s="160"/>
      <c r="M105" s="160"/>
      <c r="N105" s="175">
        <f>N104+N101+N93+N91+N87+N85+N61+N59+N57+N47+N13+N8</f>
        <v>60897.101569999999</v>
      </c>
      <c r="O105" s="160"/>
      <c r="P105" s="174">
        <f t="shared" ref="P105:AU105" si="163">P104+P101+P99+P95+P93+P91+P87+P85+P83+P80+P69+P67+P61+P59+P57+P55+P53+P51+P49+P47+P45+P43+P41+P39+P30+P27+P25+P23+P21+P18+P16+P13+P11+P8+P6</f>
        <v>541.94484973214287</v>
      </c>
      <c r="Q105" s="174">
        <f t="shared" si="163"/>
        <v>4698.8161317044705</v>
      </c>
      <c r="R105" s="174">
        <f t="shared" si="163"/>
        <v>41215.876141201385</v>
      </c>
      <c r="S105" s="174">
        <f t="shared" si="163"/>
        <v>1205.3764682548572</v>
      </c>
      <c r="T105" s="174">
        <f t="shared" si="163"/>
        <v>0</v>
      </c>
      <c r="U105" s="174">
        <f t="shared" si="163"/>
        <v>0</v>
      </c>
      <c r="V105" s="174">
        <f t="shared" si="163"/>
        <v>0</v>
      </c>
      <c r="W105" s="174">
        <f t="shared" si="163"/>
        <v>468.02678571428572</v>
      </c>
      <c r="X105" s="174">
        <f t="shared" si="163"/>
        <v>0</v>
      </c>
      <c r="Y105" s="174">
        <f t="shared" si="163"/>
        <v>0</v>
      </c>
      <c r="Z105" s="174">
        <f t="shared" si="163"/>
        <v>0</v>
      </c>
      <c r="AA105" s="174">
        <f t="shared" si="163"/>
        <v>0</v>
      </c>
      <c r="AB105" s="174">
        <f t="shared" si="163"/>
        <v>0</v>
      </c>
      <c r="AC105" s="174">
        <f t="shared" si="163"/>
        <v>0</v>
      </c>
      <c r="AD105" s="174">
        <f t="shared" si="163"/>
        <v>0</v>
      </c>
      <c r="AE105" s="174">
        <f t="shared" si="163"/>
        <v>0</v>
      </c>
      <c r="AF105" s="174">
        <f t="shared" si="163"/>
        <v>0</v>
      </c>
      <c r="AG105" s="174">
        <f t="shared" si="163"/>
        <v>0</v>
      </c>
      <c r="AH105" s="174">
        <f t="shared" si="163"/>
        <v>7193.09375</v>
      </c>
      <c r="AI105" s="174">
        <f t="shared" si="163"/>
        <v>306</v>
      </c>
      <c r="AJ105" s="174">
        <f t="shared" si="163"/>
        <v>0</v>
      </c>
      <c r="AK105" s="174">
        <f t="shared" si="163"/>
        <v>0</v>
      </c>
      <c r="AL105" s="174">
        <f t="shared" si="163"/>
        <v>5482.8571428571431</v>
      </c>
      <c r="AM105" s="174">
        <f t="shared" si="163"/>
        <v>0</v>
      </c>
      <c r="AN105" s="174">
        <f t="shared" si="163"/>
        <v>0</v>
      </c>
      <c r="AO105" s="174">
        <f t="shared" si="163"/>
        <v>0</v>
      </c>
      <c r="AP105" s="174">
        <f t="shared" si="163"/>
        <v>0</v>
      </c>
      <c r="AQ105" s="174">
        <f t="shared" si="163"/>
        <v>0</v>
      </c>
      <c r="AR105" s="174">
        <f t="shared" si="163"/>
        <v>0</v>
      </c>
      <c r="AS105" s="174">
        <f t="shared" si="163"/>
        <v>0</v>
      </c>
      <c r="AT105" s="174">
        <f t="shared" si="163"/>
        <v>0</v>
      </c>
      <c r="AU105" s="174">
        <f t="shared" si="163"/>
        <v>0</v>
      </c>
      <c r="AV105" s="174">
        <f t="shared" ref="AV105:CA105" si="164">AV104+AV101+AV99+AV95+AV93+AV91+AV87+AV85+AV83+AV80+AV69+AV67+AV61+AV59+AV57+AV55+AV53+AV51+AV49+AV47+AV45+AV43+AV41+AV39+AV30+AV27+AV25+AV23+AV21+AV18+AV16+AV13+AV11+AV8+AV6</f>
        <v>0</v>
      </c>
      <c r="AW105" s="174">
        <f t="shared" si="164"/>
        <v>0</v>
      </c>
      <c r="AX105" s="174">
        <f t="shared" si="164"/>
        <v>0</v>
      </c>
      <c r="AY105" s="174">
        <f t="shared" si="164"/>
        <v>0</v>
      </c>
      <c r="AZ105" s="174">
        <f t="shared" si="164"/>
        <v>0</v>
      </c>
      <c r="BA105" s="174">
        <f t="shared" si="164"/>
        <v>0</v>
      </c>
      <c r="BB105" s="174">
        <f t="shared" si="164"/>
        <v>0</v>
      </c>
      <c r="BC105" s="174">
        <f t="shared" si="164"/>
        <v>495</v>
      </c>
      <c r="BD105" s="174">
        <f t="shared" si="164"/>
        <v>0</v>
      </c>
      <c r="BE105" s="174">
        <f t="shared" si="164"/>
        <v>0</v>
      </c>
      <c r="BF105" s="174">
        <f t="shared" si="164"/>
        <v>0</v>
      </c>
      <c r="BG105" s="174">
        <f t="shared" si="164"/>
        <v>0</v>
      </c>
      <c r="BH105" s="174">
        <f t="shared" si="164"/>
        <v>0</v>
      </c>
      <c r="BI105" s="174">
        <f t="shared" si="164"/>
        <v>0</v>
      </c>
      <c r="BJ105" s="174">
        <f t="shared" si="164"/>
        <v>0</v>
      </c>
      <c r="BK105" s="174">
        <f t="shared" si="164"/>
        <v>0</v>
      </c>
      <c r="BL105" s="174">
        <f t="shared" si="164"/>
        <v>0</v>
      </c>
      <c r="BM105" s="174">
        <f t="shared" si="164"/>
        <v>0</v>
      </c>
      <c r="BN105" s="174">
        <f t="shared" si="164"/>
        <v>0</v>
      </c>
      <c r="BO105" s="174">
        <f t="shared" si="164"/>
        <v>119</v>
      </c>
      <c r="BP105" s="174">
        <f t="shared" si="164"/>
        <v>0</v>
      </c>
      <c r="BQ105" s="174">
        <f t="shared" si="164"/>
        <v>0</v>
      </c>
      <c r="BR105" s="174">
        <f t="shared" si="164"/>
        <v>0</v>
      </c>
      <c r="BS105" s="174">
        <f t="shared" si="164"/>
        <v>255</v>
      </c>
      <c r="BT105" s="174">
        <f t="shared" si="164"/>
        <v>0</v>
      </c>
      <c r="BU105" s="174">
        <f t="shared" si="164"/>
        <v>0</v>
      </c>
      <c r="BV105" s="174">
        <f t="shared" si="164"/>
        <v>0</v>
      </c>
      <c r="BW105" s="174">
        <f t="shared" si="164"/>
        <v>0</v>
      </c>
      <c r="BX105" s="174">
        <f t="shared" si="164"/>
        <v>0</v>
      </c>
      <c r="BY105" s="174">
        <f t="shared" si="164"/>
        <v>0</v>
      </c>
      <c r="BZ105" s="174">
        <f t="shared" si="164"/>
        <v>0</v>
      </c>
      <c r="CA105" s="174">
        <f t="shared" si="164"/>
        <v>0</v>
      </c>
      <c r="CB105" s="174">
        <f t="shared" ref="CB105:CU105" si="165">CB104+CB101+CB99+CB95+CB93+CB91+CB87+CB85+CB83+CB80+CB69+CB67+CB61+CB59+CB57+CB55+CB53+CB51+CB49+CB47+CB45+CB43+CB41+CB39+CB30+CB27+CB25+CB23+CB21+CB18+CB16+CB13+CB11+CB8+CB6</f>
        <v>0</v>
      </c>
      <c r="CC105" s="174">
        <f t="shared" si="165"/>
        <v>0</v>
      </c>
      <c r="CD105" s="174">
        <f t="shared" si="165"/>
        <v>0</v>
      </c>
      <c r="CE105" s="174">
        <f t="shared" si="165"/>
        <v>0</v>
      </c>
      <c r="CF105" s="174">
        <f t="shared" si="165"/>
        <v>0</v>
      </c>
      <c r="CG105" s="174">
        <f t="shared" si="165"/>
        <v>0</v>
      </c>
      <c r="CH105" s="174">
        <f t="shared" si="165"/>
        <v>0</v>
      </c>
      <c r="CI105" s="174">
        <f t="shared" si="165"/>
        <v>0</v>
      </c>
      <c r="CJ105" s="174">
        <f t="shared" si="165"/>
        <v>0</v>
      </c>
      <c r="CK105" s="174">
        <f t="shared" si="165"/>
        <v>0</v>
      </c>
      <c r="CL105" s="174">
        <f t="shared" si="165"/>
        <v>0</v>
      </c>
      <c r="CM105" s="174">
        <f t="shared" si="165"/>
        <v>0</v>
      </c>
      <c r="CN105" s="174">
        <f t="shared" si="165"/>
        <v>0</v>
      </c>
      <c r="CO105" s="174">
        <f t="shared" si="165"/>
        <v>0</v>
      </c>
      <c r="CP105" s="174">
        <f t="shared" si="165"/>
        <v>0</v>
      </c>
      <c r="CQ105" s="174">
        <f t="shared" si="165"/>
        <v>0</v>
      </c>
      <c r="CR105" s="174">
        <f t="shared" si="165"/>
        <v>0</v>
      </c>
      <c r="CS105" s="174">
        <f t="shared" si="165"/>
        <v>0</v>
      </c>
      <c r="CT105" s="174">
        <f t="shared" si="165"/>
        <v>0</v>
      </c>
      <c r="CU105" s="175">
        <f t="shared" si="165"/>
        <v>60897.101570000006</v>
      </c>
      <c r="CV105" s="174">
        <f>CU105-N105</f>
        <v>0</v>
      </c>
      <c r="CW105" s="174">
        <f>CW104+CW101+CW99+CW95+CW93+CW91+CW87+CW85+CW83+CW80+CW69+CW67+CW61+CW59+CW57+CW55+CW53+CW51+CW49+CW47+CW45+CW43+CW41+CW39+CW30+CW27+CW25+CW23+CW21+CW18+CW16+CW13+CW11+CW8+CW6</f>
        <v>0</v>
      </c>
      <c r="CX105" s="174">
        <f>CX104+CX101+CX99+CX95+CX93+CX91+CX87+CX85+CX83+CX80+CX69+CX67+CX61+CX59+CX57+CX55+CX53+CX51+CX49+CX47+CX45+CX43+CX41+CX39+CX30+CX27+CX25+CX23+CX21+CX18+CX16+CX13+CX11+CX8+CX6</f>
        <v>0</v>
      </c>
      <c r="CY105" s="174">
        <f>CY104+CY101+CY99+CY95+CY93+CY91+CY87+CY85+CY83+CY80+CY69+CY67+CY61+CY59+CY57+CY55+CY53+CY51+CY49+CY47+CY45+CY43+CY41+CY39+CY30+CY27+CY25+CY23+CY21+CY18+CY16+CY13+CY11+CY8+CY6</f>
        <v>0</v>
      </c>
    </row>
    <row r="110" spans="1:103" x14ac:dyDescent="0.2">
      <c r="A110" s="2">
        <v>45878</v>
      </c>
      <c r="B110" s="3" t="s">
        <v>209</v>
      </c>
      <c r="C110" s="4"/>
      <c r="D110" s="5" t="s">
        <v>210</v>
      </c>
      <c r="E110" s="6" t="s">
        <v>211</v>
      </c>
      <c r="F110" s="7" t="s">
        <v>212</v>
      </c>
      <c r="G110" s="8" t="s">
        <v>213</v>
      </c>
      <c r="H110" s="9">
        <v>214693</v>
      </c>
      <c r="I110" s="10"/>
      <c r="J110" s="11" t="s">
        <v>214</v>
      </c>
      <c r="K110" s="12">
        <v>1</v>
      </c>
      <c r="L110" s="13">
        <v>10</v>
      </c>
      <c r="M110" s="14">
        <f t="shared" ref="M110" si="166">L110*K110</f>
        <v>10</v>
      </c>
      <c r="N110" s="15"/>
      <c r="O110" s="16" t="s">
        <v>111</v>
      </c>
      <c r="P110" s="17">
        <f>M110/1.12*0.02</f>
        <v>0.17857142857142855</v>
      </c>
      <c r="Q110" s="18">
        <f>M110/1.12*0.12</f>
        <v>1.0714285714285712</v>
      </c>
      <c r="R110" s="5"/>
      <c r="S110" s="19"/>
      <c r="T110" s="19"/>
      <c r="U110" s="19"/>
      <c r="V110" s="19"/>
      <c r="W110" s="17"/>
      <c r="X110" s="20"/>
      <c r="Y110" s="19"/>
      <c r="Z110" s="19"/>
      <c r="AA110" s="19"/>
      <c r="AB110" s="19"/>
      <c r="AC110" s="19"/>
      <c r="AD110" s="19"/>
      <c r="AE110" s="5"/>
      <c r="AF110" s="19"/>
      <c r="AG110" s="5"/>
      <c r="AH110" s="17"/>
      <c r="AI110" s="19"/>
      <c r="AJ110" s="19"/>
      <c r="AK110" s="19"/>
      <c r="AL110" s="19"/>
      <c r="AM110" s="17"/>
      <c r="AN110" s="19"/>
      <c r="AO110" s="19"/>
      <c r="AP110" s="19"/>
      <c r="AQ110" s="19"/>
      <c r="AR110" s="19"/>
      <c r="AS110" s="21"/>
      <c r="AT110" s="5"/>
      <c r="AU110" s="19"/>
      <c r="AV110" s="5"/>
      <c r="AW110" s="22"/>
      <c r="AX110" s="19"/>
      <c r="AY110" s="5"/>
      <c r="AZ110" s="19"/>
      <c r="BA110" s="5"/>
      <c r="BB110" s="5"/>
      <c r="BC110" s="19"/>
      <c r="BD110" s="19"/>
      <c r="BE110" s="19"/>
      <c r="BF110" s="19"/>
      <c r="BG110" s="19"/>
      <c r="BH110" s="19"/>
      <c r="BI110" s="19"/>
      <c r="BJ110" s="19"/>
      <c r="BK110" s="13"/>
      <c r="BL110" s="5"/>
      <c r="BM110" s="5"/>
      <c r="BN110" s="19"/>
      <c r="BO110" s="17">
        <f>M110+P110-Q110</f>
        <v>9.1071428571428577</v>
      </c>
      <c r="BP110" s="19"/>
      <c r="BQ110" s="17"/>
      <c r="BR110" s="19"/>
      <c r="BS110" s="13"/>
      <c r="BT110" s="5"/>
      <c r="BU110" s="23"/>
      <c r="BV110" s="23"/>
      <c r="BW110" s="24"/>
      <c r="BX110" s="5"/>
      <c r="BY110" s="5"/>
      <c r="BZ110" s="5"/>
      <c r="CA110" s="24"/>
      <c r="CB110" s="24"/>
      <c r="CC110" s="24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>
        <f>SUM(Q110:CT110)-P110</f>
        <v>10</v>
      </c>
      <c r="CV110" s="25">
        <f>CU110-M110</f>
        <v>0</v>
      </c>
      <c r="CW110" s="26"/>
      <c r="CX110" s="5"/>
      <c r="CY110" s="5"/>
    </row>
    <row r="111" spans="1:103" x14ac:dyDescent="0.2">
      <c r="A111" s="27"/>
      <c r="B111" s="28"/>
      <c r="C111" s="29"/>
      <c r="D111" s="30"/>
      <c r="E111" s="31"/>
      <c r="F111" s="32"/>
      <c r="G111" s="33"/>
      <c r="H111" s="34"/>
      <c r="I111" s="34"/>
      <c r="J111" s="35"/>
      <c r="K111" s="36"/>
      <c r="L111" s="37"/>
      <c r="M111" s="38">
        <f>SUM(M110:M110)</f>
        <v>10</v>
      </c>
      <c r="N111" s="38"/>
      <c r="O111" s="39" t="s">
        <v>111</v>
      </c>
      <c r="P111" s="38">
        <f>SUM(P110:P110)</f>
        <v>0.17857142857142855</v>
      </c>
      <c r="Q111" s="38">
        <f>SUM(Q110:Q110)</f>
        <v>1.0714285714285712</v>
      </c>
      <c r="R111" s="30"/>
      <c r="S111" s="38">
        <f t="shared" ref="S111:AD111" si="167">SUM(S110:S110)</f>
        <v>0</v>
      </c>
      <c r="T111" s="38">
        <f t="shared" si="167"/>
        <v>0</v>
      </c>
      <c r="U111" s="38">
        <f t="shared" si="167"/>
        <v>0</v>
      </c>
      <c r="V111" s="38">
        <f t="shared" si="167"/>
        <v>0</v>
      </c>
      <c r="W111" s="38">
        <f t="shared" si="167"/>
        <v>0</v>
      </c>
      <c r="X111" s="38">
        <f t="shared" si="167"/>
        <v>0</v>
      </c>
      <c r="Y111" s="38">
        <f t="shared" si="167"/>
        <v>0</v>
      </c>
      <c r="Z111" s="38">
        <f t="shared" si="167"/>
        <v>0</v>
      </c>
      <c r="AA111" s="38">
        <f t="shared" si="167"/>
        <v>0</v>
      </c>
      <c r="AB111" s="38">
        <f t="shared" si="167"/>
        <v>0</v>
      </c>
      <c r="AC111" s="38">
        <f t="shared" si="167"/>
        <v>0</v>
      </c>
      <c r="AD111" s="38">
        <f t="shared" si="167"/>
        <v>0</v>
      </c>
      <c r="AE111" s="30"/>
      <c r="AF111" s="38">
        <f>SUM(AF110:AF110)</f>
        <v>0</v>
      </c>
      <c r="AG111" s="30"/>
      <c r="AH111" s="38">
        <f t="shared" ref="AH111:AZ111" si="168">SUM(AH110:AH110)</f>
        <v>0</v>
      </c>
      <c r="AI111" s="38">
        <f t="shared" si="168"/>
        <v>0</v>
      </c>
      <c r="AJ111" s="38">
        <f t="shared" si="168"/>
        <v>0</v>
      </c>
      <c r="AK111" s="38">
        <f t="shared" si="168"/>
        <v>0</v>
      </c>
      <c r="AL111" s="38">
        <f t="shared" si="168"/>
        <v>0</v>
      </c>
      <c r="AM111" s="38">
        <f t="shared" si="168"/>
        <v>0</v>
      </c>
      <c r="AN111" s="38">
        <f t="shared" si="168"/>
        <v>0</v>
      </c>
      <c r="AO111" s="38">
        <f t="shared" si="168"/>
        <v>0</v>
      </c>
      <c r="AP111" s="38">
        <f t="shared" si="168"/>
        <v>0</v>
      </c>
      <c r="AQ111" s="38">
        <f t="shared" si="168"/>
        <v>0</v>
      </c>
      <c r="AR111" s="38">
        <f t="shared" si="168"/>
        <v>0</v>
      </c>
      <c r="AS111" s="38">
        <f t="shared" si="168"/>
        <v>0</v>
      </c>
      <c r="AT111" s="38">
        <f t="shared" si="168"/>
        <v>0</v>
      </c>
      <c r="AU111" s="38">
        <f t="shared" si="168"/>
        <v>0</v>
      </c>
      <c r="AV111" s="38">
        <f t="shared" si="168"/>
        <v>0</v>
      </c>
      <c r="AW111" s="38">
        <f t="shared" si="168"/>
        <v>0</v>
      </c>
      <c r="AX111" s="38">
        <f t="shared" si="168"/>
        <v>0</v>
      </c>
      <c r="AY111" s="38">
        <f t="shared" si="168"/>
        <v>0</v>
      </c>
      <c r="AZ111" s="38">
        <f t="shared" si="168"/>
        <v>0</v>
      </c>
      <c r="BA111" s="30"/>
      <c r="BB111" s="38">
        <f t="shared" ref="BB111:CT111" si="169">SUM(BB110:BB110)</f>
        <v>0</v>
      </c>
      <c r="BC111" s="38">
        <f t="shared" si="169"/>
        <v>0</v>
      </c>
      <c r="BD111" s="38">
        <f t="shared" si="169"/>
        <v>0</v>
      </c>
      <c r="BE111" s="38">
        <f t="shared" si="169"/>
        <v>0</v>
      </c>
      <c r="BF111" s="38">
        <f t="shared" si="169"/>
        <v>0</v>
      </c>
      <c r="BG111" s="38">
        <f t="shared" si="169"/>
        <v>0</v>
      </c>
      <c r="BH111" s="38">
        <f t="shared" si="169"/>
        <v>0</v>
      </c>
      <c r="BI111" s="38">
        <f t="shared" si="169"/>
        <v>0</v>
      </c>
      <c r="BJ111" s="38">
        <f t="shared" si="169"/>
        <v>0</v>
      </c>
      <c r="BK111" s="38">
        <f t="shared" si="169"/>
        <v>0</v>
      </c>
      <c r="BL111" s="38">
        <f t="shared" si="169"/>
        <v>0</v>
      </c>
      <c r="BM111" s="38">
        <f t="shared" si="169"/>
        <v>0</v>
      </c>
      <c r="BN111" s="38">
        <f t="shared" si="169"/>
        <v>0</v>
      </c>
      <c r="BO111" s="38">
        <f>SUM(BO110:BO110)</f>
        <v>9.1071428571428577</v>
      </c>
      <c r="BP111" s="38">
        <f t="shared" si="169"/>
        <v>0</v>
      </c>
      <c r="BQ111" s="38">
        <f t="shared" si="169"/>
        <v>0</v>
      </c>
      <c r="BR111" s="38">
        <f t="shared" si="169"/>
        <v>0</v>
      </c>
      <c r="BS111" s="38">
        <f t="shared" si="169"/>
        <v>0</v>
      </c>
      <c r="BT111" s="38">
        <f t="shared" si="169"/>
        <v>0</v>
      </c>
      <c r="BU111" s="38">
        <f t="shared" si="169"/>
        <v>0</v>
      </c>
      <c r="BV111" s="38">
        <f t="shared" si="169"/>
        <v>0</v>
      </c>
      <c r="BW111" s="38">
        <f t="shared" si="169"/>
        <v>0</v>
      </c>
      <c r="BX111" s="38">
        <f t="shared" si="169"/>
        <v>0</v>
      </c>
      <c r="BY111" s="38">
        <f t="shared" si="169"/>
        <v>0</v>
      </c>
      <c r="BZ111" s="38">
        <f t="shared" si="169"/>
        <v>0</v>
      </c>
      <c r="CA111" s="38">
        <f t="shared" si="169"/>
        <v>0</v>
      </c>
      <c r="CB111" s="38">
        <f t="shared" si="169"/>
        <v>0</v>
      </c>
      <c r="CC111" s="38">
        <f t="shared" si="169"/>
        <v>0</v>
      </c>
      <c r="CD111" s="38">
        <f t="shared" si="169"/>
        <v>0</v>
      </c>
      <c r="CE111" s="38">
        <f t="shared" si="169"/>
        <v>0</v>
      </c>
      <c r="CF111" s="38">
        <f t="shared" si="169"/>
        <v>0</v>
      </c>
      <c r="CG111" s="38">
        <f t="shared" si="169"/>
        <v>0</v>
      </c>
      <c r="CH111" s="38">
        <f t="shared" si="169"/>
        <v>0</v>
      </c>
      <c r="CI111" s="38">
        <f t="shared" si="169"/>
        <v>0</v>
      </c>
      <c r="CJ111" s="38">
        <f t="shared" si="169"/>
        <v>0</v>
      </c>
      <c r="CK111" s="38">
        <f t="shared" si="169"/>
        <v>0</v>
      </c>
      <c r="CL111" s="38">
        <f t="shared" si="169"/>
        <v>0</v>
      </c>
      <c r="CM111" s="38">
        <f t="shared" si="169"/>
        <v>0</v>
      </c>
      <c r="CN111" s="38">
        <f t="shared" si="169"/>
        <v>0</v>
      </c>
      <c r="CO111" s="38">
        <f t="shared" si="169"/>
        <v>0</v>
      </c>
      <c r="CP111" s="38">
        <f t="shared" si="169"/>
        <v>0</v>
      </c>
      <c r="CQ111" s="38">
        <f t="shared" si="169"/>
        <v>0</v>
      </c>
      <c r="CR111" s="38">
        <f t="shared" si="169"/>
        <v>0</v>
      </c>
      <c r="CS111" s="38">
        <f t="shared" si="169"/>
        <v>0</v>
      </c>
      <c r="CT111" s="38">
        <f t="shared" si="169"/>
        <v>0</v>
      </c>
      <c r="CU111" s="17">
        <f t="shared" ref="CU111:CU174" si="170">SUM(Q111:CT111)-P111</f>
        <v>10</v>
      </c>
      <c r="CV111" s="25">
        <f t="shared" ref="CV111:CV174" si="171">CU111-M111</f>
        <v>0</v>
      </c>
      <c r="CW111" s="40"/>
      <c r="CX111" s="30"/>
      <c r="CY111" s="30"/>
    </row>
    <row r="112" spans="1:103" x14ac:dyDescent="0.2">
      <c r="A112" s="2">
        <v>45878</v>
      </c>
      <c r="B112" s="3" t="s">
        <v>209</v>
      </c>
      <c r="C112" s="4"/>
      <c r="D112" s="5" t="s">
        <v>210</v>
      </c>
      <c r="E112" s="6" t="s">
        <v>211</v>
      </c>
      <c r="F112" s="7" t="s">
        <v>212</v>
      </c>
      <c r="G112" s="8" t="s">
        <v>213</v>
      </c>
      <c r="H112" s="9">
        <v>214692</v>
      </c>
      <c r="I112" s="10"/>
      <c r="J112" s="11" t="s">
        <v>214</v>
      </c>
      <c r="K112" s="12">
        <v>1</v>
      </c>
      <c r="L112" s="13">
        <v>10</v>
      </c>
      <c r="M112" s="14">
        <f t="shared" ref="M112" si="172">L112*K112</f>
        <v>10</v>
      </c>
      <c r="N112" s="15"/>
      <c r="O112" s="16" t="s">
        <v>111</v>
      </c>
      <c r="P112" s="17">
        <f>M112/1.12*0.02</f>
        <v>0.17857142857142855</v>
      </c>
      <c r="Q112" s="18">
        <f>M112/1.12*0.12</f>
        <v>1.0714285714285712</v>
      </c>
      <c r="R112" s="5"/>
      <c r="S112" s="19"/>
      <c r="T112" s="19"/>
      <c r="U112" s="19"/>
      <c r="V112" s="19"/>
      <c r="W112" s="17"/>
      <c r="X112" s="20"/>
      <c r="Y112" s="19"/>
      <c r="Z112" s="19"/>
      <c r="AA112" s="19"/>
      <c r="AB112" s="19"/>
      <c r="AC112" s="19"/>
      <c r="AD112" s="19"/>
      <c r="AE112" s="5"/>
      <c r="AF112" s="19"/>
      <c r="AG112" s="5"/>
      <c r="AH112" s="17"/>
      <c r="AI112" s="19"/>
      <c r="AJ112" s="19"/>
      <c r="AK112" s="19"/>
      <c r="AL112" s="19"/>
      <c r="AM112" s="17"/>
      <c r="AN112" s="19"/>
      <c r="AO112" s="19"/>
      <c r="AP112" s="19"/>
      <c r="AQ112" s="19"/>
      <c r="AR112" s="19"/>
      <c r="AS112" s="21"/>
      <c r="AT112" s="5"/>
      <c r="AU112" s="19"/>
      <c r="AV112" s="5"/>
      <c r="AW112" s="22"/>
      <c r="AX112" s="19"/>
      <c r="AY112" s="5"/>
      <c r="AZ112" s="19"/>
      <c r="BA112" s="5"/>
      <c r="BB112" s="5"/>
      <c r="BC112" s="19"/>
      <c r="BD112" s="19"/>
      <c r="BE112" s="19"/>
      <c r="BF112" s="19"/>
      <c r="BG112" s="19"/>
      <c r="BH112" s="19"/>
      <c r="BI112" s="19"/>
      <c r="BJ112" s="19"/>
      <c r="BK112" s="13"/>
      <c r="BL112" s="5"/>
      <c r="BM112" s="5"/>
      <c r="BN112" s="19"/>
      <c r="BO112" s="17">
        <f>M112+P112-Q112</f>
        <v>9.1071428571428577</v>
      </c>
      <c r="BP112" s="19"/>
      <c r="BQ112" s="17"/>
      <c r="BR112" s="19"/>
      <c r="BS112" s="13"/>
      <c r="BT112" s="5"/>
      <c r="BU112" s="23"/>
      <c r="BV112" s="23"/>
      <c r="BW112" s="24"/>
      <c r="BX112" s="5"/>
      <c r="BY112" s="5"/>
      <c r="BZ112" s="5"/>
      <c r="CA112" s="24"/>
      <c r="CB112" s="24"/>
      <c r="CC112" s="24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>
        <f t="shared" si="170"/>
        <v>10</v>
      </c>
      <c r="CV112" s="25">
        <f t="shared" si="171"/>
        <v>0</v>
      </c>
      <c r="CW112" s="26"/>
      <c r="CX112" s="5"/>
      <c r="CY112" s="5"/>
    </row>
    <row r="113" spans="1:103" x14ac:dyDescent="0.2">
      <c r="A113" s="27"/>
      <c r="B113" s="28"/>
      <c r="C113" s="29"/>
      <c r="D113" s="30"/>
      <c r="E113" s="31"/>
      <c r="F113" s="32"/>
      <c r="G113" s="33"/>
      <c r="H113" s="34"/>
      <c r="I113" s="34"/>
      <c r="J113" s="35"/>
      <c r="K113" s="36"/>
      <c r="L113" s="37"/>
      <c r="M113" s="38">
        <f>SUM(M112:M112)</f>
        <v>10</v>
      </c>
      <c r="N113" s="38"/>
      <c r="O113" s="39" t="s">
        <v>111</v>
      </c>
      <c r="P113" s="38">
        <f>SUM(P112:P112)</f>
        <v>0.17857142857142855</v>
      </c>
      <c r="Q113" s="38">
        <f>SUM(Q112:Q112)</f>
        <v>1.0714285714285712</v>
      </c>
      <c r="R113" s="30"/>
      <c r="S113" s="38">
        <f t="shared" ref="S113:AD113" si="173">SUM(S112:S112)</f>
        <v>0</v>
      </c>
      <c r="T113" s="38">
        <f t="shared" si="173"/>
        <v>0</v>
      </c>
      <c r="U113" s="38">
        <f t="shared" si="173"/>
        <v>0</v>
      </c>
      <c r="V113" s="38">
        <f t="shared" si="173"/>
        <v>0</v>
      </c>
      <c r="W113" s="38">
        <f t="shared" si="173"/>
        <v>0</v>
      </c>
      <c r="X113" s="38">
        <f t="shared" si="173"/>
        <v>0</v>
      </c>
      <c r="Y113" s="38">
        <f t="shared" si="173"/>
        <v>0</v>
      </c>
      <c r="Z113" s="38">
        <f t="shared" si="173"/>
        <v>0</v>
      </c>
      <c r="AA113" s="38">
        <f t="shared" si="173"/>
        <v>0</v>
      </c>
      <c r="AB113" s="38">
        <f t="shared" si="173"/>
        <v>0</v>
      </c>
      <c r="AC113" s="38">
        <f t="shared" si="173"/>
        <v>0</v>
      </c>
      <c r="AD113" s="38">
        <f t="shared" si="173"/>
        <v>0</v>
      </c>
      <c r="AE113" s="30"/>
      <c r="AF113" s="38">
        <f>SUM(AF112:AF112)</f>
        <v>0</v>
      </c>
      <c r="AG113" s="30"/>
      <c r="AH113" s="38">
        <f t="shared" ref="AH113:AZ113" si="174">SUM(AH112:AH112)</f>
        <v>0</v>
      </c>
      <c r="AI113" s="38">
        <f t="shared" si="174"/>
        <v>0</v>
      </c>
      <c r="AJ113" s="38">
        <f t="shared" si="174"/>
        <v>0</v>
      </c>
      <c r="AK113" s="38">
        <f t="shared" si="174"/>
        <v>0</v>
      </c>
      <c r="AL113" s="38">
        <f t="shared" si="174"/>
        <v>0</v>
      </c>
      <c r="AM113" s="38">
        <f t="shared" si="174"/>
        <v>0</v>
      </c>
      <c r="AN113" s="38">
        <f t="shared" si="174"/>
        <v>0</v>
      </c>
      <c r="AO113" s="38">
        <f t="shared" si="174"/>
        <v>0</v>
      </c>
      <c r="AP113" s="38">
        <f t="shared" si="174"/>
        <v>0</v>
      </c>
      <c r="AQ113" s="38">
        <f t="shared" si="174"/>
        <v>0</v>
      </c>
      <c r="AR113" s="38">
        <f t="shared" si="174"/>
        <v>0</v>
      </c>
      <c r="AS113" s="38">
        <f t="shared" si="174"/>
        <v>0</v>
      </c>
      <c r="AT113" s="38">
        <f t="shared" si="174"/>
        <v>0</v>
      </c>
      <c r="AU113" s="38">
        <f t="shared" si="174"/>
        <v>0</v>
      </c>
      <c r="AV113" s="38">
        <f t="shared" si="174"/>
        <v>0</v>
      </c>
      <c r="AW113" s="38">
        <f t="shared" si="174"/>
        <v>0</v>
      </c>
      <c r="AX113" s="38">
        <f t="shared" si="174"/>
        <v>0</v>
      </c>
      <c r="AY113" s="38">
        <f t="shared" si="174"/>
        <v>0</v>
      </c>
      <c r="AZ113" s="38">
        <f t="shared" si="174"/>
        <v>0</v>
      </c>
      <c r="BA113" s="30"/>
      <c r="BB113" s="38">
        <f t="shared" ref="BB113:CT113" si="175">SUM(BB112:BB112)</f>
        <v>0</v>
      </c>
      <c r="BC113" s="38">
        <f t="shared" si="175"/>
        <v>0</v>
      </c>
      <c r="BD113" s="38">
        <f t="shared" si="175"/>
        <v>0</v>
      </c>
      <c r="BE113" s="38">
        <f t="shared" si="175"/>
        <v>0</v>
      </c>
      <c r="BF113" s="38">
        <f t="shared" si="175"/>
        <v>0</v>
      </c>
      <c r="BG113" s="38">
        <f t="shared" si="175"/>
        <v>0</v>
      </c>
      <c r="BH113" s="38">
        <f t="shared" si="175"/>
        <v>0</v>
      </c>
      <c r="BI113" s="38">
        <f t="shared" si="175"/>
        <v>0</v>
      </c>
      <c r="BJ113" s="38">
        <f t="shared" si="175"/>
        <v>0</v>
      </c>
      <c r="BK113" s="38">
        <f t="shared" si="175"/>
        <v>0</v>
      </c>
      <c r="BL113" s="38">
        <f t="shared" si="175"/>
        <v>0</v>
      </c>
      <c r="BM113" s="38">
        <f t="shared" si="175"/>
        <v>0</v>
      </c>
      <c r="BN113" s="38">
        <f t="shared" si="175"/>
        <v>0</v>
      </c>
      <c r="BO113" s="38">
        <f>SUM(BO112:BO112)</f>
        <v>9.1071428571428577</v>
      </c>
      <c r="BP113" s="38">
        <f t="shared" si="175"/>
        <v>0</v>
      </c>
      <c r="BQ113" s="38">
        <f t="shared" si="175"/>
        <v>0</v>
      </c>
      <c r="BR113" s="38">
        <f t="shared" si="175"/>
        <v>0</v>
      </c>
      <c r="BS113" s="38">
        <f t="shared" si="175"/>
        <v>0</v>
      </c>
      <c r="BT113" s="38">
        <f t="shared" si="175"/>
        <v>0</v>
      </c>
      <c r="BU113" s="38">
        <f t="shared" si="175"/>
        <v>0</v>
      </c>
      <c r="BV113" s="38">
        <f t="shared" si="175"/>
        <v>0</v>
      </c>
      <c r="BW113" s="38">
        <f t="shared" si="175"/>
        <v>0</v>
      </c>
      <c r="BX113" s="38">
        <f t="shared" si="175"/>
        <v>0</v>
      </c>
      <c r="BY113" s="38">
        <f t="shared" si="175"/>
        <v>0</v>
      </c>
      <c r="BZ113" s="38">
        <f t="shared" si="175"/>
        <v>0</v>
      </c>
      <c r="CA113" s="38">
        <f t="shared" si="175"/>
        <v>0</v>
      </c>
      <c r="CB113" s="38">
        <f t="shared" si="175"/>
        <v>0</v>
      </c>
      <c r="CC113" s="38">
        <f t="shared" si="175"/>
        <v>0</v>
      </c>
      <c r="CD113" s="38">
        <f t="shared" si="175"/>
        <v>0</v>
      </c>
      <c r="CE113" s="38">
        <f t="shared" si="175"/>
        <v>0</v>
      </c>
      <c r="CF113" s="38">
        <f t="shared" si="175"/>
        <v>0</v>
      </c>
      <c r="CG113" s="38">
        <f t="shared" si="175"/>
        <v>0</v>
      </c>
      <c r="CH113" s="38">
        <f t="shared" si="175"/>
        <v>0</v>
      </c>
      <c r="CI113" s="38">
        <f t="shared" si="175"/>
        <v>0</v>
      </c>
      <c r="CJ113" s="38">
        <f t="shared" si="175"/>
        <v>0</v>
      </c>
      <c r="CK113" s="38">
        <f t="shared" si="175"/>
        <v>0</v>
      </c>
      <c r="CL113" s="38">
        <f t="shared" si="175"/>
        <v>0</v>
      </c>
      <c r="CM113" s="38">
        <f t="shared" si="175"/>
        <v>0</v>
      </c>
      <c r="CN113" s="38">
        <f t="shared" si="175"/>
        <v>0</v>
      </c>
      <c r="CO113" s="38">
        <f t="shared" si="175"/>
        <v>0</v>
      </c>
      <c r="CP113" s="38">
        <f t="shared" si="175"/>
        <v>0</v>
      </c>
      <c r="CQ113" s="38">
        <f t="shared" si="175"/>
        <v>0</v>
      </c>
      <c r="CR113" s="38">
        <f t="shared" si="175"/>
        <v>0</v>
      </c>
      <c r="CS113" s="38">
        <f t="shared" si="175"/>
        <v>0</v>
      </c>
      <c r="CT113" s="38">
        <f t="shared" si="175"/>
        <v>0</v>
      </c>
      <c r="CU113" s="17">
        <f t="shared" si="170"/>
        <v>10</v>
      </c>
      <c r="CV113" s="25">
        <f t="shared" si="171"/>
        <v>0</v>
      </c>
      <c r="CW113" s="40"/>
      <c r="CX113" s="30"/>
      <c r="CY113" s="30"/>
    </row>
    <row r="114" spans="1:103" x14ac:dyDescent="0.2">
      <c r="A114" s="2">
        <v>45880</v>
      </c>
      <c r="B114" s="3" t="s">
        <v>209</v>
      </c>
      <c r="C114" s="4" t="s">
        <v>514</v>
      </c>
      <c r="D114" s="5" t="s">
        <v>210</v>
      </c>
      <c r="E114" s="6" t="s">
        <v>216</v>
      </c>
      <c r="F114" s="7"/>
      <c r="G114" s="8"/>
      <c r="H114" s="9"/>
      <c r="I114" s="10"/>
      <c r="J114" s="11" t="s">
        <v>217</v>
      </c>
      <c r="K114" s="12">
        <v>1</v>
      </c>
      <c r="L114" s="13">
        <v>599</v>
      </c>
      <c r="M114" s="14">
        <f t="shared" ref="M114:M118" si="176">L114*K114</f>
        <v>599</v>
      </c>
      <c r="N114" s="15"/>
      <c r="O114" s="16" t="s">
        <v>136</v>
      </c>
      <c r="P114" s="17"/>
      <c r="Q114" s="18"/>
      <c r="R114" s="5"/>
      <c r="S114" s="19"/>
      <c r="T114" s="19"/>
      <c r="U114" s="19"/>
      <c r="V114" s="19"/>
      <c r="W114" s="17"/>
      <c r="X114" s="20"/>
      <c r="Y114" s="19"/>
      <c r="Z114" s="19"/>
      <c r="AA114" s="19"/>
      <c r="AB114" s="19"/>
      <c r="AC114" s="19"/>
      <c r="AD114" s="19"/>
      <c r="AE114" s="5"/>
      <c r="AF114" s="19"/>
      <c r="AG114" s="5"/>
      <c r="AH114" s="17"/>
      <c r="AI114" s="19"/>
      <c r="AJ114" s="19"/>
      <c r="AK114" s="19"/>
      <c r="AL114" s="19"/>
      <c r="AM114" s="17"/>
      <c r="AN114" s="19"/>
      <c r="AO114" s="19"/>
      <c r="AP114" s="19"/>
      <c r="AQ114" s="19"/>
      <c r="AR114" s="19"/>
      <c r="AS114" s="21"/>
      <c r="AT114" s="5"/>
      <c r="AU114" s="19"/>
      <c r="AV114" s="5"/>
      <c r="AW114" s="22"/>
      <c r="AX114" s="19"/>
      <c r="AY114" s="5"/>
      <c r="AZ114" s="19"/>
      <c r="BA114" s="5"/>
      <c r="BB114" s="5"/>
      <c r="BC114" s="19"/>
      <c r="BD114" s="19"/>
      <c r="BE114" s="19"/>
      <c r="BF114" s="19"/>
      <c r="BG114" s="19"/>
      <c r="BH114" s="19"/>
      <c r="BI114" s="19"/>
      <c r="BJ114" s="19"/>
      <c r="BK114" s="13"/>
      <c r="BL114" s="5"/>
      <c r="BM114" s="5"/>
      <c r="BN114" s="19"/>
      <c r="BO114" s="17"/>
      <c r="BP114" s="19"/>
      <c r="BQ114" s="17"/>
      <c r="BR114" s="19"/>
      <c r="BS114" s="17">
        <f>M114+P114-Q114</f>
        <v>599</v>
      </c>
      <c r="BT114" s="5"/>
      <c r="BU114" s="23"/>
      <c r="BV114" s="23"/>
      <c r="BW114" s="24"/>
      <c r="BX114" s="5"/>
      <c r="BY114" s="5"/>
      <c r="BZ114" s="5"/>
      <c r="CA114" s="24"/>
      <c r="CB114" s="24"/>
      <c r="CC114" s="24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>
        <f t="shared" si="170"/>
        <v>599</v>
      </c>
      <c r="CV114" s="25">
        <f t="shared" si="171"/>
        <v>0</v>
      </c>
      <c r="CW114" s="26"/>
      <c r="CX114" s="5"/>
      <c r="CY114" s="5"/>
    </row>
    <row r="115" spans="1:103" x14ac:dyDescent="0.2">
      <c r="A115" s="2"/>
      <c r="B115" s="3"/>
      <c r="C115" s="4"/>
      <c r="D115" s="5"/>
      <c r="E115" s="6"/>
      <c r="F115" s="7"/>
      <c r="G115" s="8"/>
      <c r="H115" s="9"/>
      <c r="I115" s="10"/>
      <c r="J115" s="11" t="s">
        <v>218</v>
      </c>
      <c r="K115" s="12">
        <v>1</v>
      </c>
      <c r="L115" s="13">
        <v>599</v>
      </c>
      <c r="M115" s="14">
        <f t="shared" si="176"/>
        <v>599</v>
      </c>
      <c r="N115" s="15"/>
      <c r="O115" s="16" t="s">
        <v>136</v>
      </c>
      <c r="P115" s="17"/>
      <c r="Q115" s="18"/>
      <c r="R115" s="5"/>
      <c r="S115" s="19"/>
      <c r="T115" s="19"/>
      <c r="U115" s="19"/>
      <c r="V115" s="19"/>
      <c r="W115" s="17"/>
      <c r="X115" s="20"/>
      <c r="Y115" s="19"/>
      <c r="Z115" s="19"/>
      <c r="AA115" s="19"/>
      <c r="AB115" s="19"/>
      <c r="AC115" s="19"/>
      <c r="AD115" s="19"/>
      <c r="AE115" s="5"/>
      <c r="AF115" s="19"/>
      <c r="AG115" s="5"/>
      <c r="AH115" s="17"/>
      <c r="AI115" s="19"/>
      <c r="AJ115" s="19"/>
      <c r="AK115" s="19"/>
      <c r="AL115" s="19"/>
      <c r="AM115" s="17"/>
      <c r="AN115" s="19"/>
      <c r="AO115" s="19"/>
      <c r="AP115" s="19"/>
      <c r="AQ115" s="19"/>
      <c r="AR115" s="19"/>
      <c r="AS115" s="21"/>
      <c r="AT115" s="5"/>
      <c r="AU115" s="19"/>
      <c r="AV115" s="5"/>
      <c r="AW115" s="22"/>
      <c r="AX115" s="19"/>
      <c r="AY115" s="5"/>
      <c r="AZ115" s="19"/>
      <c r="BA115" s="5"/>
      <c r="BB115" s="5"/>
      <c r="BC115" s="19"/>
      <c r="BD115" s="19"/>
      <c r="BE115" s="19"/>
      <c r="BF115" s="19"/>
      <c r="BG115" s="19"/>
      <c r="BH115" s="19"/>
      <c r="BI115" s="19"/>
      <c r="BJ115" s="19"/>
      <c r="BK115" s="13"/>
      <c r="BL115" s="5"/>
      <c r="BM115" s="5"/>
      <c r="BN115" s="19"/>
      <c r="BO115" s="17"/>
      <c r="BP115" s="19"/>
      <c r="BQ115" s="17"/>
      <c r="BR115" s="19"/>
      <c r="BS115" s="17">
        <f>M115+P115-Q115</f>
        <v>599</v>
      </c>
      <c r="BT115" s="5"/>
      <c r="BU115" s="23"/>
      <c r="BV115" s="23"/>
      <c r="BW115" s="24"/>
      <c r="BX115" s="5"/>
      <c r="BY115" s="5"/>
      <c r="BZ115" s="5"/>
      <c r="CA115" s="24"/>
      <c r="CB115" s="24"/>
      <c r="CC115" s="24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>
        <f t="shared" si="170"/>
        <v>599</v>
      </c>
      <c r="CV115" s="25">
        <f t="shared" si="171"/>
        <v>0</v>
      </c>
      <c r="CW115" s="26"/>
      <c r="CX115" s="5"/>
      <c r="CY115" s="5"/>
    </row>
    <row r="116" spans="1:103" x14ac:dyDescent="0.2">
      <c r="A116" s="2"/>
      <c r="B116" s="3"/>
      <c r="C116" s="4"/>
      <c r="D116" s="5"/>
      <c r="E116" s="6"/>
      <c r="F116" s="7"/>
      <c r="G116" s="8"/>
      <c r="H116" s="9"/>
      <c r="I116" s="10"/>
      <c r="J116" s="11" t="s">
        <v>219</v>
      </c>
      <c r="K116" s="12">
        <v>1</v>
      </c>
      <c r="L116" s="13">
        <v>999</v>
      </c>
      <c r="M116" s="14">
        <f t="shared" si="176"/>
        <v>999</v>
      </c>
      <c r="N116" s="15"/>
      <c r="O116" s="16" t="s">
        <v>136</v>
      </c>
      <c r="P116" s="17"/>
      <c r="Q116" s="18"/>
      <c r="R116" s="5"/>
      <c r="S116" s="19"/>
      <c r="T116" s="19"/>
      <c r="U116" s="19"/>
      <c r="V116" s="19"/>
      <c r="W116" s="17"/>
      <c r="X116" s="20"/>
      <c r="Y116" s="19"/>
      <c r="Z116" s="19"/>
      <c r="AA116" s="19"/>
      <c r="AB116" s="19"/>
      <c r="AC116" s="19"/>
      <c r="AD116" s="19"/>
      <c r="AE116" s="5"/>
      <c r="AF116" s="19"/>
      <c r="AG116" s="5"/>
      <c r="AH116" s="17"/>
      <c r="AI116" s="19"/>
      <c r="AJ116" s="19"/>
      <c r="AK116" s="19"/>
      <c r="AL116" s="19"/>
      <c r="AM116" s="17"/>
      <c r="AN116" s="19"/>
      <c r="AO116" s="19"/>
      <c r="AP116" s="19"/>
      <c r="AQ116" s="19"/>
      <c r="AR116" s="19"/>
      <c r="AS116" s="21"/>
      <c r="AT116" s="5"/>
      <c r="AU116" s="19"/>
      <c r="AV116" s="5"/>
      <c r="AW116" s="22"/>
      <c r="AX116" s="19"/>
      <c r="AY116" s="5"/>
      <c r="AZ116" s="19"/>
      <c r="BA116" s="5"/>
      <c r="BB116" s="5"/>
      <c r="BC116" s="19"/>
      <c r="BD116" s="19"/>
      <c r="BE116" s="19"/>
      <c r="BF116" s="19"/>
      <c r="BG116" s="19"/>
      <c r="BH116" s="19"/>
      <c r="BI116" s="19"/>
      <c r="BJ116" s="19"/>
      <c r="BK116" s="13"/>
      <c r="BL116" s="5"/>
      <c r="BM116" s="5"/>
      <c r="BN116" s="19"/>
      <c r="BO116" s="17"/>
      <c r="BP116" s="19"/>
      <c r="BQ116" s="17"/>
      <c r="BR116" s="19"/>
      <c r="BS116" s="17">
        <f>M116+P116-Q116</f>
        <v>999</v>
      </c>
      <c r="BT116" s="5"/>
      <c r="BU116" s="23"/>
      <c r="BV116" s="23"/>
      <c r="BW116" s="24"/>
      <c r="BX116" s="5"/>
      <c r="BY116" s="5"/>
      <c r="BZ116" s="5"/>
      <c r="CA116" s="24"/>
      <c r="CB116" s="24"/>
      <c r="CC116" s="24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>
        <f t="shared" si="170"/>
        <v>999</v>
      </c>
      <c r="CV116" s="25">
        <f t="shared" si="171"/>
        <v>0</v>
      </c>
      <c r="CW116" s="26"/>
      <c r="CX116" s="5"/>
      <c r="CY116" s="5"/>
    </row>
    <row r="117" spans="1:103" x14ac:dyDescent="0.2">
      <c r="A117" s="2"/>
      <c r="B117" s="3"/>
      <c r="C117" s="4"/>
      <c r="D117" s="5"/>
      <c r="E117" s="6"/>
      <c r="F117" s="7"/>
      <c r="G117" s="8"/>
      <c r="H117" s="9"/>
      <c r="I117" s="10"/>
      <c r="J117" s="11" t="s">
        <v>220</v>
      </c>
      <c r="K117" s="12">
        <v>1</v>
      </c>
      <c r="L117" s="13">
        <v>599</v>
      </c>
      <c r="M117" s="14">
        <f t="shared" si="176"/>
        <v>599</v>
      </c>
      <c r="N117" s="15"/>
      <c r="O117" s="16" t="s">
        <v>136</v>
      </c>
      <c r="P117" s="17"/>
      <c r="Q117" s="18"/>
      <c r="R117" s="5"/>
      <c r="S117" s="19"/>
      <c r="T117" s="19"/>
      <c r="U117" s="19"/>
      <c r="V117" s="19"/>
      <c r="W117" s="17"/>
      <c r="X117" s="20"/>
      <c r="Y117" s="19"/>
      <c r="Z117" s="19"/>
      <c r="AA117" s="19"/>
      <c r="AB117" s="19"/>
      <c r="AC117" s="19"/>
      <c r="AD117" s="19"/>
      <c r="AE117" s="5"/>
      <c r="AF117" s="19"/>
      <c r="AG117" s="5"/>
      <c r="AH117" s="17"/>
      <c r="AI117" s="19"/>
      <c r="AJ117" s="19"/>
      <c r="AK117" s="19"/>
      <c r="AL117" s="19"/>
      <c r="AM117" s="17"/>
      <c r="AN117" s="19"/>
      <c r="AO117" s="19"/>
      <c r="AP117" s="19"/>
      <c r="AQ117" s="19"/>
      <c r="AR117" s="19"/>
      <c r="AS117" s="21"/>
      <c r="AT117" s="5"/>
      <c r="AU117" s="19"/>
      <c r="AV117" s="5"/>
      <c r="AW117" s="22"/>
      <c r="AX117" s="19"/>
      <c r="AY117" s="5"/>
      <c r="AZ117" s="19"/>
      <c r="BA117" s="5"/>
      <c r="BB117" s="5"/>
      <c r="BC117" s="19"/>
      <c r="BD117" s="19"/>
      <c r="BE117" s="19"/>
      <c r="BF117" s="19"/>
      <c r="BG117" s="19"/>
      <c r="BH117" s="19"/>
      <c r="BI117" s="19"/>
      <c r="BJ117" s="19"/>
      <c r="BK117" s="13"/>
      <c r="BL117" s="5"/>
      <c r="BM117" s="5"/>
      <c r="BN117" s="19"/>
      <c r="BO117" s="17"/>
      <c r="BP117" s="19"/>
      <c r="BQ117" s="17"/>
      <c r="BR117" s="19"/>
      <c r="BS117" s="17">
        <f>M117+P117-Q117</f>
        <v>599</v>
      </c>
      <c r="BT117" s="5"/>
      <c r="BU117" s="23"/>
      <c r="BV117" s="23"/>
      <c r="BW117" s="24"/>
      <c r="BX117" s="5"/>
      <c r="BY117" s="5"/>
      <c r="BZ117" s="5"/>
      <c r="CA117" s="24"/>
      <c r="CB117" s="24"/>
      <c r="CC117" s="24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>
        <f t="shared" si="170"/>
        <v>599</v>
      </c>
      <c r="CV117" s="25">
        <f t="shared" si="171"/>
        <v>0</v>
      </c>
      <c r="CW117" s="26"/>
      <c r="CX117" s="5"/>
      <c r="CY117" s="5"/>
    </row>
    <row r="118" spans="1:103" x14ac:dyDescent="0.2">
      <c r="A118" s="2"/>
      <c r="B118" s="3"/>
      <c r="C118" s="4"/>
      <c r="D118" s="5"/>
      <c r="E118" s="6"/>
      <c r="F118" s="7"/>
      <c r="G118" s="8"/>
      <c r="H118" s="9"/>
      <c r="I118" s="10"/>
      <c r="J118" s="11" t="s">
        <v>221</v>
      </c>
      <c r="K118" s="12">
        <v>1</v>
      </c>
      <c r="L118" s="13">
        <v>100</v>
      </c>
      <c r="M118" s="14">
        <f t="shared" si="176"/>
        <v>100</v>
      </c>
      <c r="N118" s="15"/>
      <c r="O118" s="16" t="s">
        <v>136</v>
      </c>
      <c r="P118" s="17"/>
      <c r="Q118" s="18"/>
      <c r="R118" s="5"/>
      <c r="S118" s="19"/>
      <c r="T118" s="19"/>
      <c r="U118" s="19"/>
      <c r="V118" s="19"/>
      <c r="W118" s="17"/>
      <c r="X118" s="20"/>
      <c r="Y118" s="19"/>
      <c r="Z118" s="19"/>
      <c r="AA118" s="19"/>
      <c r="AB118" s="19"/>
      <c r="AC118" s="19"/>
      <c r="AD118" s="19"/>
      <c r="AE118" s="5"/>
      <c r="AF118" s="19"/>
      <c r="AG118" s="5"/>
      <c r="AH118" s="17"/>
      <c r="AI118" s="19"/>
      <c r="AJ118" s="19"/>
      <c r="AK118" s="19"/>
      <c r="AL118" s="19"/>
      <c r="AM118" s="17"/>
      <c r="AN118" s="19"/>
      <c r="AO118" s="19"/>
      <c r="AP118" s="19"/>
      <c r="AQ118" s="19"/>
      <c r="AR118" s="19"/>
      <c r="AS118" s="21"/>
      <c r="AT118" s="5"/>
      <c r="AU118" s="19"/>
      <c r="AV118" s="5"/>
      <c r="AW118" s="22"/>
      <c r="AX118" s="19"/>
      <c r="AY118" s="5"/>
      <c r="AZ118" s="19"/>
      <c r="BA118" s="5"/>
      <c r="BB118" s="5"/>
      <c r="BC118" s="19"/>
      <c r="BD118" s="19"/>
      <c r="BE118" s="19"/>
      <c r="BF118" s="19"/>
      <c r="BG118" s="19"/>
      <c r="BH118" s="19"/>
      <c r="BI118" s="19"/>
      <c r="BJ118" s="19"/>
      <c r="BK118" s="13"/>
      <c r="BL118" s="5"/>
      <c r="BM118" s="5"/>
      <c r="BN118" s="19"/>
      <c r="BO118" s="17"/>
      <c r="BP118" s="19"/>
      <c r="BQ118" s="17"/>
      <c r="BR118" s="19"/>
      <c r="BS118" s="5"/>
      <c r="BT118" s="5"/>
      <c r="BU118" s="23"/>
      <c r="BV118" s="17">
        <f>M118+P118-Q118</f>
        <v>100</v>
      </c>
      <c r="BW118" s="24"/>
      <c r="BX118" s="5"/>
      <c r="BY118" s="5"/>
      <c r="BZ118" s="5"/>
      <c r="CA118" s="24"/>
      <c r="CB118" s="24"/>
      <c r="CC118" s="24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>
        <f t="shared" si="170"/>
        <v>100</v>
      </c>
      <c r="CV118" s="25">
        <f t="shared" si="171"/>
        <v>0</v>
      </c>
      <c r="CW118" s="26"/>
      <c r="CX118" s="5"/>
      <c r="CY118" s="5"/>
    </row>
    <row r="119" spans="1:103" x14ac:dyDescent="0.2">
      <c r="A119" s="27"/>
      <c r="B119" s="28"/>
      <c r="C119" s="29"/>
      <c r="D119" s="30"/>
      <c r="E119" s="31"/>
      <c r="F119" s="32"/>
      <c r="G119" s="33"/>
      <c r="H119" s="34"/>
      <c r="I119" s="34"/>
      <c r="J119" s="35"/>
      <c r="K119" s="36"/>
      <c r="L119" s="37"/>
      <c r="M119" s="38">
        <f>SUM(M114:M118)</f>
        <v>2896</v>
      </c>
      <c r="N119" s="38"/>
      <c r="O119" s="39" t="s">
        <v>137</v>
      </c>
      <c r="P119" s="38">
        <f>SUM(P114:P118)</f>
        <v>0</v>
      </c>
      <c r="Q119" s="38">
        <f>SUM(Q114:Q118)</f>
        <v>0</v>
      </c>
      <c r="R119" s="30"/>
      <c r="S119" s="38">
        <f t="shared" ref="S119:AD119" si="177">SUM(S114:S114)</f>
        <v>0</v>
      </c>
      <c r="T119" s="38">
        <f t="shared" si="177"/>
        <v>0</v>
      </c>
      <c r="U119" s="38">
        <f t="shared" si="177"/>
        <v>0</v>
      </c>
      <c r="V119" s="38">
        <f t="shared" si="177"/>
        <v>0</v>
      </c>
      <c r="W119" s="38">
        <f t="shared" si="177"/>
        <v>0</v>
      </c>
      <c r="X119" s="38">
        <f t="shared" si="177"/>
        <v>0</v>
      </c>
      <c r="Y119" s="38">
        <f t="shared" si="177"/>
        <v>0</v>
      </c>
      <c r="Z119" s="38">
        <f t="shared" si="177"/>
        <v>0</v>
      </c>
      <c r="AA119" s="38">
        <f t="shared" si="177"/>
        <v>0</v>
      </c>
      <c r="AB119" s="38">
        <f t="shared" si="177"/>
        <v>0</v>
      </c>
      <c r="AC119" s="38">
        <f t="shared" si="177"/>
        <v>0</v>
      </c>
      <c r="AD119" s="38">
        <f t="shared" si="177"/>
        <v>0</v>
      </c>
      <c r="AE119" s="30"/>
      <c r="AF119" s="38">
        <f>SUM(AF114:AF114)</f>
        <v>0</v>
      </c>
      <c r="AG119" s="30"/>
      <c r="AH119" s="38">
        <f t="shared" ref="AH119:AZ119" si="178">SUM(AH114:AH114)</f>
        <v>0</v>
      </c>
      <c r="AI119" s="38">
        <f t="shared" si="178"/>
        <v>0</v>
      </c>
      <c r="AJ119" s="38">
        <f t="shared" si="178"/>
        <v>0</v>
      </c>
      <c r="AK119" s="38">
        <f t="shared" si="178"/>
        <v>0</v>
      </c>
      <c r="AL119" s="38">
        <f t="shared" si="178"/>
        <v>0</v>
      </c>
      <c r="AM119" s="38">
        <f t="shared" si="178"/>
        <v>0</v>
      </c>
      <c r="AN119" s="38">
        <f t="shared" si="178"/>
        <v>0</v>
      </c>
      <c r="AO119" s="38">
        <f t="shared" si="178"/>
        <v>0</v>
      </c>
      <c r="AP119" s="38">
        <f t="shared" si="178"/>
        <v>0</v>
      </c>
      <c r="AQ119" s="38">
        <f t="shared" si="178"/>
        <v>0</v>
      </c>
      <c r="AR119" s="38">
        <f t="shared" si="178"/>
        <v>0</v>
      </c>
      <c r="AS119" s="38">
        <f t="shared" si="178"/>
        <v>0</v>
      </c>
      <c r="AT119" s="38">
        <f t="shared" si="178"/>
        <v>0</v>
      </c>
      <c r="AU119" s="38">
        <f t="shared" si="178"/>
        <v>0</v>
      </c>
      <c r="AV119" s="38">
        <f t="shared" si="178"/>
        <v>0</v>
      </c>
      <c r="AW119" s="38">
        <f t="shared" si="178"/>
        <v>0</v>
      </c>
      <c r="AX119" s="38">
        <f t="shared" si="178"/>
        <v>0</v>
      </c>
      <c r="AY119" s="38">
        <f t="shared" si="178"/>
        <v>0</v>
      </c>
      <c r="AZ119" s="38">
        <f t="shared" si="178"/>
        <v>0</v>
      </c>
      <c r="BA119" s="30"/>
      <c r="BB119" s="38">
        <f t="shared" ref="BB119:BR119" si="179">SUM(BB114:BB114)</f>
        <v>0</v>
      </c>
      <c r="BC119" s="38">
        <f t="shared" si="179"/>
        <v>0</v>
      </c>
      <c r="BD119" s="38">
        <f t="shared" si="179"/>
        <v>0</v>
      </c>
      <c r="BE119" s="38">
        <f t="shared" si="179"/>
        <v>0</v>
      </c>
      <c r="BF119" s="38">
        <f t="shared" si="179"/>
        <v>0</v>
      </c>
      <c r="BG119" s="38">
        <f t="shared" si="179"/>
        <v>0</v>
      </c>
      <c r="BH119" s="38">
        <f t="shared" si="179"/>
        <v>0</v>
      </c>
      <c r="BI119" s="38">
        <f t="shared" si="179"/>
        <v>0</v>
      </c>
      <c r="BJ119" s="38">
        <f t="shared" si="179"/>
        <v>0</v>
      </c>
      <c r="BK119" s="38">
        <f t="shared" si="179"/>
        <v>0</v>
      </c>
      <c r="BL119" s="38">
        <f t="shared" si="179"/>
        <v>0</v>
      </c>
      <c r="BM119" s="38">
        <f t="shared" si="179"/>
        <v>0</v>
      </c>
      <c r="BN119" s="38">
        <f t="shared" si="179"/>
        <v>0</v>
      </c>
      <c r="BO119" s="38">
        <f t="shared" si="179"/>
        <v>0</v>
      </c>
      <c r="BP119" s="38">
        <f t="shared" si="179"/>
        <v>0</v>
      </c>
      <c r="BQ119" s="38">
        <f t="shared" si="179"/>
        <v>0</v>
      </c>
      <c r="BR119" s="38">
        <f t="shared" si="179"/>
        <v>0</v>
      </c>
      <c r="BS119" s="38">
        <f>SUM(BS114:BS118)</f>
        <v>2796</v>
      </c>
      <c r="BT119" s="38">
        <f>SUM(BT114:BT118)</f>
        <v>0</v>
      </c>
      <c r="BU119" s="38">
        <f>SUM(BU114:BU118)</f>
        <v>0</v>
      </c>
      <c r="BV119" s="38">
        <f>SUM(BV114:BV118)</f>
        <v>100</v>
      </c>
      <c r="BW119" s="38">
        <f t="shared" ref="BW119:CT119" si="180">SUM(BW114:BW114)</f>
        <v>0</v>
      </c>
      <c r="BX119" s="38">
        <f t="shared" si="180"/>
        <v>0</v>
      </c>
      <c r="BY119" s="38">
        <f t="shared" si="180"/>
        <v>0</v>
      </c>
      <c r="BZ119" s="38">
        <f t="shared" si="180"/>
        <v>0</v>
      </c>
      <c r="CA119" s="38">
        <f t="shared" si="180"/>
        <v>0</v>
      </c>
      <c r="CB119" s="38">
        <f t="shared" si="180"/>
        <v>0</v>
      </c>
      <c r="CC119" s="38">
        <f t="shared" si="180"/>
        <v>0</v>
      </c>
      <c r="CD119" s="38">
        <f t="shared" si="180"/>
        <v>0</v>
      </c>
      <c r="CE119" s="38">
        <f t="shared" si="180"/>
        <v>0</v>
      </c>
      <c r="CF119" s="38">
        <f t="shared" si="180"/>
        <v>0</v>
      </c>
      <c r="CG119" s="38">
        <f t="shared" si="180"/>
        <v>0</v>
      </c>
      <c r="CH119" s="38">
        <f t="shared" si="180"/>
        <v>0</v>
      </c>
      <c r="CI119" s="38">
        <f t="shared" si="180"/>
        <v>0</v>
      </c>
      <c r="CJ119" s="38">
        <f t="shared" si="180"/>
        <v>0</v>
      </c>
      <c r="CK119" s="38">
        <f t="shared" si="180"/>
        <v>0</v>
      </c>
      <c r="CL119" s="38">
        <f t="shared" si="180"/>
        <v>0</v>
      </c>
      <c r="CM119" s="38">
        <f t="shared" si="180"/>
        <v>0</v>
      </c>
      <c r="CN119" s="38">
        <f t="shared" si="180"/>
        <v>0</v>
      </c>
      <c r="CO119" s="38">
        <f t="shared" si="180"/>
        <v>0</v>
      </c>
      <c r="CP119" s="38">
        <f t="shared" si="180"/>
        <v>0</v>
      </c>
      <c r="CQ119" s="38">
        <f t="shared" si="180"/>
        <v>0</v>
      </c>
      <c r="CR119" s="38">
        <f t="shared" si="180"/>
        <v>0</v>
      </c>
      <c r="CS119" s="38">
        <f t="shared" si="180"/>
        <v>0</v>
      </c>
      <c r="CT119" s="38">
        <f t="shared" si="180"/>
        <v>0</v>
      </c>
      <c r="CU119" s="17">
        <f t="shared" si="170"/>
        <v>2896</v>
      </c>
      <c r="CV119" s="25">
        <f t="shared" si="171"/>
        <v>0</v>
      </c>
      <c r="CW119" s="40"/>
      <c r="CX119" s="30"/>
      <c r="CY119" s="30"/>
    </row>
    <row r="120" spans="1:103" x14ac:dyDescent="0.2">
      <c r="A120" s="2">
        <v>45874</v>
      </c>
      <c r="B120" s="3" t="s">
        <v>209</v>
      </c>
      <c r="C120" s="4" t="s">
        <v>515</v>
      </c>
      <c r="D120" s="5" t="s">
        <v>210</v>
      </c>
      <c r="E120" s="156" t="s">
        <v>223</v>
      </c>
      <c r="F120" s="156" t="s">
        <v>224</v>
      </c>
      <c r="G120" s="156" t="s">
        <v>225</v>
      </c>
      <c r="H120" s="156">
        <v>62662</v>
      </c>
      <c r="I120" s="10"/>
      <c r="J120" s="11" t="s">
        <v>226</v>
      </c>
      <c r="K120" s="12">
        <v>1</v>
      </c>
      <c r="L120" s="13">
        <v>319.5</v>
      </c>
      <c r="M120" s="14">
        <f t="shared" ref="M120" si="181">L120*K120</f>
        <v>319.5</v>
      </c>
      <c r="N120" s="15"/>
      <c r="O120" s="16" t="s">
        <v>111</v>
      </c>
      <c r="P120" s="17">
        <f>M120/1.12*0.01</f>
        <v>2.8526785714285712</v>
      </c>
      <c r="Q120" s="18">
        <f>M120/1.12*0.12</f>
        <v>34.232142857142854</v>
      </c>
      <c r="R120" s="5"/>
      <c r="S120" s="19"/>
      <c r="T120" s="19"/>
      <c r="U120" s="19"/>
      <c r="V120" s="19"/>
      <c r="W120" s="17"/>
      <c r="X120" s="20"/>
      <c r="Y120" s="19"/>
      <c r="Z120" s="19"/>
      <c r="AA120" s="19"/>
      <c r="AB120" s="19"/>
      <c r="AC120" s="19"/>
      <c r="AD120" s="19"/>
      <c r="AE120" s="5"/>
      <c r="AF120" s="19"/>
      <c r="AG120" s="5"/>
      <c r="AH120" s="17"/>
      <c r="AI120" s="19"/>
      <c r="AJ120" s="19"/>
      <c r="AK120" s="19"/>
      <c r="AL120" s="19"/>
      <c r="AM120" s="17"/>
      <c r="AN120" s="19"/>
      <c r="AO120" s="19"/>
      <c r="AP120" s="19"/>
      <c r="AQ120" s="19"/>
      <c r="AR120" s="19"/>
      <c r="AS120" s="21"/>
      <c r="AT120" s="5"/>
      <c r="AU120" s="19"/>
      <c r="AV120" s="5"/>
      <c r="AW120" s="22"/>
      <c r="AX120" s="19"/>
      <c r="AY120" s="5"/>
      <c r="AZ120" s="19"/>
      <c r="BA120" s="5"/>
      <c r="BB120" s="17">
        <f>M120+P120-Q120</f>
        <v>288.12053571428572</v>
      </c>
      <c r="BC120" s="19"/>
      <c r="BD120" s="19"/>
      <c r="BE120" s="19"/>
      <c r="BF120" s="19"/>
      <c r="BG120" s="19"/>
      <c r="BH120" s="19"/>
      <c r="BI120" s="19"/>
      <c r="BJ120" s="19"/>
      <c r="BK120" s="13"/>
      <c r="BL120" s="5"/>
      <c r="BM120" s="5"/>
      <c r="BN120" s="19"/>
      <c r="BO120" s="17"/>
      <c r="BP120" s="19"/>
      <c r="BQ120" s="17"/>
      <c r="BR120" s="19"/>
      <c r="BS120" s="13"/>
      <c r="BT120" s="5"/>
      <c r="BU120" s="23"/>
      <c r="BV120" s="23"/>
      <c r="BW120" s="24"/>
      <c r="BX120" s="5"/>
      <c r="BY120" s="5"/>
      <c r="BZ120" s="5"/>
      <c r="CA120" s="24"/>
      <c r="CB120" s="24"/>
      <c r="CC120" s="24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>
        <f t="shared" si="170"/>
        <v>319.5</v>
      </c>
      <c r="CV120" s="25">
        <f t="shared" si="171"/>
        <v>0</v>
      </c>
      <c r="CW120" s="26"/>
      <c r="CX120" s="5"/>
      <c r="CY120" s="5"/>
    </row>
    <row r="121" spans="1:103" x14ac:dyDescent="0.2">
      <c r="A121" s="27"/>
      <c r="B121" s="28"/>
      <c r="C121" s="29"/>
      <c r="D121" s="30"/>
      <c r="E121" s="31"/>
      <c r="F121" s="32"/>
      <c r="G121" s="33"/>
      <c r="H121" s="34"/>
      <c r="I121" s="34"/>
      <c r="J121" s="35"/>
      <c r="K121" s="36"/>
      <c r="L121" s="37"/>
      <c r="M121" s="38">
        <f>SUM(M120:M120)</f>
        <v>319.5</v>
      </c>
      <c r="N121" s="38"/>
      <c r="O121" s="39" t="s">
        <v>111</v>
      </c>
      <c r="P121" s="38">
        <f>SUM(P120:P120)</f>
        <v>2.8526785714285712</v>
      </c>
      <c r="Q121" s="38">
        <f>SUM(Q120:Q120)</f>
        <v>34.232142857142854</v>
      </c>
      <c r="R121" s="30"/>
      <c r="S121" s="38">
        <f t="shared" ref="S121:AD121" si="182">SUM(S120:S120)</f>
        <v>0</v>
      </c>
      <c r="T121" s="38">
        <f t="shared" si="182"/>
        <v>0</v>
      </c>
      <c r="U121" s="38">
        <f t="shared" si="182"/>
        <v>0</v>
      </c>
      <c r="V121" s="38">
        <f t="shared" si="182"/>
        <v>0</v>
      </c>
      <c r="W121" s="38">
        <f t="shared" si="182"/>
        <v>0</v>
      </c>
      <c r="X121" s="38">
        <f t="shared" si="182"/>
        <v>0</v>
      </c>
      <c r="Y121" s="38">
        <f t="shared" si="182"/>
        <v>0</v>
      </c>
      <c r="Z121" s="38">
        <f t="shared" si="182"/>
        <v>0</v>
      </c>
      <c r="AA121" s="38">
        <f t="shared" si="182"/>
        <v>0</v>
      </c>
      <c r="AB121" s="38">
        <f t="shared" si="182"/>
        <v>0</v>
      </c>
      <c r="AC121" s="38">
        <f t="shared" si="182"/>
        <v>0</v>
      </c>
      <c r="AD121" s="38">
        <f t="shared" si="182"/>
        <v>0</v>
      </c>
      <c r="AE121" s="30"/>
      <c r="AF121" s="38">
        <f>SUM(AF120:AF120)</f>
        <v>0</v>
      </c>
      <c r="AG121" s="30"/>
      <c r="AH121" s="38">
        <f t="shared" ref="AH121:AZ121" si="183">SUM(AH120:AH120)</f>
        <v>0</v>
      </c>
      <c r="AI121" s="38">
        <f t="shared" si="183"/>
        <v>0</v>
      </c>
      <c r="AJ121" s="38">
        <f t="shared" si="183"/>
        <v>0</v>
      </c>
      <c r="AK121" s="38">
        <f t="shared" si="183"/>
        <v>0</v>
      </c>
      <c r="AL121" s="38">
        <f t="shared" si="183"/>
        <v>0</v>
      </c>
      <c r="AM121" s="38">
        <f t="shared" si="183"/>
        <v>0</v>
      </c>
      <c r="AN121" s="38">
        <f t="shared" si="183"/>
        <v>0</v>
      </c>
      <c r="AO121" s="38">
        <f t="shared" si="183"/>
        <v>0</v>
      </c>
      <c r="AP121" s="38">
        <f t="shared" si="183"/>
        <v>0</v>
      </c>
      <c r="AQ121" s="38">
        <f t="shared" si="183"/>
        <v>0</v>
      </c>
      <c r="AR121" s="38">
        <f t="shared" si="183"/>
        <v>0</v>
      </c>
      <c r="AS121" s="38">
        <f t="shared" si="183"/>
        <v>0</v>
      </c>
      <c r="AT121" s="38">
        <f t="shared" si="183"/>
        <v>0</v>
      </c>
      <c r="AU121" s="38">
        <f t="shared" si="183"/>
        <v>0</v>
      </c>
      <c r="AV121" s="38">
        <f t="shared" si="183"/>
        <v>0</v>
      </c>
      <c r="AW121" s="38">
        <f t="shared" si="183"/>
        <v>0</v>
      </c>
      <c r="AX121" s="38">
        <f t="shared" si="183"/>
        <v>0</v>
      </c>
      <c r="AY121" s="38">
        <f t="shared" si="183"/>
        <v>0</v>
      </c>
      <c r="AZ121" s="38">
        <f t="shared" si="183"/>
        <v>0</v>
      </c>
      <c r="BA121" s="30"/>
      <c r="BB121" s="38">
        <f t="shared" ref="BB121:CT121" si="184">SUM(BB120:BB120)</f>
        <v>288.12053571428572</v>
      </c>
      <c r="BC121" s="38">
        <f t="shared" si="184"/>
        <v>0</v>
      </c>
      <c r="BD121" s="38">
        <f t="shared" si="184"/>
        <v>0</v>
      </c>
      <c r="BE121" s="38">
        <f t="shared" si="184"/>
        <v>0</v>
      </c>
      <c r="BF121" s="38">
        <f t="shared" si="184"/>
        <v>0</v>
      </c>
      <c r="BG121" s="38">
        <f t="shared" si="184"/>
        <v>0</v>
      </c>
      <c r="BH121" s="38">
        <f t="shared" si="184"/>
        <v>0</v>
      </c>
      <c r="BI121" s="38">
        <f t="shared" si="184"/>
        <v>0</v>
      </c>
      <c r="BJ121" s="38">
        <f t="shared" si="184"/>
        <v>0</v>
      </c>
      <c r="BK121" s="38">
        <f t="shared" si="184"/>
        <v>0</v>
      </c>
      <c r="BL121" s="38">
        <f t="shared" si="184"/>
        <v>0</v>
      </c>
      <c r="BM121" s="38">
        <f t="shared" si="184"/>
        <v>0</v>
      </c>
      <c r="BN121" s="38">
        <f t="shared" si="184"/>
        <v>0</v>
      </c>
      <c r="BO121" s="38">
        <f t="shared" si="184"/>
        <v>0</v>
      </c>
      <c r="BP121" s="38">
        <f t="shared" si="184"/>
        <v>0</v>
      </c>
      <c r="BQ121" s="38">
        <f t="shared" si="184"/>
        <v>0</v>
      </c>
      <c r="BR121" s="38">
        <f t="shared" si="184"/>
        <v>0</v>
      </c>
      <c r="BS121" s="38">
        <f t="shared" si="184"/>
        <v>0</v>
      </c>
      <c r="BT121" s="38">
        <f t="shared" si="184"/>
        <v>0</v>
      </c>
      <c r="BU121" s="38">
        <f t="shared" si="184"/>
        <v>0</v>
      </c>
      <c r="BV121" s="38">
        <f t="shared" si="184"/>
        <v>0</v>
      </c>
      <c r="BW121" s="38">
        <f t="shared" si="184"/>
        <v>0</v>
      </c>
      <c r="BX121" s="38">
        <f t="shared" si="184"/>
        <v>0</v>
      </c>
      <c r="BY121" s="38">
        <f t="shared" si="184"/>
        <v>0</v>
      </c>
      <c r="BZ121" s="38">
        <f t="shared" si="184"/>
        <v>0</v>
      </c>
      <c r="CA121" s="38">
        <f t="shared" si="184"/>
        <v>0</v>
      </c>
      <c r="CB121" s="38">
        <f t="shared" si="184"/>
        <v>0</v>
      </c>
      <c r="CC121" s="38">
        <f t="shared" si="184"/>
        <v>0</v>
      </c>
      <c r="CD121" s="38">
        <f t="shared" si="184"/>
        <v>0</v>
      </c>
      <c r="CE121" s="38">
        <f t="shared" si="184"/>
        <v>0</v>
      </c>
      <c r="CF121" s="38">
        <f t="shared" si="184"/>
        <v>0</v>
      </c>
      <c r="CG121" s="38">
        <f t="shared" si="184"/>
        <v>0</v>
      </c>
      <c r="CH121" s="38">
        <f t="shared" si="184"/>
        <v>0</v>
      </c>
      <c r="CI121" s="38">
        <f t="shared" si="184"/>
        <v>0</v>
      </c>
      <c r="CJ121" s="38">
        <f t="shared" si="184"/>
        <v>0</v>
      </c>
      <c r="CK121" s="38">
        <f t="shared" si="184"/>
        <v>0</v>
      </c>
      <c r="CL121" s="38">
        <f t="shared" si="184"/>
        <v>0</v>
      </c>
      <c r="CM121" s="38">
        <f t="shared" si="184"/>
        <v>0</v>
      </c>
      <c r="CN121" s="38">
        <f t="shared" si="184"/>
        <v>0</v>
      </c>
      <c r="CO121" s="38">
        <f t="shared" si="184"/>
        <v>0</v>
      </c>
      <c r="CP121" s="38">
        <f t="shared" si="184"/>
        <v>0</v>
      </c>
      <c r="CQ121" s="38">
        <f t="shared" si="184"/>
        <v>0</v>
      </c>
      <c r="CR121" s="38">
        <f t="shared" si="184"/>
        <v>0</v>
      </c>
      <c r="CS121" s="38">
        <f t="shared" si="184"/>
        <v>0</v>
      </c>
      <c r="CT121" s="38">
        <f t="shared" si="184"/>
        <v>0</v>
      </c>
      <c r="CU121" s="17">
        <f t="shared" si="170"/>
        <v>319.5</v>
      </c>
      <c r="CV121" s="25">
        <f t="shared" si="171"/>
        <v>0</v>
      </c>
      <c r="CW121" s="40"/>
      <c r="CX121" s="30"/>
      <c r="CY121" s="30"/>
    </row>
    <row r="122" spans="1:103" x14ac:dyDescent="0.2">
      <c r="A122" s="2">
        <v>45878</v>
      </c>
      <c r="B122" s="3" t="s">
        <v>209</v>
      </c>
      <c r="C122" s="4" t="s">
        <v>516</v>
      </c>
      <c r="D122" s="5" t="s">
        <v>210</v>
      </c>
      <c r="E122" s="6" t="s">
        <v>228</v>
      </c>
      <c r="F122" s="7"/>
      <c r="G122" s="8" t="s">
        <v>229</v>
      </c>
      <c r="H122" s="9">
        <v>13022909</v>
      </c>
      <c r="I122" s="10"/>
      <c r="J122" s="11" t="s">
        <v>226</v>
      </c>
      <c r="K122" s="12">
        <v>1</v>
      </c>
      <c r="L122" s="13">
        <v>467</v>
      </c>
      <c r="M122" s="14">
        <f t="shared" ref="M122" si="185">L122*K122</f>
        <v>467</v>
      </c>
      <c r="N122" s="15"/>
      <c r="O122" s="16" t="s">
        <v>111</v>
      </c>
      <c r="P122" s="17">
        <f>M122/1.12*0.01</f>
        <v>4.1696428571428568</v>
      </c>
      <c r="Q122" s="18">
        <f>M122/1.12*0.12</f>
        <v>50.035714285714278</v>
      </c>
      <c r="R122" s="5"/>
      <c r="S122" s="19"/>
      <c r="T122" s="19"/>
      <c r="U122" s="19"/>
      <c r="V122" s="19"/>
      <c r="W122" s="17"/>
      <c r="X122" s="20"/>
      <c r="Y122" s="19"/>
      <c r="Z122" s="19"/>
      <c r="AA122" s="19"/>
      <c r="AB122" s="19"/>
      <c r="AC122" s="19"/>
      <c r="AD122" s="19"/>
      <c r="AE122" s="5"/>
      <c r="AF122" s="19"/>
      <c r="AG122" s="5"/>
      <c r="AH122" s="17"/>
      <c r="AI122" s="19"/>
      <c r="AJ122" s="19"/>
      <c r="AK122" s="19"/>
      <c r="AL122" s="19"/>
      <c r="AM122" s="17"/>
      <c r="AN122" s="19"/>
      <c r="AO122" s="19"/>
      <c r="AP122" s="19"/>
      <c r="AQ122" s="19"/>
      <c r="AR122" s="19"/>
      <c r="AS122" s="21"/>
      <c r="AT122" s="5"/>
      <c r="AU122" s="19"/>
      <c r="AV122" s="5"/>
      <c r="AW122" s="22"/>
      <c r="AX122" s="19"/>
      <c r="AY122" s="5"/>
      <c r="AZ122" s="19"/>
      <c r="BA122" s="5"/>
      <c r="BB122" s="17">
        <f>M122+P122-Q122</f>
        <v>421.13392857142856</v>
      </c>
      <c r="BC122" s="19"/>
      <c r="BD122" s="19"/>
      <c r="BE122" s="19"/>
      <c r="BF122" s="19"/>
      <c r="BG122" s="19"/>
      <c r="BH122" s="19"/>
      <c r="BI122" s="19"/>
      <c r="BJ122" s="19"/>
      <c r="BK122" s="13"/>
      <c r="BL122" s="5"/>
      <c r="BM122" s="5"/>
      <c r="BN122" s="19"/>
      <c r="BO122" s="17"/>
      <c r="BP122" s="19"/>
      <c r="BQ122" s="17"/>
      <c r="BR122" s="19"/>
      <c r="BS122" s="13"/>
      <c r="BT122" s="5"/>
      <c r="BU122" s="23"/>
      <c r="BV122" s="23"/>
      <c r="BW122" s="24"/>
      <c r="BX122" s="5"/>
      <c r="BY122" s="5"/>
      <c r="BZ122" s="5"/>
      <c r="CA122" s="24"/>
      <c r="CB122" s="24"/>
      <c r="CC122" s="24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>
        <f t="shared" si="170"/>
        <v>467</v>
      </c>
      <c r="CV122" s="25">
        <f t="shared" si="171"/>
        <v>0</v>
      </c>
      <c r="CW122" s="26"/>
      <c r="CX122" s="5"/>
      <c r="CY122" s="5"/>
    </row>
    <row r="123" spans="1:103" x14ac:dyDescent="0.2">
      <c r="A123" s="27"/>
      <c r="B123" s="28"/>
      <c r="C123" s="29"/>
      <c r="D123" s="30"/>
      <c r="E123" s="31"/>
      <c r="F123" s="32"/>
      <c r="G123" s="33"/>
      <c r="H123" s="34"/>
      <c r="I123" s="34"/>
      <c r="J123" s="35"/>
      <c r="K123" s="36"/>
      <c r="L123" s="37"/>
      <c r="M123" s="38">
        <f>SUM(M122:M122)</f>
        <v>467</v>
      </c>
      <c r="N123" s="38"/>
      <c r="O123" s="39" t="s">
        <v>111</v>
      </c>
      <c r="P123" s="38">
        <f>SUM(P122:P122)</f>
        <v>4.1696428571428568</v>
      </c>
      <c r="Q123" s="38">
        <f>SUM(Q122:Q122)</f>
        <v>50.035714285714278</v>
      </c>
      <c r="R123" s="30"/>
      <c r="S123" s="38">
        <f t="shared" ref="S123:AD123" si="186">SUM(S122:S122)</f>
        <v>0</v>
      </c>
      <c r="T123" s="38">
        <f t="shared" si="186"/>
        <v>0</v>
      </c>
      <c r="U123" s="38">
        <f t="shared" si="186"/>
        <v>0</v>
      </c>
      <c r="V123" s="38">
        <f t="shared" si="186"/>
        <v>0</v>
      </c>
      <c r="W123" s="38">
        <f t="shared" si="186"/>
        <v>0</v>
      </c>
      <c r="X123" s="38">
        <f t="shared" si="186"/>
        <v>0</v>
      </c>
      <c r="Y123" s="38">
        <f t="shared" si="186"/>
        <v>0</v>
      </c>
      <c r="Z123" s="38">
        <f t="shared" si="186"/>
        <v>0</v>
      </c>
      <c r="AA123" s="38">
        <f t="shared" si="186"/>
        <v>0</v>
      </c>
      <c r="AB123" s="38">
        <f t="shared" si="186"/>
        <v>0</v>
      </c>
      <c r="AC123" s="38">
        <f t="shared" si="186"/>
        <v>0</v>
      </c>
      <c r="AD123" s="38">
        <f t="shared" si="186"/>
        <v>0</v>
      </c>
      <c r="AE123" s="30"/>
      <c r="AF123" s="38">
        <f>SUM(AF122:AF122)</f>
        <v>0</v>
      </c>
      <c r="AG123" s="30"/>
      <c r="AH123" s="38">
        <f t="shared" ref="AH123:AZ123" si="187">SUM(AH122:AH122)</f>
        <v>0</v>
      </c>
      <c r="AI123" s="38">
        <f t="shared" si="187"/>
        <v>0</v>
      </c>
      <c r="AJ123" s="38">
        <f t="shared" si="187"/>
        <v>0</v>
      </c>
      <c r="AK123" s="38">
        <f t="shared" si="187"/>
        <v>0</v>
      </c>
      <c r="AL123" s="38">
        <f t="shared" si="187"/>
        <v>0</v>
      </c>
      <c r="AM123" s="38">
        <f t="shared" si="187"/>
        <v>0</v>
      </c>
      <c r="AN123" s="38">
        <f t="shared" si="187"/>
        <v>0</v>
      </c>
      <c r="AO123" s="38">
        <f t="shared" si="187"/>
        <v>0</v>
      </c>
      <c r="AP123" s="38">
        <f t="shared" si="187"/>
        <v>0</v>
      </c>
      <c r="AQ123" s="38">
        <f t="shared" si="187"/>
        <v>0</v>
      </c>
      <c r="AR123" s="38">
        <f t="shared" si="187"/>
        <v>0</v>
      </c>
      <c r="AS123" s="38">
        <f t="shared" si="187"/>
        <v>0</v>
      </c>
      <c r="AT123" s="38">
        <f t="shared" si="187"/>
        <v>0</v>
      </c>
      <c r="AU123" s="38">
        <f t="shared" si="187"/>
        <v>0</v>
      </c>
      <c r="AV123" s="38">
        <f t="shared" si="187"/>
        <v>0</v>
      </c>
      <c r="AW123" s="38">
        <f t="shared" si="187"/>
        <v>0</v>
      </c>
      <c r="AX123" s="38">
        <f t="shared" si="187"/>
        <v>0</v>
      </c>
      <c r="AY123" s="38">
        <f t="shared" si="187"/>
        <v>0</v>
      </c>
      <c r="AZ123" s="38">
        <f t="shared" si="187"/>
        <v>0</v>
      </c>
      <c r="BA123" s="30"/>
      <c r="BB123" s="38">
        <f t="shared" ref="BB123:CT123" si="188">SUM(BB122:BB122)</f>
        <v>421.13392857142856</v>
      </c>
      <c r="BC123" s="38">
        <f t="shared" si="188"/>
        <v>0</v>
      </c>
      <c r="BD123" s="38">
        <f t="shared" si="188"/>
        <v>0</v>
      </c>
      <c r="BE123" s="38">
        <f t="shared" si="188"/>
        <v>0</v>
      </c>
      <c r="BF123" s="38">
        <f t="shared" si="188"/>
        <v>0</v>
      </c>
      <c r="BG123" s="38">
        <f t="shared" si="188"/>
        <v>0</v>
      </c>
      <c r="BH123" s="38">
        <f t="shared" si="188"/>
        <v>0</v>
      </c>
      <c r="BI123" s="38">
        <f t="shared" si="188"/>
        <v>0</v>
      </c>
      <c r="BJ123" s="38">
        <f t="shared" si="188"/>
        <v>0</v>
      </c>
      <c r="BK123" s="38">
        <f t="shared" si="188"/>
        <v>0</v>
      </c>
      <c r="BL123" s="38">
        <f t="shared" si="188"/>
        <v>0</v>
      </c>
      <c r="BM123" s="38">
        <f t="shared" si="188"/>
        <v>0</v>
      </c>
      <c r="BN123" s="38">
        <f t="shared" si="188"/>
        <v>0</v>
      </c>
      <c r="BO123" s="38">
        <f t="shared" si="188"/>
        <v>0</v>
      </c>
      <c r="BP123" s="38">
        <f t="shared" si="188"/>
        <v>0</v>
      </c>
      <c r="BQ123" s="38">
        <f t="shared" si="188"/>
        <v>0</v>
      </c>
      <c r="BR123" s="38">
        <f t="shared" si="188"/>
        <v>0</v>
      </c>
      <c r="BS123" s="38">
        <f t="shared" si="188"/>
        <v>0</v>
      </c>
      <c r="BT123" s="38">
        <f t="shared" si="188"/>
        <v>0</v>
      </c>
      <c r="BU123" s="38">
        <f t="shared" si="188"/>
        <v>0</v>
      </c>
      <c r="BV123" s="38">
        <f t="shared" si="188"/>
        <v>0</v>
      </c>
      <c r="BW123" s="38">
        <f t="shared" si="188"/>
        <v>0</v>
      </c>
      <c r="BX123" s="38">
        <f t="shared" si="188"/>
        <v>0</v>
      </c>
      <c r="BY123" s="38">
        <f t="shared" si="188"/>
        <v>0</v>
      </c>
      <c r="BZ123" s="38">
        <f t="shared" si="188"/>
        <v>0</v>
      </c>
      <c r="CA123" s="38">
        <f t="shared" si="188"/>
        <v>0</v>
      </c>
      <c r="CB123" s="38">
        <f t="shared" si="188"/>
        <v>0</v>
      </c>
      <c r="CC123" s="38">
        <f t="shared" si="188"/>
        <v>0</v>
      </c>
      <c r="CD123" s="38">
        <f t="shared" si="188"/>
        <v>0</v>
      </c>
      <c r="CE123" s="38">
        <f t="shared" si="188"/>
        <v>0</v>
      </c>
      <c r="CF123" s="38">
        <f t="shared" si="188"/>
        <v>0</v>
      </c>
      <c r="CG123" s="38">
        <f t="shared" si="188"/>
        <v>0</v>
      </c>
      <c r="CH123" s="38">
        <f t="shared" si="188"/>
        <v>0</v>
      </c>
      <c r="CI123" s="38">
        <f t="shared" si="188"/>
        <v>0</v>
      </c>
      <c r="CJ123" s="38">
        <f t="shared" si="188"/>
        <v>0</v>
      </c>
      <c r="CK123" s="38">
        <f t="shared" si="188"/>
        <v>0</v>
      </c>
      <c r="CL123" s="38">
        <f t="shared" si="188"/>
        <v>0</v>
      </c>
      <c r="CM123" s="38">
        <f t="shared" si="188"/>
        <v>0</v>
      </c>
      <c r="CN123" s="38">
        <f t="shared" si="188"/>
        <v>0</v>
      </c>
      <c r="CO123" s="38">
        <f t="shared" si="188"/>
        <v>0</v>
      </c>
      <c r="CP123" s="38">
        <f t="shared" si="188"/>
        <v>0</v>
      </c>
      <c r="CQ123" s="38">
        <f t="shared" si="188"/>
        <v>0</v>
      </c>
      <c r="CR123" s="38">
        <f t="shared" si="188"/>
        <v>0</v>
      </c>
      <c r="CS123" s="38">
        <f t="shared" si="188"/>
        <v>0</v>
      </c>
      <c r="CT123" s="38">
        <f t="shared" si="188"/>
        <v>0</v>
      </c>
      <c r="CU123" s="17">
        <f t="shared" si="170"/>
        <v>467</v>
      </c>
      <c r="CV123" s="25">
        <f t="shared" si="171"/>
        <v>0</v>
      </c>
      <c r="CW123" s="40"/>
      <c r="CX123" s="30"/>
      <c r="CY123" s="30"/>
    </row>
    <row r="124" spans="1:103" x14ac:dyDescent="0.2">
      <c r="A124" s="2">
        <v>45876</v>
      </c>
      <c r="B124" s="3" t="s">
        <v>209</v>
      </c>
      <c r="C124" s="4" t="s">
        <v>517</v>
      </c>
      <c r="D124" s="5" t="s">
        <v>210</v>
      </c>
      <c r="E124" s="6" t="s">
        <v>230</v>
      </c>
      <c r="F124" s="7"/>
      <c r="G124" s="8"/>
      <c r="H124" s="9" t="s">
        <v>231</v>
      </c>
      <c r="I124" s="10"/>
      <c r="J124" s="11" t="s">
        <v>232</v>
      </c>
      <c r="K124" s="12">
        <v>1</v>
      </c>
      <c r="L124" s="13">
        <v>329</v>
      </c>
      <c r="M124" s="14">
        <f t="shared" ref="M124" si="189">L124*K124</f>
        <v>329</v>
      </c>
      <c r="N124" s="15"/>
      <c r="O124" s="16" t="s">
        <v>136</v>
      </c>
      <c r="P124" s="17"/>
      <c r="Q124" s="18"/>
      <c r="R124" s="5"/>
      <c r="S124" s="19"/>
      <c r="T124" s="19"/>
      <c r="U124" s="19"/>
      <c r="V124" s="19"/>
      <c r="W124" s="17"/>
      <c r="X124" s="20"/>
      <c r="Y124" s="19"/>
      <c r="Z124" s="19"/>
      <c r="AA124" s="19"/>
      <c r="AB124" s="19"/>
      <c r="AC124" s="19"/>
      <c r="AD124" s="19"/>
      <c r="AE124" s="5"/>
      <c r="AF124" s="19"/>
      <c r="AG124" s="5"/>
      <c r="AH124" s="17"/>
      <c r="AI124" s="19"/>
      <c r="AJ124" s="19"/>
      <c r="AK124" s="19"/>
      <c r="AL124" s="19"/>
      <c r="AM124" s="17"/>
      <c r="AN124" s="19"/>
      <c r="AO124" s="19"/>
      <c r="AP124" s="19"/>
      <c r="AQ124" s="19"/>
      <c r="AR124" s="19"/>
      <c r="AS124" s="21"/>
      <c r="AT124" s="5"/>
      <c r="AU124" s="19"/>
      <c r="AV124" s="5"/>
      <c r="AW124" s="22"/>
      <c r="AX124" s="19"/>
      <c r="AY124" s="5"/>
      <c r="AZ124" s="19"/>
      <c r="BA124" s="5"/>
      <c r="BB124" s="5"/>
      <c r="BC124" s="19"/>
      <c r="BD124" s="19"/>
      <c r="BE124" s="19"/>
      <c r="BF124" s="19"/>
      <c r="BG124" s="19"/>
      <c r="BH124" s="19"/>
      <c r="BI124" s="19"/>
      <c r="BJ124" s="19"/>
      <c r="BK124" s="13"/>
      <c r="BL124" s="5"/>
      <c r="BM124" s="5"/>
      <c r="BN124" s="19"/>
      <c r="BO124" s="17">
        <f>M124+P124-Q124</f>
        <v>329</v>
      </c>
      <c r="BP124" s="19"/>
      <c r="BQ124" s="17"/>
      <c r="BR124" s="19"/>
      <c r="BS124" s="13"/>
      <c r="BT124" s="5"/>
      <c r="BU124" s="23"/>
      <c r="BV124" s="23"/>
      <c r="BW124" s="24"/>
      <c r="BX124" s="5"/>
      <c r="BY124" s="5"/>
      <c r="BZ124" s="5"/>
      <c r="CA124" s="24"/>
      <c r="CB124" s="24"/>
      <c r="CC124" s="24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>
        <f t="shared" si="170"/>
        <v>329</v>
      </c>
      <c r="CV124" s="25">
        <f t="shared" si="171"/>
        <v>0</v>
      </c>
      <c r="CW124" s="26"/>
      <c r="CX124" s="5"/>
      <c r="CY124" s="5"/>
    </row>
    <row r="125" spans="1:103" x14ac:dyDescent="0.2">
      <c r="A125" s="27"/>
      <c r="B125" s="28"/>
      <c r="C125" s="29"/>
      <c r="D125" s="30"/>
      <c r="E125" s="31"/>
      <c r="F125" s="32"/>
      <c r="G125" s="33"/>
      <c r="H125" s="34"/>
      <c r="I125" s="34"/>
      <c r="J125" s="35"/>
      <c r="K125" s="36"/>
      <c r="L125" s="37"/>
      <c r="M125" s="38">
        <f>SUM(M124:M124)</f>
        <v>329</v>
      </c>
      <c r="N125" s="38"/>
      <c r="O125" s="39" t="s">
        <v>137</v>
      </c>
      <c r="P125" s="38"/>
      <c r="Q125" s="38"/>
      <c r="R125" s="30"/>
      <c r="S125" s="38">
        <f t="shared" ref="S125:AD125" si="190">SUM(S124:S124)</f>
        <v>0</v>
      </c>
      <c r="T125" s="38">
        <f t="shared" si="190"/>
        <v>0</v>
      </c>
      <c r="U125" s="38">
        <f t="shared" si="190"/>
        <v>0</v>
      </c>
      <c r="V125" s="38">
        <f t="shared" si="190"/>
        <v>0</v>
      </c>
      <c r="W125" s="38">
        <f t="shared" si="190"/>
        <v>0</v>
      </c>
      <c r="X125" s="38">
        <f t="shared" si="190"/>
        <v>0</v>
      </c>
      <c r="Y125" s="38">
        <f t="shared" si="190"/>
        <v>0</v>
      </c>
      <c r="Z125" s="38">
        <f t="shared" si="190"/>
        <v>0</v>
      </c>
      <c r="AA125" s="38">
        <f t="shared" si="190"/>
        <v>0</v>
      </c>
      <c r="AB125" s="38">
        <f t="shared" si="190"/>
        <v>0</v>
      </c>
      <c r="AC125" s="38">
        <f t="shared" si="190"/>
        <v>0</v>
      </c>
      <c r="AD125" s="38">
        <f t="shared" si="190"/>
        <v>0</v>
      </c>
      <c r="AE125" s="30"/>
      <c r="AF125" s="38">
        <f>SUM(AF124:AF124)</f>
        <v>0</v>
      </c>
      <c r="AG125" s="30"/>
      <c r="AH125" s="38">
        <f t="shared" ref="AH125:AZ125" si="191">SUM(AH124:AH124)</f>
        <v>0</v>
      </c>
      <c r="AI125" s="38">
        <f t="shared" si="191"/>
        <v>0</v>
      </c>
      <c r="AJ125" s="38">
        <f t="shared" si="191"/>
        <v>0</v>
      </c>
      <c r="AK125" s="38">
        <f t="shared" si="191"/>
        <v>0</v>
      </c>
      <c r="AL125" s="38">
        <f t="shared" si="191"/>
        <v>0</v>
      </c>
      <c r="AM125" s="38">
        <f t="shared" si="191"/>
        <v>0</v>
      </c>
      <c r="AN125" s="38">
        <f t="shared" si="191"/>
        <v>0</v>
      </c>
      <c r="AO125" s="38">
        <f t="shared" si="191"/>
        <v>0</v>
      </c>
      <c r="AP125" s="38">
        <f t="shared" si="191"/>
        <v>0</v>
      </c>
      <c r="AQ125" s="38">
        <f t="shared" si="191"/>
        <v>0</v>
      </c>
      <c r="AR125" s="38">
        <f t="shared" si="191"/>
        <v>0</v>
      </c>
      <c r="AS125" s="38">
        <f t="shared" si="191"/>
        <v>0</v>
      </c>
      <c r="AT125" s="38">
        <f t="shared" si="191"/>
        <v>0</v>
      </c>
      <c r="AU125" s="38">
        <f t="shared" si="191"/>
        <v>0</v>
      </c>
      <c r="AV125" s="38">
        <f t="shared" si="191"/>
        <v>0</v>
      </c>
      <c r="AW125" s="38">
        <f t="shared" si="191"/>
        <v>0</v>
      </c>
      <c r="AX125" s="38">
        <f t="shared" si="191"/>
        <v>0</v>
      </c>
      <c r="AY125" s="38">
        <f t="shared" si="191"/>
        <v>0</v>
      </c>
      <c r="AZ125" s="38">
        <f t="shared" si="191"/>
        <v>0</v>
      </c>
      <c r="BA125" s="30"/>
      <c r="BB125" s="38">
        <f t="shared" ref="BB125:CT125" si="192">SUM(BB124:BB124)</f>
        <v>0</v>
      </c>
      <c r="BC125" s="38">
        <f t="shared" si="192"/>
        <v>0</v>
      </c>
      <c r="BD125" s="38">
        <f t="shared" si="192"/>
        <v>0</v>
      </c>
      <c r="BE125" s="38">
        <f t="shared" si="192"/>
        <v>0</v>
      </c>
      <c r="BF125" s="38">
        <f t="shared" si="192"/>
        <v>0</v>
      </c>
      <c r="BG125" s="38">
        <f t="shared" si="192"/>
        <v>0</v>
      </c>
      <c r="BH125" s="38">
        <f t="shared" si="192"/>
        <v>0</v>
      </c>
      <c r="BI125" s="38">
        <f t="shared" si="192"/>
        <v>0</v>
      </c>
      <c r="BJ125" s="38">
        <f t="shared" si="192"/>
        <v>0</v>
      </c>
      <c r="BK125" s="38">
        <f t="shared" si="192"/>
        <v>0</v>
      </c>
      <c r="BL125" s="38">
        <f t="shared" si="192"/>
        <v>0</v>
      </c>
      <c r="BM125" s="38">
        <f t="shared" si="192"/>
        <v>0</v>
      </c>
      <c r="BN125" s="38">
        <f t="shared" si="192"/>
        <v>0</v>
      </c>
      <c r="BO125" s="38">
        <f t="shared" si="192"/>
        <v>329</v>
      </c>
      <c r="BP125" s="38">
        <f t="shared" si="192"/>
        <v>0</v>
      </c>
      <c r="BQ125" s="38">
        <f t="shared" si="192"/>
        <v>0</v>
      </c>
      <c r="BR125" s="38">
        <f t="shared" si="192"/>
        <v>0</v>
      </c>
      <c r="BS125" s="38">
        <f t="shared" si="192"/>
        <v>0</v>
      </c>
      <c r="BT125" s="38">
        <f t="shared" si="192"/>
        <v>0</v>
      </c>
      <c r="BU125" s="38">
        <f t="shared" si="192"/>
        <v>0</v>
      </c>
      <c r="BV125" s="38">
        <f t="shared" si="192"/>
        <v>0</v>
      </c>
      <c r="BW125" s="38">
        <f t="shared" si="192"/>
        <v>0</v>
      </c>
      <c r="BX125" s="38">
        <f t="shared" si="192"/>
        <v>0</v>
      </c>
      <c r="BY125" s="38">
        <f t="shared" si="192"/>
        <v>0</v>
      </c>
      <c r="BZ125" s="38">
        <f t="shared" si="192"/>
        <v>0</v>
      </c>
      <c r="CA125" s="38">
        <f t="shared" si="192"/>
        <v>0</v>
      </c>
      <c r="CB125" s="38">
        <f t="shared" si="192"/>
        <v>0</v>
      </c>
      <c r="CC125" s="38">
        <f t="shared" si="192"/>
        <v>0</v>
      </c>
      <c r="CD125" s="38">
        <f t="shared" si="192"/>
        <v>0</v>
      </c>
      <c r="CE125" s="38">
        <f t="shared" si="192"/>
        <v>0</v>
      </c>
      <c r="CF125" s="38">
        <f t="shared" si="192"/>
        <v>0</v>
      </c>
      <c r="CG125" s="38">
        <f t="shared" si="192"/>
        <v>0</v>
      </c>
      <c r="CH125" s="38">
        <f t="shared" si="192"/>
        <v>0</v>
      </c>
      <c r="CI125" s="38">
        <f t="shared" si="192"/>
        <v>0</v>
      </c>
      <c r="CJ125" s="38">
        <f t="shared" si="192"/>
        <v>0</v>
      </c>
      <c r="CK125" s="38">
        <f t="shared" si="192"/>
        <v>0</v>
      </c>
      <c r="CL125" s="38">
        <f t="shared" si="192"/>
        <v>0</v>
      </c>
      <c r="CM125" s="38">
        <f t="shared" si="192"/>
        <v>0</v>
      </c>
      <c r="CN125" s="38">
        <f t="shared" si="192"/>
        <v>0</v>
      </c>
      <c r="CO125" s="38">
        <f t="shared" si="192"/>
        <v>0</v>
      </c>
      <c r="CP125" s="38">
        <f t="shared" si="192"/>
        <v>0</v>
      </c>
      <c r="CQ125" s="38">
        <f t="shared" si="192"/>
        <v>0</v>
      </c>
      <c r="CR125" s="38">
        <f t="shared" si="192"/>
        <v>0</v>
      </c>
      <c r="CS125" s="38">
        <f t="shared" si="192"/>
        <v>0</v>
      </c>
      <c r="CT125" s="38">
        <f t="shared" si="192"/>
        <v>0</v>
      </c>
      <c r="CU125" s="17">
        <f t="shared" si="170"/>
        <v>329</v>
      </c>
      <c r="CV125" s="25">
        <f t="shared" si="171"/>
        <v>0</v>
      </c>
      <c r="CW125" s="40"/>
      <c r="CX125" s="30"/>
      <c r="CY125" s="30"/>
    </row>
    <row r="126" spans="1:103" x14ac:dyDescent="0.2">
      <c r="A126" s="2">
        <v>45876</v>
      </c>
      <c r="B126" s="3" t="s">
        <v>209</v>
      </c>
      <c r="C126" s="4" t="s">
        <v>518</v>
      </c>
      <c r="D126" s="5" t="s">
        <v>210</v>
      </c>
      <c r="E126" s="6" t="s">
        <v>234</v>
      </c>
      <c r="F126" s="7"/>
      <c r="G126" s="8"/>
      <c r="H126" s="9" t="s">
        <v>235</v>
      </c>
      <c r="I126" s="10"/>
      <c r="J126" s="11" t="s">
        <v>232</v>
      </c>
      <c r="K126" s="12">
        <v>1</v>
      </c>
      <c r="L126" s="13">
        <v>281</v>
      </c>
      <c r="M126" s="14">
        <f t="shared" ref="M126" si="193">L126*K126</f>
        <v>281</v>
      </c>
      <c r="N126" s="15"/>
      <c r="O126" s="16" t="s">
        <v>136</v>
      </c>
      <c r="P126" s="17"/>
      <c r="Q126" s="18"/>
      <c r="R126" s="5"/>
      <c r="S126" s="19"/>
      <c r="T126" s="19"/>
      <c r="U126" s="19"/>
      <c r="V126" s="19"/>
      <c r="W126" s="17"/>
      <c r="X126" s="20"/>
      <c r="Y126" s="19"/>
      <c r="Z126" s="19"/>
      <c r="AA126" s="19"/>
      <c r="AB126" s="19"/>
      <c r="AC126" s="19"/>
      <c r="AD126" s="19"/>
      <c r="AE126" s="5"/>
      <c r="AF126" s="19"/>
      <c r="AG126" s="5"/>
      <c r="AH126" s="17"/>
      <c r="AI126" s="19"/>
      <c r="AJ126" s="19"/>
      <c r="AK126" s="19"/>
      <c r="AL126" s="19"/>
      <c r="AM126" s="17"/>
      <c r="AN126" s="19"/>
      <c r="AO126" s="19"/>
      <c r="AP126" s="19"/>
      <c r="AQ126" s="19"/>
      <c r="AR126" s="19"/>
      <c r="AS126" s="21"/>
      <c r="AT126" s="5"/>
      <c r="AU126" s="19"/>
      <c r="AV126" s="5"/>
      <c r="AW126" s="22"/>
      <c r="AX126" s="19"/>
      <c r="AY126" s="5"/>
      <c r="AZ126" s="19"/>
      <c r="BA126" s="5"/>
      <c r="BB126" s="5"/>
      <c r="BC126" s="19"/>
      <c r="BD126" s="19"/>
      <c r="BE126" s="19"/>
      <c r="BF126" s="19"/>
      <c r="BG126" s="19"/>
      <c r="BH126" s="19"/>
      <c r="BI126" s="19"/>
      <c r="BJ126" s="19"/>
      <c r="BK126" s="13"/>
      <c r="BL126" s="5"/>
      <c r="BM126" s="5"/>
      <c r="BN126" s="19"/>
      <c r="BO126" s="17">
        <f>M126+P126-Q126</f>
        <v>281</v>
      </c>
      <c r="BP126" s="19"/>
      <c r="BQ126" s="17"/>
      <c r="BR126" s="19"/>
      <c r="BS126" s="13"/>
      <c r="BT126" s="5"/>
      <c r="BU126" s="23"/>
      <c r="BV126" s="23"/>
      <c r="BW126" s="24"/>
      <c r="BX126" s="5"/>
      <c r="BY126" s="5"/>
      <c r="BZ126" s="5"/>
      <c r="CA126" s="24"/>
      <c r="CB126" s="24"/>
      <c r="CC126" s="24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>
        <f t="shared" si="170"/>
        <v>281</v>
      </c>
      <c r="CV126" s="25">
        <f t="shared" si="171"/>
        <v>0</v>
      </c>
      <c r="CW126" s="26"/>
      <c r="CX126" s="5"/>
      <c r="CY126" s="5"/>
    </row>
    <row r="127" spans="1:103" x14ac:dyDescent="0.2">
      <c r="A127" s="27"/>
      <c r="B127" s="28"/>
      <c r="C127" s="29"/>
      <c r="D127" s="30"/>
      <c r="E127" s="31"/>
      <c r="F127" s="32"/>
      <c r="G127" s="33"/>
      <c r="H127" s="34"/>
      <c r="I127" s="34"/>
      <c r="J127" s="35"/>
      <c r="K127" s="36"/>
      <c r="L127" s="37"/>
      <c r="M127" s="38">
        <f>SUM(M126:M126)</f>
        <v>281</v>
      </c>
      <c r="N127" s="38"/>
      <c r="O127" s="39" t="s">
        <v>137</v>
      </c>
      <c r="P127" s="38">
        <f>SUM(P126:P126)</f>
        <v>0</v>
      </c>
      <c r="Q127" s="38">
        <f>SUM(Q126:Q126)</f>
        <v>0</v>
      </c>
      <c r="R127" s="30"/>
      <c r="S127" s="38">
        <f t="shared" ref="S127:AD127" si="194">SUM(S126:S126)</f>
        <v>0</v>
      </c>
      <c r="T127" s="38">
        <f t="shared" si="194"/>
        <v>0</v>
      </c>
      <c r="U127" s="38">
        <f t="shared" si="194"/>
        <v>0</v>
      </c>
      <c r="V127" s="38">
        <f t="shared" si="194"/>
        <v>0</v>
      </c>
      <c r="W127" s="38">
        <f t="shared" si="194"/>
        <v>0</v>
      </c>
      <c r="X127" s="38">
        <f t="shared" si="194"/>
        <v>0</v>
      </c>
      <c r="Y127" s="38">
        <f t="shared" si="194"/>
        <v>0</v>
      </c>
      <c r="Z127" s="38">
        <f t="shared" si="194"/>
        <v>0</v>
      </c>
      <c r="AA127" s="38">
        <f t="shared" si="194"/>
        <v>0</v>
      </c>
      <c r="AB127" s="38">
        <f t="shared" si="194"/>
        <v>0</v>
      </c>
      <c r="AC127" s="38">
        <f t="shared" si="194"/>
        <v>0</v>
      </c>
      <c r="AD127" s="38">
        <f t="shared" si="194"/>
        <v>0</v>
      </c>
      <c r="AE127" s="30"/>
      <c r="AF127" s="38">
        <f>SUM(AF126:AF126)</f>
        <v>0</v>
      </c>
      <c r="AG127" s="30"/>
      <c r="AH127" s="38">
        <f t="shared" ref="AH127:AZ127" si="195">SUM(AH126:AH126)</f>
        <v>0</v>
      </c>
      <c r="AI127" s="38">
        <f t="shared" si="195"/>
        <v>0</v>
      </c>
      <c r="AJ127" s="38">
        <f t="shared" si="195"/>
        <v>0</v>
      </c>
      <c r="AK127" s="38">
        <f t="shared" si="195"/>
        <v>0</v>
      </c>
      <c r="AL127" s="38">
        <f t="shared" si="195"/>
        <v>0</v>
      </c>
      <c r="AM127" s="38">
        <f t="shared" si="195"/>
        <v>0</v>
      </c>
      <c r="AN127" s="38">
        <f t="shared" si="195"/>
        <v>0</v>
      </c>
      <c r="AO127" s="38">
        <f t="shared" si="195"/>
        <v>0</v>
      </c>
      <c r="AP127" s="38">
        <f t="shared" si="195"/>
        <v>0</v>
      </c>
      <c r="AQ127" s="38">
        <f t="shared" si="195"/>
        <v>0</v>
      </c>
      <c r="AR127" s="38">
        <f t="shared" si="195"/>
        <v>0</v>
      </c>
      <c r="AS127" s="38">
        <f t="shared" si="195"/>
        <v>0</v>
      </c>
      <c r="AT127" s="38">
        <f t="shared" si="195"/>
        <v>0</v>
      </c>
      <c r="AU127" s="38">
        <f t="shared" si="195"/>
        <v>0</v>
      </c>
      <c r="AV127" s="38">
        <f t="shared" si="195"/>
        <v>0</v>
      </c>
      <c r="AW127" s="38">
        <f t="shared" si="195"/>
        <v>0</v>
      </c>
      <c r="AX127" s="38">
        <f t="shared" si="195"/>
        <v>0</v>
      </c>
      <c r="AY127" s="38">
        <f t="shared" si="195"/>
        <v>0</v>
      </c>
      <c r="AZ127" s="38">
        <f t="shared" si="195"/>
        <v>0</v>
      </c>
      <c r="BA127" s="30"/>
      <c r="BB127" s="38">
        <f t="shared" ref="BB127:CT127" si="196">SUM(BB126:BB126)</f>
        <v>0</v>
      </c>
      <c r="BC127" s="38">
        <f t="shared" si="196"/>
        <v>0</v>
      </c>
      <c r="BD127" s="38">
        <f t="shared" si="196"/>
        <v>0</v>
      </c>
      <c r="BE127" s="38">
        <f t="shared" si="196"/>
        <v>0</v>
      </c>
      <c r="BF127" s="38">
        <f t="shared" si="196"/>
        <v>0</v>
      </c>
      <c r="BG127" s="38">
        <f t="shared" si="196"/>
        <v>0</v>
      </c>
      <c r="BH127" s="38">
        <f t="shared" si="196"/>
        <v>0</v>
      </c>
      <c r="BI127" s="38">
        <f t="shared" si="196"/>
        <v>0</v>
      </c>
      <c r="BJ127" s="38">
        <f t="shared" si="196"/>
        <v>0</v>
      </c>
      <c r="BK127" s="38">
        <f t="shared" si="196"/>
        <v>0</v>
      </c>
      <c r="BL127" s="38">
        <f t="shared" si="196"/>
        <v>0</v>
      </c>
      <c r="BM127" s="38">
        <f t="shared" si="196"/>
        <v>0</v>
      </c>
      <c r="BN127" s="38">
        <f t="shared" si="196"/>
        <v>0</v>
      </c>
      <c r="BO127" s="38">
        <f t="shared" si="196"/>
        <v>281</v>
      </c>
      <c r="BP127" s="38">
        <f t="shared" si="196"/>
        <v>0</v>
      </c>
      <c r="BQ127" s="38">
        <f t="shared" si="196"/>
        <v>0</v>
      </c>
      <c r="BR127" s="38">
        <f t="shared" si="196"/>
        <v>0</v>
      </c>
      <c r="BS127" s="38">
        <f t="shared" si="196"/>
        <v>0</v>
      </c>
      <c r="BT127" s="38">
        <f t="shared" si="196"/>
        <v>0</v>
      </c>
      <c r="BU127" s="38">
        <f t="shared" si="196"/>
        <v>0</v>
      </c>
      <c r="BV127" s="38">
        <f t="shared" si="196"/>
        <v>0</v>
      </c>
      <c r="BW127" s="38">
        <f t="shared" si="196"/>
        <v>0</v>
      </c>
      <c r="BX127" s="38">
        <f t="shared" si="196"/>
        <v>0</v>
      </c>
      <c r="BY127" s="38">
        <f t="shared" si="196"/>
        <v>0</v>
      </c>
      <c r="BZ127" s="38">
        <f t="shared" si="196"/>
        <v>0</v>
      </c>
      <c r="CA127" s="38">
        <f t="shared" si="196"/>
        <v>0</v>
      </c>
      <c r="CB127" s="38">
        <f t="shared" si="196"/>
        <v>0</v>
      </c>
      <c r="CC127" s="38">
        <f t="shared" si="196"/>
        <v>0</v>
      </c>
      <c r="CD127" s="38">
        <f t="shared" si="196"/>
        <v>0</v>
      </c>
      <c r="CE127" s="38">
        <f t="shared" si="196"/>
        <v>0</v>
      </c>
      <c r="CF127" s="38">
        <f t="shared" si="196"/>
        <v>0</v>
      </c>
      <c r="CG127" s="38">
        <f t="shared" si="196"/>
        <v>0</v>
      </c>
      <c r="CH127" s="38">
        <f t="shared" si="196"/>
        <v>0</v>
      </c>
      <c r="CI127" s="38">
        <f t="shared" si="196"/>
        <v>0</v>
      </c>
      <c r="CJ127" s="38">
        <f t="shared" si="196"/>
        <v>0</v>
      </c>
      <c r="CK127" s="38">
        <f t="shared" si="196"/>
        <v>0</v>
      </c>
      <c r="CL127" s="38">
        <f t="shared" si="196"/>
        <v>0</v>
      </c>
      <c r="CM127" s="38">
        <f t="shared" si="196"/>
        <v>0</v>
      </c>
      <c r="CN127" s="38">
        <f t="shared" si="196"/>
        <v>0</v>
      </c>
      <c r="CO127" s="38">
        <f t="shared" si="196"/>
        <v>0</v>
      </c>
      <c r="CP127" s="38">
        <f t="shared" si="196"/>
        <v>0</v>
      </c>
      <c r="CQ127" s="38">
        <f t="shared" si="196"/>
        <v>0</v>
      </c>
      <c r="CR127" s="38">
        <f t="shared" si="196"/>
        <v>0</v>
      </c>
      <c r="CS127" s="38">
        <f t="shared" si="196"/>
        <v>0</v>
      </c>
      <c r="CT127" s="38">
        <f t="shared" si="196"/>
        <v>0</v>
      </c>
      <c r="CU127" s="17">
        <f t="shared" si="170"/>
        <v>281</v>
      </c>
      <c r="CV127" s="25">
        <f t="shared" si="171"/>
        <v>0</v>
      </c>
      <c r="CW127" s="40"/>
      <c r="CX127" s="30"/>
      <c r="CY127" s="30"/>
    </row>
    <row r="128" spans="1:103" x14ac:dyDescent="0.2">
      <c r="A128" s="2">
        <v>45873</v>
      </c>
      <c r="B128" s="3" t="s">
        <v>209</v>
      </c>
      <c r="C128" s="4" t="s">
        <v>519</v>
      </c>
      <c r="D128" s="5" t="s">
        <v>210</v>
      </c>
      <c r="E128" s="6" t="s">
        <v>216</v>
      </c>
      <c r="F128" s="7"/>
      <c r="G128" s="8"/>
      <c r="H128" s="9"/>
      <c r="I128" s="10"/>
      <c r="J128" s="11" t="s">
        <v>217</v>
      </c>
      <c r="K128" s="12">
        <v>1</v>
      </c>
      <c r="L128" s="13">
        <v>600</v>
      </c>
      <c r="M128" s="14">
        <f t="shared" ref="M128" si="197">L128*K128</f>
        <v>600</v>
      </c>
      <c r="N128" s="15"/>
      <c r="O128" s="16" t="s">
        <v>137</v>
      </c>
      <c r="P128" s="17"/>
      <c r="Q128" s="18"/>
      <c r="R128" s="5"/>
      <c r="S128" s="19"/>
      <c r="T128" s="19"/>
      <c r="U128" s="19"/>
      <c r="V128" s="19"/>
      <c r="W128" s="17"/>
      <c r="X128" s="20"/>
      <c r="Y128" s="19"/>
      <c r="Z128" s="19"/>
      <c r="AA128" s="19"/>
      <c r="AB128" s="19"/>
      <c r="AC128" s="19"/>
      <c r="AD128" s="19"/>
      <c r="AE128" s="5"/>
      <c r="AF128" s="19"/>
      <c r="AG128" s="5"/>
      <c r="AH128" s="17"/>
      <c r="AI128" s="19"/>
      <c r="AJ128" s="19"/>
      <c r="AK128" s="19"/>
      <c r="AL128" s="19"/>
      <c r="AM128" s="17"/>
      <c r="AN128" s="19"/>
      <c r="AO128" s="19"/>
      <c r="AP128" s="19"/>
      <c r="AQ128" s="19"/>
      <c r="AR128" s="19"/>
      <c r="AS128" s="21"/>
      <c r="AT128" s="5"/>
      <c r="AU128" s="19"/>
      <c r="AV128" s="5"/>
      <c r="AW128" s="22"/>
      <c r="AX128" s="19"/>
      <c r="AY128" s="5"/>
      <c r="AZ128" s="19"/>
      <c r="BA128" s="5"/>
      <c r="BB128" s="5"/>
      <c r="BC128" s="19"/>
      <c r="BD128" s="19"/>
      <c r="BE128" s="19"/>
      <c r="BF128" s="19"/>
      <c r="BG128" s="19"/>
      <c r="BH128" s="19"/>
      <c r="BI128" s="19"/>
      <c r="BJ128" s="19"/>
      <c r="BK128" s="13"/>
      <c r="BL128" s="5"/>
      <c r="BM128" s="5"/>
      <c r="BN128" s="19"/>
      <c r="BO128" s="17"/>
      <c r="BP128" s="19"/>
      <c r="BQ128" s="17"/>
      <c r="BR128" s="19"/>
      <c r="BS128" s="17">
        <f>M128+P128-Q128</f>
        <v>600</v>
      </c>
      <c r="BT128" s="5"/>
      <c r="BU128" s="23"/>
      <c r="BV128" s="23"/>
      <c r="BW128" s="24"/>
      <c r="BX128" s="5"/>
      <c r="BY128" s="5"/>
      <c r="BZ128" s="5"/>
      <c r="CA128" s="24"/>
      <c r="CB128" s="24"/>
      <c r="CC128" s="24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>
        <f t="shared" si="170"/>
        <v>600</v>
      </c>
      <c r="CV128" s="25">
        <f t="shared" si="171"/>
        <v>0</v>
      </c>
      <c r="CW128" s="26"/>
      <c r="CX128" s="5"/>
      <c r="CY128" s="5"/>
    </row>
    <row r="129" spans="1:103" x14ac:dyDescent="0.2">
      <c r="A129" s="161"/>
      <c r="B129" s="162"/>
      <c r="C129" s="163"/>
      <c r="D129" s="164"/>
      <c r="E129" s="165"/>
      <c r="F129" s="166"/>
      <c r="G129" s="167"/>
      <c r="H129" s="168"/>
      <c r="I129" s="168"/>
      <c r="J129" s="169"/>
      <c r="K129" s="170"/>
      <c r="L129" s="171"/>
      <c r="M129" s="172">
        <f>SUM(M128:M128)</f>
        <v>600</v>
      </c>
      <c r="N129" s="172">
        <f>M129+M127+M125+M123+M121+M119+M113+M111</f>
        <v>4912.5</v>
      </c>
      <c r="O129" s="173" t="s">
        <v>137</v>
      </c>
      <c r="P129" s="172">
        <f>SUM(P128:P128)</f>
        <v>0</v>
      </c>
      <c r="Q129" s="172">
        <f>SUM(Q128:Q128)</f>
        <v>0</v>
      </c>
      <c r="R129" s="164"/>
      <c r="S129" s="172">
        <f t="shared" ref="S129:AD129" si="198">SUM(S128:S128)</f>
        <v>0</v>
      </c>
      <c r="T129" s="172">
        <f t="shared" si="198"/>
        <v>0</v>
      </c>
      <c r="U129" s="172">
        <f t="shared" si="198"/>
        <v>0</v>
      </c>
      <c r="V129" s="172">
        <f t="shared" si="198"/>
        <v>0</v>
      </c>
      <c r="W129" s="172">
        <f t="shared" si="198"/>
        <v>0</v>
      </c>
      <c r="X129" s="172">
        <f t="shared" si="198"/>
        <v>0</v>
      </c>
      <c r="Y129" s="172">
        <f t="shared" si="198"/>
        <v>0</v>
      </c>
      <c r="Z129" s="172">
        <f t="shared" si="198"/>
        <v>0</v>
      </c>
      <c r="AA129" s="172">
        <f t="shared" si="198"/>
        <v>0</v>
      </c>
      <c r="AB129" s="172">
        <f t="shared" si="198"/>
        <v>0</v>
      </c>
      <c r="AC129" s="172">
        <f t="shared" si="198"/>
        <v>0</v>
      </c>
      <c r="AD129" s="172">
        <f t="shared" si="198"/>
        <v>0</v>
      </c>
      <c r="AE129" s="164"/>
      <c r="AF129" s="172">
        <f>SUM(AF128:AF128)</f>
        <v>0</v>
      </c>
      <c r="AG129" s="164"/>
      <c r="AH129" s="172">
        <f t="shared" ref="AH129:AZ129" si="199">SUM(AH128:AH128)</f>
        <v>0</v>
      </c>
      <c r="AI129" s="172">
        <f t="shared" si="199"/>
        <v>0</v>
      </c>
      <c r="AJ129" s="172">
        <f t="shared" si="199"/>
        <v>0</v>
      </c>
      <c r="AK129" s="172">
        <f t="shared" si="199"/>
        <v>0</v>
      </c>
      <c r="AL129" s="172">
        <f t="shared" si="199"/>
        <v>0</v>
      </c>
      <c r="AM129" s="172">
        <f t="shared" si="199"/>
        <v>0</v>
      </c>
      <c r="AN129" s="172">
        <f t="shared" si="199"/>
        <v>0</v>
      </c>
      <c r="AO129" s="172">
        <f t="shared" si="199"/>
        <v>0</v>
      </c>
      <c r="AP129" s="172">
        <f t="shared" si="199"/>
        <v>0</v>
      </c>
      <c r="AQ129" s="172">
        <f t="shared" si="199"/>
        <v>0</v>
      </c>
      <c r="AR129" s="172">
        <f t="shared" si="199"/>
        <v>0</v>
      </c>
      <c r="AS129" s="172">
        <f t="shared" si="199"/>
        <v>0</v>
      </c>
      <c r="AT129" s="172">
        <f t="shared" si="199"/>
        <v>0</v>
      </c>
      <c r="AU129" s="172">
        <f t="shared" si="199"/>
        <v>0</v>
      </c>
      <c r="AV129" s="172">
        <f t="shared" si="199"/>
        <v>0</v>
      </c>
      <c r="AW129" s="172">
        <f t="shared" si="199"/>
        <v>0</v>
      </c>
      <c r="AX129" s="172">
        <f t="shared" si="199"/>
        <v>0</v>
      </c>
      <c r="AY129" s="172">
        <f t="shared" si="199"/>
        <v>0</v>
      </c>
      <c r="AZ129" s="172">
        <f t="shared" si="199"/>
        <v>0</v>
      </c>
      <c r="BA129" s="164"/>
      <c r="BB129" s="172">
        <f t="shared" ref="BB129:CT129" si="200">SUM(BB128:BB128)</f>
        <v>0</v>
      </c>
      <c r="BC129" s="172">
        <f t="shared" si="200"/>
        <v>0</v>
      </c>
      <c r="BD129" s="172">
        <f t="shared" si="200"/>
        <v>0</v>
      </c>
      <c r="BE129" s="172">
        <f t="shared" si="200"/>
        <v>0</v>
      </c>
      <c r="BF129" s="172">
        <f t="shared" si="200"/>
        <v>0</v>
      </c>
      <c r="BG129" s="172">
        <f t="shared" si="200"/>
        <v>0</v>
      </c>
      <c r="BH129" s="172">
        <f t="shared" si="200"/>
        <v>0</v>
      </c>
      <c r="BI129" s="172">
        <f t="shared" si="200"/>
        <v>0</v>
      </c>
      <c r="BJ129" s="172">
        <f t="shared" si="200"/>
        <v>0</v>
      </c>
      <c r="BK129" s="172">
        <f t="shared" si="200"/>
        <v>0</v>
      </c>
      <c r="BL129" s="172">
        <f t="shared" si="200"/>
        <v>0</v>
      </c>
      <c r="BM129" s="172">
        <f t="shared" si="200"/>
        <v>0</v>
      </c>
      <c r="BN129" s="172">
        <f t="shared" si="200"/>
        <v>0</v>
      </c>
      <c r="BO129" s="172">
        <f t="shared" si="200"/>
        <v>0</v>
      </c>
      <c r="BP129" s="172">
        <f t="shared" si="200"/>
        <v>0</v>
      </c>
      <c r="BQ129" s="172">
        <f t="shared" si="200"/>
        <v>0</v>
      </c>
      <c r="BR129" s="172">
        <f t="shared" si="200"/>
        <v>0</v>
      </c>
      <c r="BS129" s="172">
        <f t="shared" si="200"/>
        <v>600</v>
      </c>
      <c r="BT129" s="172">
        <f t="shared" si="200"/>
        <v>0</v>
      </c>
      <c r="BU129" s="172">
        <f t="shared" si="200"/>
        <v>0</v>
      </c>
      <c r="BV129" s="172">
        <f t="shared" si="200"/>
        <v>0</v>
      </c>
      <c r="BW129" s="172">
        <f t="shared" si="200"/>
        <v>0</v>
      </c>
      <c r="BX129" s="172">
        <f t="shared" si="200"/>
        <v>0</v>
      </c>
      <c r="BY129" s="172">
        <f t="shared" si="200"/>
        <v>0</v>
      </c>
      <c r="BZ129" s="172">
        <f t="shared" si="200"/>
        <v>0</v>
      </c>
      <c r="CA129" s="172">
        <f t="shared" si="200"/>
        <v>0</v>
      </c>
      <c r="CB129" s="172">
        <f t="shared" si="200"/>
        <v>0</v>
      </c>
      <c r="CC129" s="172">
        <f t="shared" si="200"/>
        <v>0</v>
      </c>
      <c r="CD129" s="172">
        <f t="shared" si="200"/>
        <v>0</v>
      </c>
      <c r="CE129" s="172">
        <f t="shared" si="200"/>
        <v>0</v>
      </c>
      <c r="CF129" s="172">
        <f t="shared" si="200"/>
        <v>0</v>
      </c>
      <c r="CG129" s="172">
        <f t="shared" si="200"/>
        <v>0</v>
      </c>
      <c r="CH129" s="172">
        <f t="shared" si="200"/>
        <v>0</v>
      </c>
      <c r="CI129" s="172">
        <f t="shared" si="200"/>
        <v>0</v>
      </c>
      <c r="CJ129" s="172">
        <f t="shared" si="200"/>
        <v>0</v>
      </c>
      <c r="CK129" s="172">
        <f t="shared" si="200"/>
        <v>0</v>
      </c>
      <c r="CL129" s="172">
        <f t="shared" si="200"/>
        <v>0</v>
      </c>
      <c r="CM129" s="172">
        <f t="shared" si="200"/>
        <v>0</v>
      </c>
      <c r="CN129" s="172">
        <f t="shared" si="200"/>
        <v>0</v>
      </c>
      <c r="CO129" s="172">
        <f t="shared" si="200"/>
        <v>0</v>
      </c>
      <c r="CP129" s="172">
        <f t="shared" si="200"/>
        <v>0</v>
      </c>
      <c r="CQ129" s="172">
        <f t="shared" si="200"/>
        <v>0</v>
      </c>
      <c r="CR129" s="172">
        <f t="shared" si="200"/>
        <v>0</v>
      </c>
      <c r="CS129" s="172">
        <f t="shared" si="200"/>
        <v>0</v>
      </c>
      <c r="CT129" s="172">
        <f t="shared" si="200"/>
        <v>0</v>
      </c>
      <c r="CU129" s="17">
        <f t="shared" si="170"/>
        <v>600</v>
      </c>
      <c r="CV129" s="25">
        <f t="shared" si="171"/>
        <v>0</v>
      </c>
      <c r="CW129" s="176"/>
      <c r="CX129" s="164"/>
      <c r="CY129" s="164"/>
    </row>
    <row r="130" spans="1:103" x14ac:dyDescent="0.2">
      <c r="A130" s="2">
        <v>45881</v>
      </c>
      <c r="B130" s="3" t="s">
        <v>237</v>
      </c>
      <c r="C130" s="4" t="s">
        <v>520</v>
      </c>
      <c r="D130" s="5" t="s">
        <v>122</v>
      </c>
      <c r="E130" s="6" t="s">
        <v>238</v>
      </c>
      <c r="F130" s="7" t="s">
        <v>224</v>
      </c>
      <c r="G130" s="8" t="s">
        <v>239</v>
      </c>
      <c r="H130" s="9">
        <v>7297</v>
      </c>
      <c r="I130" s="10"/>
      <c r="J130" s="11" t="s">
        <v>240</v>
      </c>
      <c r="K130" s="12">
        <v>1</v>
      </c>
      <c r="L130" s="13">
        <v>125</v>
      </c>
      <c r="M130" s="14">
        <f t="shared" ref="M130" si="201">L130*K130</f>
        <v>125</v>
      </c>
      <c r="N130" s="15"/>
      <c r="O130" s="16" t="s">
        <v>137</v>
      </c>
      <c r="P130" s="17">
        <f>M130*0.01</f>
        <v>1.25</v>
      </c>
      <c r="Q130" s="18"/>
      <c r="R130" s="5"/>
      <c r="S130" s="19"/>
      <c r="T130" s="19"/>
      <c r="U130" s="19"/>
      <c r="V130" s="19"/>
      <c r="W130" s="17"/>
      <c r="X130" s="20"/>
      <c r="Y130" s="19"/>
      <c r="Z130" s="19"/>
      <c r="AA130" s="19"/>
      <c r="AB130" s="19"/>
      <c r="AC130" s="19"/>
      <c r="AD130" s="19"/>
      <c r="AE130" s="5"/>
      <c r="AF130" s="19"/>
      <c r="AG130" s="5"/>
      <c r="AH130" s="17"/>
      <c r="AI130" s="19"/>
      <c r="AJ130" s="19"/>
      <c r="AK130" s="19"/>
      <c r="AL130" s="19"/>
      <c r="AM130" s="17"/>
      <c r="AN130" s="19"/>
      <c r="AO130" s="19"/>
      <c r="AP130" s="19"/>
      <c r="AQ130" s="19"/>
      <c r="AR130" s="19"/>
      <c r="AS130" s="21"/>
      <c r="AT130" s="5"/>
      <c r="AU130" s="19"/>
      <c r="AV130" s="5"/>
      <c r="AW130" s="22"/>
      <c r="AX130" s="19"/>
      <c r="AY130" s="5"/>
      <c r="AZ130" s="19"/>
      <c r="BA130" s="5"/>
      <c r="BB130" s="5"/>
      <c r="BC130" s="17">
        <f>M130+P130-Q130</f>
        <v>126.25</v>
      </c>
      <c r="BD130" s="19"/>
      <c r="BE130" s="19"/>
      <c r="BF130" s="19"/>
      <c r="BG130" s="19"/>
      <c r="BH130" s="19"/>
      <c r="BI130" s="19"/>
      <c r="BJ130" s="19"/>
      <c r="BK130" s="13"/>
      <c r="BL130" s="5"/>
      <c r="BM130" s="5"/>
      <c r="BN130" s="19"/>
      <c r="BO130" s="17"/>
      <c r="BP130" s="19"/>
      <c r="BQ130" s="17"/>
      <c r="BR130" s="19"/>
      <c r="BS130" s="13"/>
      <c r="BT130" s="5"/>
      <c r="BU130" s="23"/>
      <c r="BV130" s="23"/>
      <c r="BW130" s="24"/>
      <c r="BX130" s="5"/>
      <c r="BY130" s="5"/>
      <c r="BZ130" s="5"/>
      <c r="CA130" s="24"/>
      <c r="CB130" s="24"/>
      <c r="CC130" s="24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>
        <f t="shared" si="170"/>
        <v>125</v>
      </c>
      <c r="CV130" s="25">
        <f t="shared" si="171"/>
        <v>0</v>
      </c>
      <c r="CW130" s="26"/>
      <c r="CX130" s="5"/>
      <c r="CY130" s="5"/>
    </row>
    <row r="131" spans="1:103" x14ac:dyDescent="0.2">
      <c r="A131" s="27"/>
      <c r="B131" s="28"/>
      <c r="C131" s="29"/>
      <c r="D131" s="30"/>
      <c r="E131" s="31"/>
      <c r="F131" s="32"/>
      <c r="G131" s="33"/>
      <c r="H131" s="34"/>
      <c r="I131" s="34"/>
      <c r="J131" s="35"/>
      <c r="K131" s="36"/>
      <c r="L131" s="37"/>
      <c r="M131" s="38">
        <f>SUM(M130:M130)</f>
        <v>125</v>
      </c>
      <c r="N131" s="38"/>
      <c r="O131" s="39" t="s">
        <v>137</v>
      </c>
      <c r="P131" s="38">
        <f>SUM(P130:P130)</f>
        <v>1.25</v>
      </c>
      <c r="Q131" s="38">
        <f>SUM(Q130:Q130)</f>
        <v>0</v>
      </c>
      <c r="R131" s="30"/>
      <c r="S131" s="38">
        <f t="shared" ref="S131:AD131" si="202">SUM(S130:S130)</f>
        <v>0</v>
      </c>
      <c r="T131" s="38">
        <f t="shared" si="202"/>
        <v>0</v>
      </c>
      <c r="U131" s="38">
        <f t="shared" si="202"/>
        <v>0</v>
      </c>
      <c r="V131" s="38">
        <f t="shared" si="202"/>
        <v>0</v>
      </c>
      <c r="W131" s="38">
        <f t="shared" si="202"/>
        <v>0</v>
      </c>
      <c r="X131" s="38">
        <f t="shared" si="202"/>
        <v>0</v>
      </c>
      <c r="Y131" s="38">
        <f t="shared" si="202"/>
        <v>0</v>
      </c>
      <c r="Z131" s="38">
        <f t="shared" si="202"/>
        <v>0</v>
      </c>
      <c r="AA131" s="38">
        <f t="shared" si="202"/>
        <v>0</v>
      </c>
      <c r="AB131" s="38">
        <f t="shared" si="202"/>
        <v>0</v>
      </c>
      <c r="AC131" s="38">
        <f t="shared" si="202"/>
        <v>0</v>
      </c>
      <c r="AD131" s="38">
        <f t="shared" si="202"/>
        <v>0</v>
      </c>
      <c r="AE131" s="30"/>
      <c r="AF131" s="38">
        <f>SUM(AF130:AF130)</f>
        <v>0</v>
      </c>
      <c r="AG131" s="30"/>
      <c r="AH131" s="38">
        <f t="shared" ref="AH131:AZ131" si="203">SUM(AH130:AH130)</f>
        <v>0</v>
      </c>
      <c r="AI131" s="38">
        <f t="shared" si="203"/>
        <v>0</v>
      </c>
      <c r="AJ131" s="38">
        <f t="shared" si="203"/>
        <v>0</v>
      </c>
      <c r="AK131" s="38">
        <f t="shared" si="203"/>
        <v>0</v>
      </c>
      <c r="AL131" s="38">
        <f t="shared" si="203"/>
        <v>0</v>
      </c>
      <c r="AM131" s="38">
        <f t="shared" si="203"/>
        <v>0</v>
      </c>
      <c r="AN131" s="38">
        <f t="shared" si="203"/>
        <v>0</v>
      </c>
      <c r="AO131" s="38">
        <f t="shared" si="203"/>
        <v>0</v>
      </c>
      <c r="AP131" s="38">
        <f t="shared" si="203"/>
        <v>0</v>
      </c>
      <c r="AQ131" s="38">
        <f t="shared" si="203"/>
        <v>0</v>
      </c>
      <c r="AR131" s="38">
        <f t="shared" si="203"/>
        <v>0</v>
      </c>
      <c r="AS131" s="38">
        <f t="shared" si="203"/>
        <v>0</v>
      </c>
      <c r="AT131" s="38">
        <f t="shared" si="203"/>
        <v>0</v>
      </c>
      <c r="AU131" s="38">
        <f t="shared" si="203"/>
        <v>0</v>
      </c>
      <c r="AV131" s="38">
        <f t="shared" si="203"/>
        <v>0</v>
      </c>
      <c r="AW131" s="38">
        <f t="shared" si="203"/>
        <v>0</v>
      </c>
      <c r="AX131" s="38">
        <f t="shared" si="203"/>
        <v>0</v>
      </c>
      <c r="AY131" s="38">
        <f t="shared" si="203"/>
        <v>0</v>
      </c>
      <c r="AZ131" s="38">
        <f t="shared" si="203"/>
        <v>0</v>
      </c>
      <c r="BA131" s="30"/>
      <c r="BB131" s="38">
        <f t="shared" ref="BB131:CT131" si="204">SUM(BB130:BB130)</f>
        <v>0</v>
      </c>
      <c r="BC131" s="38">
        <f t="shared" si="204"/>
        <v>126.25</v>
      </c>
      <c r="BD131" s="38">
        <f t="shared" si="204"/>
        <v>0</v>
      </c>
      <c r="BE131" s="38">
        <f t="shared" si="204"/>
        <v>0</v>
      </c>
      <c r="BF131" s="38">
        <f t="shared" si="204"/>
        <v>0</v>
      </c>
      <c r="BG131" s="38">
        <f t="shared" si="204"/>
        <v>0</v>
      </c>
      <c r="BH131" s="38">
        <f t="shared" si="204"/>
        <v>0</v>
      </c>
      <c r="BI131" s="38">
        <f t="shared" si="204"/>
        <v>0</v>
      </c>
      <c r="BJ131" s="38">
        <f t="shared" si="204"/>
        <v>0</v>
      </c>
      <c r="BK131" s="38">
        <f t="shared" si="204"/>
        <v>0</v>
      </c>
      <c r="BL131" s="38">
        <f t="shared" si="204"/>
        <v>0</v>
      </c>
      <c r="BM131" s="38">
        <f t="shared" si="204"/>
        <v>0</v>
      </c>
      <c r="BN131" s="38">
        <f t="shared" si="204"/>
        <v>0</v>
      </c>
      <c r="BO131" s="38">
        <f t="shared" si="204"/>
        <v>0</v>
      </c>
      <c r="BP131" s="38">
        <f t="shared" si="204"/>
        <v>0</v>
      </c>
      <c r="BQ131" s="38">
        <f t="shared" si="204"/>
        <v>0</v>
      </c>
      <c r="BR131" s="38">
        <f t="shared" si="204"/>
        <v>0</v>
      </c>
      <c r="BS131" s="38">
        <f t="shared" si="204"/>
        <v>0</v>
      </c>
      <c r="BT131" s="38">
        <f t="shared" si="204"/>
        <v>0</v>
      </c>
      <c r="BU131" s="38">
        <f t="shared" si="204"/>
        <v>0</v>
      </c>
      <c r="BV131" s="38">
        <f t="shared" si="204"/>
        <v>0</v>
      </c>
      <c r="BW131" s="38">
        <f t="shared" si="204"/>
        <v>0</v>
      </c>
      <c r="BX131" s="38">
        <f t="shared" si="204"/>
        <v>0</v>
      </c>
      <c r="BY131" s="38">
        <f t="shared" si="204"/>
        <v>0</v>
      </c>
      <c r="BZ131" s="38">
        <f t="shared" si="204"/>
        <v>0</v>
      </c>
      <c r="CA131" s="38">
        <f t="shared" si="204"/>
        <v>0</v>
      </c>
      <c r="CB131" s="38">
        <f t="shared" si="204"/>
        <v>0</v>
      </c>
      <c r="CC131" s="38">
        <f t="shared" si="204"/>
        <v>0</v>
      </c>
      <c r="CD131" s="38">
        <f t="shared" si="204"/>
        <v>0</v>
      </c>
      <c r="CE131" s="38">
        <f t="shared" si="204"/>
        <v>0</v>
      </c>
      <c r="CF131" s="38">
        <f t="shared" si="204"/>
        <v>0</v>
      </c>
      <c r="CG131" s="38">
        <f t="shared" si="204"/>
        <v>0</v>
      </c>
      <c r="CH131" s="38">
        <f t="shared" si="204"/>
        <v>0</v>
      </c>
      <c r="CI131" s="38">
        <f t="shared" si="204"/>
        <v>0</v>
      </c>
      <c r="CJ131" s="38">
        <f t="shared" si="204"/>
        <v>0</v>
      </c>
      <c r="CK131" s="38">
        <f t="shared" si="204"/>
        <v>0</v>
      </c>
      <c r="CL131" s="38">
        <f t="shared" si="204"/>
        <v>0</v>
      </c>
      <c r="CM131" s="38">
        <f t="shared" si="204"/>
        <v>0</v>
      </c>
      <c r="CN131" s="38">
        <f t="shared" si="204"/>
        <v>0</v>
      </c>
      <c r="CO131" s="38">
        <f t="shared" si="204"/>
        <v>0</v>
      </c>
      <c r="CP131" s="38">
        <f t="shared" si="204"/>
        <v>0</v>
      </c>
      <c r="CQ131" s="38">
        <f t="shared" si="204"/>
        <v>0</v>
      </c>
      <c r="CR131" s="38">
        <f t="shared" si="204"/>
        <v>0</v>
      </c>
      <c r="CS131" s="38">
        <f t="shared" si="204"/>
        <v>0</v>
      </c>
      <c r="CT131" s="38">
        <f t="shared" si="204"/>
        <v>0</v>
      </c>
      <c r="CU131" s="17">
        <f t="shared" si="170"/>
        <v>125</v>
      </c>
      <c r="CV131" s="25">
        <f t="shared" si="171"/>
        <v>0</v>
      </c>
      <c r="CW131" s="40"/>
      <c r="CX131" s="30"/>
      <c r="CY131" s="30"/>
    </row>
    <row r="132" spans="1:103" x14ac:dyDescent="0.2">
      <c r="A132" s="2">
        <v>45881</v>
      </c>
      <c r="B132" s="3" t="s">
        <v>237</v>
      </c>
      <c r="C132" s="4" t="s">
        <v>521</v>
      </c>
      <c r="D132" s="5" t="s">
        <v>122</v>
      </c>
      <c r="E132" s="156" t="s">
        <v>242</v>
      </c>
      <c r="F132" s="156" t="s">
        <v>243</v>
      </c>
      <c r="G132" s="156" t="s">
        <v>244</v>
      </c>
      <c r="H132" s="9">
        <v>6831</v>
      </c>
      <c r="I132" s="10" t="s">
        <v>409</v>
      </c>
      <c r="J132" s="11" t="s">
        <v>245</v>
      </c>
      <c r="K132" s="12">
        <v>2.5</v>
      </c>
      <c r="L132" s="13">
        <v>580</v>
      </c>
      <c r="M132" s="14">
        <f t="shared" ref="M132" si="205">L132*K132</f>
        <v>1450</v>
      </c>
      <c r="N132" s="15"/>
      <c r="O132" s="16" t="s">
        <v>111</v>
      </c>
      <c r="P132" s="17">
        <f>M132/1.12*0.02</f>
        <v>25.892857142857142</v>
      </c>
      <c r="Q132" s="18">
        <f>M132/1.12*0.12</f>
        <v>155.35714285714286</v>
      </c>
      <c r="R132" s="5"/>
      <c r="S132" s="19"/>
      <c r="T132" s="19"/>
      <c r="U132" s="19"/>
      <c r="V132" s="19"/>
      <c r="W132" s="17"/>
      <c r="X132" s="20"/>
      <c r="Y132" s="19"/>
      <c r="Z132" s="19"/>
      <c r="AA132" s="19"/>
      <c r="AB132" s="19"/>
      <c r="AC132" s="19"/>
      <c r="AD132" s="19"/>
      <c r="AE132" s="5"/>
      <c r="AF132" s="19"/>
      <c r="AG132" s="5"/>
      <c r="AH132" s="17"/>
      <c r="AI132" s="19"/>
      <c r="AJ132" s="19"/>
      <c r="AK132" s="19"/>
      <c r="AL132" s="17">
        <f>M132+P132-Q132</f>
        <v>1320.5357142857142</v>
      </c>
      <c r="AM132" s="17"/>
      <c r="AN132" s="19"/>
      <c r="AO132" s="19"/>
      <c r="AP132" s="19"/>
      <c r="AQ132" s="19"/>
      <c r="AR132" s="19"/>
      <c r="AS132" s="21"/>
      <c r="AT132" s="5"/>
      <c r="AU132" s="19"/>
      <c r="AV132" s="5"/>
      <c r="AW132" s="22"/>
      <c r="AX132" s="19"/>
      <c r="AY132" s="5"/>
      <c r="AZ132" s="19"/>
      <c r="BA132" s="5"/>
      <c r="BB132" s="5"/>
      <c r="BC132" s="19"/>
      <c r="BD132" s="19"/>
      <c r="BE132" s="19"/>
      <c r="BF132" s="19"/>
      <c r="BG132" s="19"/>
      <c r="BH132" s="19"/>
      <c r="BI132" s="19"/>
      <c r="BJ132" s="19"/>
      <c r="BK132" s="13"/>
      <c r="BL132" s="5"/>
      <c r="BM132" s="5"/>
      <c r="BN132" s="19"/>
      <c r="BO132" s="17"/>
      <c r="BP132" s="19"/>
      <c r="BQ132" s="17"/>
      <c r="BR132" s="19"/>
      <c r="BS132" s="13"/>
      <c r="BT132" s="5"/>
      <c r="BU132" s="23"/>
      <c r="BV132" s="23"/>
      <c r="BW132" s="24"/>
      <c r="BX132" s="5"/>
      <c r="BY132" s="5"/>
      <c r="BZ132" s="5"/>
      <c r="CA132" s="24"/>
      <c r="CB132" s="24"/>
      <c r="CC132" s="24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>
        <f t="shared" si="170"/>
        <v>1450</v>
      </c>
      <c r="CV132" s="25">
        <f t="shared" si="171"/>
        <v>0</v>
      </c>
      <c r="CW132" s="26"/>
      <c r="CX132" s="5"/>
      <c r="CY132" s="5"/>
    </row>
    <row r="133" spans="1:103" x14ac:dyDescent="0.2">
      <c r="A133" s="27"/>
      <c r="B133" s="28"/>
      <c r="C133" s="29"/>
      <c r="D133" s="30"/>
      <c r="E133" s="31"/>
      <c r="F133" s="32"/>
      <c r="G133" s="33"/>
      <c r="H133" s="34"/>
      <c r="I133" s="34"/>
      <c r="J133" s="35"/>
      <c r="K133" s="36"/>
      <c r="L133" s="37"/>
      <c r="M133" s="38">
        <f>SUM(M132:M132)</f>
        <v>1450</v>
      </c>
      <c r="N133" s="38"/>
      <c r="O133" s="39" t="s">
        <v>111</v>
      </c>
      <c r="P133" s="38">
        <f>SUM(P132:P132)</f>
        <v>25.892857142857142</v>
      </c>
      <c r="Q133" s="38">
        <f>SUM(Q132:Q132)</f>
        <v>155.35714285714286</v>
      </c>
      <c r="R133" s="30"/>
      <c r="S133" s="38">
        <f t="shared" ref="S133:AD133" si="206">SUM(S132:S132)</f>
        <v>0</v>
      </c>
      <c r="T133" s="38">
        <f t="shared" si="206"/>
        <v>0</v>
      </c>
      <c r="U133" s="38">
        <f t="shared" si="206"/>
        <v>0</v>
      </c>
      <c r="V133" s="38">
        <f t="shared" si="206"/>
        <v>0</v>
      </c>
      <c r="W133" s="38">
        <f t="shared" si="206"/>
        <v>0</v>
      </c>
      <c r="X133" s="38">
        <f t="shared" si="206"/>
        <v>0</v>
      </c>
      <c r="Y133" s="38">
        <f t="shared" si="206"/>
        <v>0</v>
      </c>
      <c r="Z133" s="38">
        <f t="shared" si="206"/>
        <v>0</v>
      </c>
      <c r="AA133" s="38">
        <f t="shared" si="206"/>
        <v>0</v>
      </c>
      <c r="AB133" s="38">
        <f t="shared" si="206"/>
        <v>0</v>
      </c>
      <c r="AC133" s="38">
        <f t="shared" si="206"/>
        <v>0</v>
      </c>
      <c r="AD133" s="38">
        <f t="shared" si="206"/>
        <v>0</v>
      </c>
      <c r="AE133" s="30"/>
      <c r="AF133" s="38">
        <f>SUM(AF132:AF132)</f>
        <v>0</v>
      </c>
      <c r="AG133" s="30"/>
      <c r="AH133" s="38">
        <f t="shared" ref="AH133:AZ133" si="207">SUM(AH132:AH132)</f>
        <v>0</v>
      </c>
      <c r="AI133" s="38">
        <f t="shared" si="207"/>
        <v>0</v>
      </c>
      <c r="AJ133" s="38">
        <f t="shared" si="207"/>
        <v>0</v>
      </c>
      <c r="AK133" s="38">
        <f t="shared" si="207"/>
        <v>0</v>
      </c>
      <c r="AL133" s="38">
        <f t="shared" si="207"/>
        <v>1320.5357142857142</v>
      </c>
      <c r="AM133" s="38">
        <f t="shared" si="207"/>
        <v>0</v>
      </c>
      <c r="AN133" s="38">
        <f t="shared" si="207"/>
        <v>0</v>
      </c>
      <c r="AO133" s="38">
        <f t="shared" si="207"/>
        <v>0</v>
      </c>
      <c r="AP133" s="38">
        <f t="shared" si="207"/>
        <v>0</v>
      </c>
      <c r="AQ133" s="38">
        <f t="shared" si="207"/>
        <v>0</v>
      </c>
      <c r="AR133" s="38">
        <f t="shared" si="207"/>
        <v>0</v>
      </c>
      <c r="AS133" s="38">
        <f t="shared" si="207"/>
        <v>0</v>
      </c>
      <c r="AT133" s="38">
        <f t="shared" si="207"/>
        <v>0</v>
      </c>
      <c r="AU133" s="38">
        <f t="shared" si="207"/>
        <v>0</v>
      </c>
      <c r="AV133" s="38">
        <f t="shared" si="207"/>
        <v>0</v>
      </c>
      <c r="AW133" s="38">
        <f t="shared" si="207"/>
        <v>0</v>
      </c>
      <c r="AX133" s="38">
        <f t="shared" si="207"/>
        <v>0</v>
      </c>
      <c r="AY133" s="38">
        <f t="shared" si="207"/>
        <v>0</v>
      </c>
      <c r="AZ133" s="38">
        <f t="shared" si="207"/>
        <v>0</v>
      </c>
      <c r="BA133" s="30"/>
      <c r="BB133" s="38">
        <f t="shared" ref="BB133:CT133" si="208">SUM(BB132:BB132)</f>
        <v>0</v>
      </c>
      <c r="BC133" s="38">
        <f t="shared" si="208"/>
        <v>0</v>
      </c>
      <c r="BD133" s="38">
        <f t="shared" si="208"/>
        <v>0</v>
      </c>
      <c r="BE133" s="38">
        <f t="shared" si="208"/>
        <v>0</v>
      </c>
      <c r="BF133" s="38">
        <f t="shared" si="208"/>
        <v>0</v>
      </c>
      <c r="BG133" s="38">
        <f t="shared" si="208"/>
        <v>0</v>
      </c>
      <c r="BH133" s="38">
        <f t="shared" si="208"/>
        <v>0</v>
      </c>
      <c r="BI133" s="38">
        <f t="shared" si="208"/>
        <v>0</v>
      </c>
      <c r="BJ133" s="38">
        <f t="shared" si="208"/>
        <v>0</v>
      </c>
      <c r="BK133" s="38">
        <f t="shared" si="208"/>
        <v>0</v>
      </c>
      <c r="BL133" s="38">
        <f t="shared" si="208"/>
        <v>0</v>
      </c>
      <c r="BM133" s="38">
        <f t="shared" si="208"/>
        <v>0</v>
      </c>
      <c r="BN133" s="38">
        <f t="shared" si="208"/>
        <v>0</v>
      </c>
      <c r="BO133" s="38">
        <f t="shared" si="208"/>
        <v>0</v>
      </c>
      <c r="BP133" s="38">
        <f t="shared" si="208"/>
        <v>0</v>
      </c>
      <c r="BQ133" s="38">
        <f t="shared" si="208"/>
        <v>0</v>
      </c>
      <c r="BR133" s="38">
        <f t="shared" si="208"/>
        <v>0</v>
      </c>
      <c r="BS133" s="38">
        <f t="shared" si="208"/>
        <v>0</v>
      </c>
      <c r="BT133" s="38">
        <f t="shared" si="208"/>
        <v>0</v>
      </c>
      <c r="BU133" s="38">
        <f t="shared" si="208"/>
        <v>0</v>
      </c>
      <c r="BV133" s="38">
        <f t="shared" si="208"/>
        <v>0</v>
      </c>
      <c r="BW133" s="38">
        <f t="shared" si="208"/>
        <v>0</v>
      </c>
      <c r="BX133" s="38">
        <f t="shared" si="208"/>
        <v>0</v>
      </c>
      <c r="BY133" s="38">
        <f t="shared" si="208"/>
        <v>0</v>
      </c>
      <c r="BZ133" s="38">
        <f t="shared" si="208"/>
        <v>0</v>
      </c>
      <c r="CA133" s="38">
        <f t="shared" si="208"/>
        <v>0</v>
      </c>
      <c r="CB133" s="38">
        <f t="shared" si="208"/>
        <v>0</v>
      </c>
      <c r="CC133" s="38">
        <f t="shared" si="208"/>
        <v>0</v>
      </c>
      <c r="CD133" s="38">
        <f t="shared" si="208"/>
        <v>0</v>
      </c>
      <c r="CE133" s="38">
        <f t="shared" si="208"/>
        <v>0</v>
      </c>
      <c r="CF133" s="38">
        <f t="shared" si="208"/>
        <v>0</v>
      </c>
      <c r="CG133" s="38">
        <f t="shared" si="208"/>
        <v>0</v>
      </c>
      <c r="CH133" s="38">
        <f t="shared" si="208"/>
        <v>0</v>
      </c>
      <c r="CI133" s="38">
        <f t="shared" si="208"/>
        <v>0</v>
      </c>
      <c r="CJ133" s="38">
        <f t="shared" si="208"/>
        <v>0</v>
      </c>
      <c r="CK133" s="38">
        <f t="shared" si="208"/>
        <v>0</v>
      </c>
      <c r="CL133" s="38">
        <f t="shared" si="208"/>
        <v>0</v>
      </c>
      <c r="CM133" s="38">
        <f t="shared" si="208"/>
        <v>0</v>
      </c>
      <c r="CN133" s="38">
        <f t="shared" si="208"/>
        <v>0</v>
      </c>
      <c r="CO133" s="38">
        <f t="shared" si="208"/>
        <v>0</v>
      </c>
      <c r="CP133" s="38">
        <f t="shared" si="208"/>
        <v>0</v>
      </c>
      <c r="CQ133" s="38">
        <f t="shared" si="208"/>
        <v>0</v>
      </c>
      <c r="CR133" s="38">
        <f t="shared" si="208"/>
        <v>0</v>
      </c>
      <c r="CS133" s="38">
        <f t="shared" si="208"/>
        <v>0</v>
      </c>
      <c r="CT133" s="38">
        <f t="shared" si="208"/>
        <v>0</v>
      </c>
      <c r="CU133" s="17">
        <f t="shared" si="170"/>
        <v>1450</v>
      </c>
      <c r="CV133" s="25">
        <f t="shared" si="171"/>
        <v>0</v>
      </c>
      <c r="CW133" s="40"/>
      <c r="CX133" s="30"/>
      <c r="CY133" s="30"/>
    </row>
    <row r="134" spans="1:103" x14ac:dyDescent="0.2">
      <c r="A134" s="2">
        <v>45881</v>
      </c>
      <c r="B134" s="3" t="s">
        <v>237</v>
      </c>
      <c r="C134" s="4" t="s">
        <v>522</v>
      </c>
      <c r="D134" s="5" t="s">
        <v>122</v>
      </c>
      <c r="E134" s="156" t="s">
        <v>247</v>
      </c>
      <c r="F134" s="156" t="s">
        <v>148</v>
      </c>
      <c r="G134" s="156" t="s">
        <v>248</v>
      </c>
      <c r="H134" s="9">
        <v>213</v>
      </c>
      <c r="I134" s="10" t="s">
        <v>408</v>
      </c>
      <c r="J134" s="11" t="s">
        <v>249</v>
      </c>
      <c r="K134" s="12">
        <v>24</v>
      </c>
      <c r="L134" s="13">
        <v>100</v>
      </c>
      <c r="M134" s="14">
        <f t="shared" ref="M134" si="209">L134*K134</f>
        <v>2400</v>
      </c>
      <c r="N134" s="15"/>
      <c r="O134" s="16" t="s">
        <v>111</v>
      </c>
      <c r="P134" s="17">
        <f>M134/1.12*0.02</f>
        <v>42.857142857142854</v>
      </c>
      <c r="Q134" s="18">
        <f>M134/1.12*0.12</f>
        <v>257.14285714285711</v>
      </c>
      <c r="R134" s="5"/>
      <c r="S134" s="19"/>
      <c r="T134" s="19"/>
      <c r="U134" s="19"/>
      <c r="V134" s="19"/>
      <c r="W134" s="17"/>
      <c r="X134" s="20"/>
      <c r="Y134" s="19"/>
      <c r="Z134" s="19"/>
      <c r="AA134" s="19"/>
      <c r="AB134" s="19"/>
      <c r="AC134" s="19"/>
      <c r="AD134" s="19"/>
      <c r="AE134" s="5"/>
      <c r="AF134" s="19"/>
      <c r="AG134" s="5"/>
      <c r="AH134" s="17">
        <f>M134+P134-Q134</f>
        <v>2185.7142857142853</v>
      </c>
      <c r="AI134" s="19"/>
      <c r="AJ134" s="19"/>
      <c r="AK134" s="19"/>
      <c r="AL134" s="19"/>
      <c r="AM134" s="17"/>
      <c r="AN134" s="19"/>
      <c r="AO134" s="19"/>
      <c r="AP134" s="19"/>
      <c r="AQ134" s="19"/>
      <c r="AR134" s="19"/>
      <c r="AS134" s="21"/>
      <c r="AT134" s="5"/>
      <c r="AU134" s="19"/>
      <c r="AV134" s="5"/>
      <c r="AW134" s="22"/>
      <c r="AX134" s="19"/>
      <c r="AY134" s="5"/>
      <c r="AZ134" s="19"/>
      <c r="BA134" s="5"/>
      <c r="BB134" s="5"/>
      <c r="BC134" s="19"/>
      <c r="BD134" s="19"/>
      <c r="BE134" s="19"/>
      <c r="BF134" s="19"/>
      <c r="BG134" s="19"/>
      <c r="BH134" s="19"/>
      <c r="BI134" s="19"/>
      <c r="BJ134" s="19"/>
      <c r="BK134" s="13"/>
      <c r="BL134" s="5"/>
      <c r="BM134" s="5"/>
      <c r="BN134" s="19"/>
      <c r="BO134" s="17"/>
      <c r="BP134" s="19"/>
      <c r="BQ134" s="17"/>
      <c r="BR134" s="19"/>
      <c r="BS134" s="13"/>
      <c r="BT134" s="5"/>
      <c r="BU134" s="23"/>
      <c r="BV134" s="23"/>
      <c r="BW134" s="24"/>
      <c r="BX134" s="5"/>
      <c r="BY134" s="5"/>
      <c r="BZ134" s="5"/>
      <c r="CA134" s="24"/>
      <c r="CB134" s="24"/>
      <c r="CC134" s="24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>
        <f t="shared" si="170"/>
        <v>2399.9999999999995</v>
      </c>
      <c r="CV134" s="25">
        <f t="shared" si="171"/>
        <v>0</v>
      </c>
      <c r="CW134" s="26"/>
      <c r="CX134" s="5"/>
      <c r="CY134" s="5"/>
    </row>
    <row r="135" spans="1:103" x14ac:dyDescent="0.2">
      <c r="A135" s="161"/>
      <c r="B135" s="162"/>
      <c r="C135" s="163"/>
      <c r="D135" s="164"/>
      <c r="E135" s="165"/>
      <c r="F135" s="166"/>
      <c r="G135" s="167"/>
      <c r="H135" s="168"/>
      <c r="I135" s="168"/>
      <c r="J135" s="169"/>
      <c r="K135" s="170"/>
      <c r="L135" s="171"/>
      <c r="M135" s="172">
        <f>SUM(M134:M134)</f>
        <v>2400</v>
      </c>
      <c r="N135" s="172">
        <f>M135+M133+M131</f>
        <v>3975</v>
      </c>
      <c r="O135" s="173" t="s">
        <v>111</v>
      </c>
      <c r="P135" s="172">
        <f>SUM(P134:P134)</f>
        <v>42.857142857142854</v>
      </c>
      <c r="Q135" s="172">
        <f>SUM(Q134:Q134)</f>
        <v>257.14285714285711</v>
      </c>
      <c r="R135" s="164"/>
      <c r="S135" s="172">
        <f t="shared" ref="S135:AD135" si="210">SUM(S134:S134)</f>
        <v>0</v>
      </c>
      <c r="T135" s="172">
        <f t="shared" si="210"/>
        <v>0</v>
      </c>
      <c r="U135" s="172">
        <f t="shared" si="210"/>
        <v>0</v>
      </c>
      <c r="V135" s="172">
        <f t="shared" si="210"/>
        <v>0</v>
      </c>
      <c r="W135" s="172">
        <f t="shared" si="210"/>
        <v>0</v>
      </c>
      <c r="X135" s="172">
        <f t="shared" si="210"/>
        <v>0</v>
      </c>
      <c r="Y135" s="172">
        <f t="shared" si="210"/>
        <v>0</v>
      </c>
      <c r="Z135" s="172">
        <f t="shared" si="210"/>
        <v>0</v>
      </c>
      <c r="AA135" s="172">
        <f t="shared" si="210"/>
        <v>0</v>
      </c>
      <c r="AB135" s="172">
        <f t="shared" si="210"/>
        <v>0</v>
      </c>
      <c r="AC135" s="172">
        <f t="shared" si="210"/>
        <v>0</v>
      </c>
      <c r="AD135" s="172">
        <f t="shared" si="210"/>
        <v>0</v>
      </c>
      <c r="AE135" s="164"/>
      <c r="AF135" s="172">
        <f>SUM(AF134:AF134)</f>
        <v>0</v>
      </c>
      <c r="AG135" s="164"/>
      <c r="AH135" s="172">
        <f t="shared" ref="AH135:AZ135" si="211">SUM(AH134:AH134)</f>
        <v>2185.7142857142853</v>
      </c>
      <c r="AI135" s="172">
        <f t="shared" si="211"/>
        <v>0</v>
      </c>
      <c r="AJ135" s="172">
        <f t="shared" si="211"/>
        <v>0</v>
      </c>
      <c r="AK135" s="172">
        <f t="shared" si="211"/>
        <v>0</v>
      </c>
      <c r="AL135" s="172">
        <f t="shared" si="211"/>
        <v>0</v>
      </c>
      <c r="AM135" s="172">
        <f t="shared" si="211"/>
        <v>0</v>
      </c>
      <c r="AN135" s="172">
        <f t="shared" si="211"/>
        <v>0</v>
      </c>
      <c r="AO135" s="172">
        <f t="shared" si="211"/>
        <v>0</v>
      </c>
      <c r="AP135" s="172">
        <f t="shared" si="211"/>
        <v>0</v>
      </c>
      <c r="AQ135" s="172">
        <f t="shared" si="211"/>
        <v>0</v>
      </c>
      <c r="AR135" s="172">
        <f t="shared" si="211"/>
        <v>0</v>
      </c>
      <c r="AS135" s="172">
        <f t="shared" si="211"/>
        <v>0</v>
      </c>
      <c r="AT135" s="172">
        <f t="shared" si="211"/>
        <v>0</v>
      </c>
      <c r="AU135" s="172">
        <f t="shared" si="211"/>
        <v>0</v>
      </c>
      <c r="AV135" s="172">
        <f t="shared" si="211"/>
        <v>0</v>
      </c>
      <c r="AW135" s="172">
        <f t="shared" si="211"/>
        <v>0</v>
      </c>
      <c r="AX135" s="172">
        <f t="shared" si="211"/>
        <v>0</v>
      </c>
      <c r="AY135" s="172">
        <f t="shared" si="211"/>
        <v>0</v>
      </c>
      <c r="AZ135" s="172">
        <f t="shared" si="211"/>
        <v>0</v>
      </c>
      <c r="BA135" s="164"/>
      <c r="BB135" s="172">
        <f t="shared" ref="BB135:CT135" si="212">SUM(BB134:BB134)</f>
        <v>0</v>
      </c>
      <c r="BC135" s="172">
        <f t="shared" si="212"/>
        <v>0</v>
      </c>
      <c r="BD135" s="172">
        <f t="shared" si="212"/>
        <v>0</v>
      </c>
      <c r="BE135" s="172">
        <f t="shared" si="212"/>
        <v>0</v>
      </c>
      <c r="BF135" s="172">
        <f t="shared" si="212"/>
        <v>0</v>
      </c>
      <c r="BG135" s="172">
        <f t="shared" si="212"/>
        <v>0</v>
      </c>
      <c r="BH135" s="172">
        <f t="shared" si="212"/>
        <v>0</v>
      </c>
      <c r="BI135" s="172">
        <f t="shared" si="212"/>
        <v>0</v>
      </c>
      <c r="BJ135" s="172">
        <f t="shared" si="212"/>
        <v>0</v>
      </c>
      <c r="BK135" s="172">
        <f t="shared" si="212"/>
        <v>0</v>
      </c>
      <c r="BL135" s="172">
        <f t="shared" si="212"/>
        <v>0</v>
      </c>
      <c r="BM135" s="172">
        <f t="shared" si="212"/>
        <v>0</v>
      </c>
      <c r="BN135" s="172">
        <f t="shared" si="212"/>
        <v>0</v>
      </c>
      <c r="BO135" s="172">
        <f t="shared" si="212"/>
        <v>0</v>
      </c>
      <c r="BP135" s="172">
        <f t="shared" si="212"/>
        <v>0</v>
      </c>
      <c r="BQ135" s="172">
        <f t="shared" si="212"/>
        <v>0</v>
      </c>
      <c r="BR135" s="172">
        <f t="shared" si="212"/>
        <v>0</v>
      </c>
      <c r="BS135" s="172">
        <f t="shared" si="212"/>
        <v>0</v>
      </c>
      <c r="BT135" s="172">
        <f t="shared" si="212"/>
        <v>0</v>
      </c>
      <c r="BU135" s="172">
        <f t="shared" si="212"/>
        <v>0</v>
      </c>
      <c r="BV135" s="172">
        <f t="shared" si="212"/>
        <v>0</v>
      </c>
      <c r="BW135" s="172">
        <f t="shared" si="212"/>
        <v>0</v>
      </c>
      <c r="BX135" s="172">
        <f t="shared" si="212"/>
        <v>0</v>
      </c>
      <c r="BY135" s="172">
        <f t="shared" si="212"/>
        <v>0</v>
      </c>
      <c r="BZ135" s="172">
        <f t="shared" si="212"/>
        <v>0</v>
      </c>
      <c r="CA135" s="172">
        <f t="shared" si="212"/>
        <v>0</v>
      </c>
      <c r="CB135" s="172">
        <f t="shared" si="212"/>
        <v>0</v>
      </c>
      <c r="CC135" s="172">
        <f t="shared" si="212"/>
        <v>0</v>
      </c>
      <c r="CD135" s="172">
        <f t="shared" si="212"/>
        <v>0</v>
      </c>
      <c r="CE135" s="172">
        <f t="shared" si="212"/>
        <v>0</v>
      </c>
      <c r="CF135" s="172">
        <f t="shared" si="212"/>
        <v>0</v>
      </c>
      <c r="CG135" s="172">
        <f t="shared" si="212"/>
        <v>0</v>
      </c>
      <c r="CH135" s="172">
        <f t="shared" si="212"/>
        <v>0</v>
      </c>
      <c r="CI135" s="172">
        <f t="shared" si="212"/>
        <v>0</v>
      </c>
      <c r="CJ135" s="172">
        <f t="shared" si="212"/>
        <v>0</v>
      </c>
      <c r="CK135" s="172">
        <f t="shared" si="212"/>
        <v>0</v>
      </c>
      <c r="CL135" s="172">
        <f t="shared" si="212"/>
        <v>0</v>
      </c>
      <c r="CM135" s="172">
        <f t="shared" si="212"/>
        <v>0</v>
      </c>
      <c r="CN135" s="172">
        <f t="shared" si="212"/>
        <v>0</v>
      </c>
      <c r="CO135" s="172">
        <f t="shared" si="212"/>
        <v>0</v>
      </c>
      <c r="CP135" s="172">
        <f t="shared" si="212"/>
        <v>0</v>
      </c>
      <c r="CQ135" s="172">
        <f t="shared" si="212"/>
        <v>0</v>
      </c>
      <c r="CR135" s="172">
        <f t="shared" si="212"/>
        <v>0</v>
      </c>
      <c r="CS135" s="172">
        <f t="shared" si="212"/>
        <v>0</v>
      </c>
      <c r="CT135" s="172">
        <f t="shared" si="212"/>
        <v>0</v>
      </c>
      <c r="CU135" s="17">
        <f t="shared" si="170"/>
        <v>2399.9999999999995</v>
      </c>
      <c r="CV135" s="25">
        <f t="shared" si="171"/>
        <v>0</v>
      </c>
      <c r="CW135" s="176"/>
      <c r="CX135" s="164"/>
      <c r="CY135" s="164"/>
    </row>
    <row r="136" spans="1:103" x14ac:dyDescent="0.2">
      <c r="A136" s="2">
        <v>45881</v>
      </c>
      <c r="B136" s="3" t="s">
        <v>251</v>
      </c>
      <c r="C136" s="4" t="s">
        <v>523</v>
      </c>
      <c r="D136" s="5" t="s">
        <v>254</v>
      </c>
      <c r="E136" s="6" t="s">
        <v>204</v>
      </c>
      <c r="F136" s="7"/>
      <c r="G136" s="8" t="s">
        <v>252</v>
      </c>
      <c r="H136" s="9">
        <v>25383</v>
      </c>
      <c r="I136" s="10" t="s">
        <v>412</v>
      </c>
      <c r="J136" s="11" t="s">
        <v>253</v>
      </c>
      <c r="K136" s="12">
        <v>27</v>
      </c>
      <c r="L136" s="13">
        <f>69.21429*1.12</f>
        <v>77.520004800000009</v>
      </c>
      <c r="M136" s="14">
        <f t="shared" ref="M136" si="213">L136*K136</f>
        <v>2093.0401296000005</v>
      </c>
      <c r="N136" s="15"/>
      <c r="O136" s="16" t="s">
        <v>111</v>
      </c>
      <c r="P136" s="17">
        <f>M136/1.12*0.01</f>
        <v>18.687858300000002</v>
      </c>
      <c r="Q136" s="18">
        <f>M136/1.12*0.12</f>
        <v>224.25429960000002</v>
      </c>
      <c r="R136" s="17">
        <f>M136+P136-Q136</f>
        <v>1887.4736883000003</v>
      </c>
      <c r="S136" s="19"/>
      <c r="T136" s="19"/>
      <c r="U136" s="19"/>
      <c r="V136" s="19"/>
      <c r="W136" s="17"/>
      <c r="X136" s="20"/>
      <c r="Y136" s="19"/>
      <c r="Z136" s="19"/>
      <c r="AA136" s="19"/>
      <c r="AB136" s="19"/>
      <c r="AC136" s="19"/>
      <c r="AD136" s="19"/>
      <c r="AE136" s="5"/>
      <c r="AF136" s="19"/>
      <c r="AG136" s="5"/>
      <c r="AH136" s="17"/>
      <c r="AI136" s="19"/>
      <c r="AJ136" s="19"/>
      <c r="AK136" s="19"/>
      <c r="AL136" s="19"/>
      <c r="AM136" s="17"/>
      <c r="AN136" s="19"/>
      <c r="AO136" s="19"/>
      <c r="AP136" s="19"/>
      <c r="AQ136" s="19"/>
      <c r="AR136" s="19"/>
      <c r="AS136" s="21"/>
      <c r="AT136" s="5"/>
      <c r="AU136" s="19"/>
      <c r="AV136" s="5"/>
      <c r="AW136" s="22"/>
      <c r="AX136" s="19"/>
      <c r="AY136" s="5"/>
      <c r="AZ136" s="19"/>
      <c r="BA136" s="5"/>
      <c r="BB136" s="5"/>
      <c r="BC136" s="19"/>
      <c r="BD136" s="19"/>
      <c r="BE136" s="19"/>
      <c r="BF136" s="19"/>
      <c r="BG136" s="19"/>
      <c r="BH136" s="19"/>
      <c r="BI136" s="19"/>
      <c r="BJ136" s="19"/>
      <c r="BK136" s="13"/>
      <c r="BL136" s="5"/>
      <c r="BM136" s="5"/>
      <c r="BN136" s="19"/>
      <c r="BO136" s="17"/>
      <c r="BP136" s="19"/>
      <c r="BQ136" s="17"/>
      <c r="BR136" s="19"/>
      <c r="BS136" s="13"/>
      <c r="BT136" s="5"/>
      <c r="BU136" s="23"/>
      <c r="BV136" s="23"/>
      <c r="BW136" s="24"/>
      <c r="BX136" s="5"/>
      <c r="BY136" s="5"/>
      <c r="BZ136" s="5"/>
      <c r="CA136" s="24"/>
      <c r="CB136" s="24"/>
      <c r="CC136" s="24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>
        <f t="shared" si="170"/>
        <v>2093.0401296000005</v>
      </c>
      <c r="CV136" s="25">
        <f t="shared" si="171"/>
        <v>0</v>
      </c>
      <c r="CW136" s="26"/>
      <c r="CX136" s="5"/>
      <c r="CY136" s="5"/>
    </row>
    <row r="137" spans="1:103" x14ac:dyDescent="0.2">
      <c r="A137" s="161"/>
      <c r="B137" s="162"/>
      <c r="C137" s="163"/>
      <c r="D137" s="164"/>
      <c r="E137" s="165"/>
      <c r="F137" s="166"/>
      <c r="G137" s="167"/>
      <c r="H137" s="168"/>
      <c r="I137" s="168"/>
      <c r="J137" s="169"/>
      <c r="K137" s="170"/>
      <c r="L137" s="171"/>
      <c r="M137" s="172">
        <f>SUM(M136:M136)</f>
        <v>2093.0401296000005</v>
      </c>
      <c r="N137" s="172">
        <f>M137</f>
        <v>2093.0401296000005</v>
      </c>
      <c r="O137" s="173" t="s">
        <v>111</v>
      </c>
      <c r="P137" s="172">
        <f>SUM(P136:P136)</f>
        <v>18.687858300000002</v>
      </c>
      <c r="Q137" s="172">
        <f>SUM(Q136:Q136)</f>
        <v>224.25429960000002</v>
      </c>
      <c r="R137" s="172">
        <f>SUM(R136:R136)</f>
        <v>1887.4736883000003</v>
      </c>
      <c r="S137" s="172">
        <f t="shared" ref="S137:AD137" si="214">SUM(S136:S136)</f>
        <v>0</v>
      </c>
      <c r="T137" s="172">
        <f t="shared" si="214"/>
        <v>0</v>
      </c>
      <c r="U137" s="172">
        <f t="shared" si="214"/>
        <v>0</v>
      </c>
      <c r="V137" s="172">
        <f t="shared" si="214"/>
        <v>0</v>
      </c>
      <c r="W137" s="172">
        <f t="shared" si="214"/>
        <v>0</v>
      </c>
      <c r="X137" s="172">
        <f t="shared" si="214"/>
        <v>0</v>
      </c>
      <c r="Y137" s="172">
        <f t="shared" si="214"/>
        <v>0</v>
      </c>
      <c r="Z137" s="172">
        <f t="shared" si="214"/>
        <v>0</v>
      </c>
      <c r="AA137" s="172">
        <f t="shared" si="214"/>
        <v>0</v>
      </c>
      <c r="AB137" s="172">
        <f t="shared" si="214"/>
        <v>0</v>
      </c>
      <c r="AC137" s="172">
        <f t="shared" si="214"/>
        <v>0</v>
      </c>
      <c r="AD137" s="172">
        <f t="shared" si="214"/>
        <v>0</v>
      </c>
      <c r="AE137" s="164"/>
      <c r="AF137" s="172">
        <f>SUM(AF136:AF136)</f>
        <v>0</v>
      </c>
      <c r="AG137" s="164"/>
      <c r="AH137" s="172">
        <f t="shared" ref="AH137:AZ137" si="215">SUM(AH136:AH136)</f>
        <v>0</v>
      </c>
      <c r="AI137" s="172">
        <f t="shared" si="215"/>
        <v>0</v>
      </c>
      <c r="AJ137" s="172">
        <f t="shared" si="215"/>
        <v>0</v>
      </c>
      <c r="AK137" s="172">
        <f t="shared" si="215"/>
        <v>0</v>
      </c>
      <c r="AL137" s="172">
        <f t="shared" si="215"/>
        <v>0</v>
      </c>
      <c r="AM137" s="172">
        <f t="shared" si="215"/>
        <v>0</v>
      </c>
      <c r="AN137" s="172">
        <f t="shared" si="215"/>
        <v>0</v>
      </c>
      <c r="AO137" s="172">
        <f t="shared" si="215"/>
        <v>0</v>
      </c>
      <c r="AP137" s="172">
        <f t="shared" si="215"/>
        <v>0</v>
      </c>
      <c r="AQ137" s="172">
        <f t="shared" si="215"/>
        <v>0</v>
      </c>
      <c r="AR137" s="172">
        <f t="shared" si="215"/>
        <v>0</v>
      </c>
      <c r="AS137" s="172">
        <f t="shared" si="215"/>
        <v>0</v>
      </c>
      <c r="AT137" s="172">
        <f t="shared" si="215"/>
        <v>0</v>
      </c>
      <c r="AU137" s="172">
        <f t="shared" si="215"/>
        <v>0</v>
      </c>
      <c r="AV137" s="172">
        <f t="shared" si="215"/>
        <v>0</v>
      </c>
      <c r="AW137" s="172">
        <f t="shared" si="215"/>
        <v>0</v>
      </c>
      <c r="AX137" s="172">
        <f t="shared" si="215"/>
        <v>0</v>
      </c>
      <c r="AY137" s="172">
        <f t="shared" si="215"/>
        <v>0</v>
      </c>
      <c r="AZ137" s="172">
        <f t="shared" si="215"/>
        <v>0</v>
      </c>
      <c r="BA137" s="164"/>
      <c r="BB137" s="172">
        <f t="shared" ref="BB137:CT137" si="216">SUM(BB136:BB136)</f>
        <v>0</v>
      </c>
      <c r="BC137" s="172">
        <f t="shared" si="216"/>
        <v>0</v>
      </c>
      <c r="BD137" s="172">
        <f t="shared" si="216"/>
        <v>0</v>
      </c>
      <c r="BE137" s="172">
        <f t="shared" si="216"/>
        <v>0</v>
      </c>
      <c r="BF137" s="172">
        <f t="shared" si="216"/>
        <v>0</v>
      </c>
      <c r="BG137" s="172">
        <f t="shared" si="216"/>
        <v>0</v>
      </c>
      <c r="BH137" s="172">
        <f t="shared" si="216"/>
        <v>0</v>
      </c>
      <c r="BI137" s="172">
        <f t="shared" si="216"/>
        <v>0</v>
      </c>
      <c r="BJ137" s="172">
        <f t="shared" si="216"/>
        <v>0</v>
      </c>
      <c r="BK137" s="172">
        <f t="shared" si="216"/>
        <v>0</v>
      </c>
      <c r="BL137" s="172">
        <f t="shared" si="216"/>
        <v>0</v>
      </c>
      <c r="BM137" s="172">
        <f t="shared" si="216"/>
        <v>0</v>
      </c>
      <c r="BN137" s="172">
        <f t="shared" si="216"/>
        <v>0</v>
      </c>
      <c r="BO137" s="172">
        <f t="shared" si="216"/>
        <v>0</v>
      </c>
      <c r="BP137" s="172">
        <f t="shared" si="216"/>
        <v>0</v>
      </c>
      <c r="BQ137" s="172">
        <f t="shared" si="216"/>
        <v>0</v>
      </c>
      <c r="BR137" s="172">
        <f t="shared" si="216"/>
        <v>0</v>
      </c>
      <c r="BS137" s="172">
        <f t="shared" si="216"/>
        <v>0</v>
      </c>
      <c r="BT137" s="172">
        <f t="shared" si="216"/>
        <v>0</v>
      </c>
      <c r="BU137" s="172">
        <f t="shared" si="216"/>
        <v>0</v>
      </c>
      <c r="BV137" s="172">
        <f t="shared" si="216"/>
        <v>0</v>
      </c>
      <c r="BW137" s="172">
        <f t="shared" si="216"/>
        <v>0</v>
      </c>
      <c r="BX137" s="172">
        <f t="shared" si="216"/>
        <v>0</v>
      </c>
      <c r="BY137" s="172">
        <f t="shared" si="216"/>
        <v>0</v>
      </c>
      <c r="BZ137" s="172">
        <f t="shared" si="216"/>
        <v>0</v>
      </c>
      <c r="CA137" s="172">
        <f t="shared" si="216"/>
        <v>0</v>
      </c>
      <c r="CB137" s="172">
        <f t="shared" si="216"/>
        <v>0</v>
      </c>
      <c r="CC137" s="172">
        <f t="shared" si="216"/>
        <v>0</v>
      </c>
      <c r="CD137" s="172">
        <f t="shared" si="216"/>
        <v>0</v>
      </c>
      <c r="CE137" s="172">
        <f t="shared" si="216"/>
        <v>0</v>
      </c>
      <c r="CF137" s="172">
        <f t="shared" si="216"/>
        <v>0</v>
      </c>
      <c r="CG137" s="172">
        <f t="shared" si="216"/>
        <v>0</v>
      </c>
      <c r="CH137" s="172">
        <f t="shared" si="216"/>
        <v>0</v>
      </c>
      <c r="CI137" s="172">
        <f t="shared" si="216"/>
        <v>0</v>
      </c>
      <c r="CJ137" s="172">
        <f t="shared" si="216"/>
        <v>0</v>
      </c>
      <c r="CK137" s="172">
        <f t="shared" si="216"/>
        <v>0</v>
      </c>
      <c r="CL137" s="172">
        <f t="shared" si="216"/>
        <v>0</v>
      </c>
      <c r="CM137" s="172">
        <f t="shared" si="216"/>
        <v>0</v>
      </c>
      <c r="CN137" s="172">
        <f t="shared" si="216"/>
        <v>0</v>
      </c>
      <c r="CO137" s="172">
        <f t="shared" si="216"/>
        <v>0</v>
      </c>
      <c r="CP137" s="172">
        <f t="shared" si="216"/>
        <v>0</v>
      </c>
      <c r="CQ137" s="172">
        <f t="shared" si="216"/>
        <v>0</v>
      </c>
      <c r="CR137" s="172">
        <f t="shared" si="216"/>
        <v>0</v>
      </c>
      <c r="CS137" s="172">
        <f t="shared" si="216"/>
        <v>0</v>
      </c>
      <c r="CT137" s="172">
        <f t="shared" si="216"/>
        <v>0</v>
      </c>
      <c r="CU137" s="17">
        <f t="shared" si="170"/>
        <v>2093.0401296000005</v>
      </c>
      <c r="CV137" s="25">
        <f t="shared" si="171"/>
        <v>0</v>
      </c>
      <c r="CW137" s="176"/>
      <c r="CX137" s="164"/>
      <c r="CY137" s="164"/>
    </row>
    <row r="138" spans="1:103" x14ac:dyDescent="0.2">
      <c r="A138" s="2">
        <v>45881</v>
      </c>
      <c r="B138" s="3" t="s">
        <v>292</v>
      </c>
      <c r="C138" s="4" t="s">
        <v>524</v>
      </c>
      <c r="D138" s="5" t="s">
        <v>122</v>
      </c>
      <c r="E138" s="6" t="s">
        <v>293</v>
      </c>
      <c r="F138" s="7" t="s">
        <v>294</v>
      </c>
      <c r="G138" s="8"/>
      <c r="H138" s="9">
        <v>7063</v>
      </c>
      <c r="I138" s="10"/>
      <c r="J138" s="11" t="s">
        <v>295</v>
      </c>
      <c r="K138" s="12">
        <v>1</v>
      </c>
      <c r="L138" s="13">
        <v>30</v>
      </c>
      <c r="M138" s="14">
        <f t="shared" ref="M138" si="217">L138*K138</f>
        <v>30</v>
      </c>
      <c r="N138" s="15"/>
      <c r="O138" s="16" t="s">
        <v>137</v>
      </c>
      <c r="P138" s="17"/>
      <c r="Q138" s="18"/>
      <c r="R138" s="5"/>
      <c r="S138" s="19"/>
      <c r="T138" s="19"/>
      <c r="U138" s="19"/>
      <c r="V138" s="19"/>
      <c r="W138" s="17"/>
      <c r="X138" s="20"/>
      <c r="Y138" s="19"/>
      <c r="Z138" s="19"/>
      <c r="AA138" s="19"/>
      <c r="AB138" s="19"/>
      <c r="AC138" s="19"/>
      <c r="AD138" s="19"/>
      <c r="AE138" s="5"/>
      <c r="AF138" s="19"/>
      <c r="AG138" s="5"/>
      <c r="AH138" s="17"/>
      <c r="AI138" s="19"/>
      <c r="AJ138" s="19"/>
      <c r="AK138" s="19"/>
      <c r="AL138" s="19"/>
      <c r="AM138" s="17"/>
      <c r="AN138" s="19"/>
      <c r="AO138" s="19"/>
      <c r="AP138" s="19"/>
      <c r="AQ138" s="19"/>
      <c r="AR138" s="19"/>
      <c r="AS138" s="21"/>
      <c r="AT138" s="5"/>
      <c r="AU138" s="19"/>
      <c r="AV138" s="5"/>
      <c r="AW138" s="22"/>
      <c r="AX138" s="19"/>
      <c r="AY138" s="5"/>
      <c r="AZ138" s="19"/>
      <c r="BA138" s="5"/>
      <c r="BB138" s="5"/>
      <c r="BC138" s="19"/>
      <c r="BD138" s="19"/>
      <c r="BE138" s="19"/>
      <c r="BF138" s="19"/>
      <c r="BG138" s="19"/>
      <c r="BH138" s="19"/>
      <c r="BI138" s="19"/>
      <c r="BJ138" s="19"/>
      <c r="BK138" s="13"/>
      <c r="BL138" s="5"/>
      <c r="BM138" s="5"/>
      <c r="BN138" s="19"/>
      <c r="BO138" s="17">
        <f>M138+P138-Q138</f>
        <v>30</v>
      </c>
      <c r="BP138" s="19"/>
      <c r="BQ138" s="17"/>
      <c r="BR138" s="19"/>
      <c r="BS138" s="13"/>
      <c r="BT138" s="5"/>
      <c r="BU138" s="23"/>
      <c r="BV138" s="23"/>
      <c r="BW138" s="24"/>
      <c r="BX138" s="5"/>
      <c r="BY138" s="5"/>
      <c r="BZ138" s="5"/>
      <c r="CA138" s="24"/>
      <c r="CB138" s="24"/>
      <c r="CC138" s="24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>
        <f t="shared" si="170"/>
        <v>30</v>
      </c>
      <c r="CV138" s="25">
        <f t="shared" si="171"/>
        <v>0</v>
      </c>
      <c r="CW138" s="26"/>
      <c r="CX138" s="5"/>
      <c r="CY138" s="5"/>
    </row>
    <row r="139" spans="1:103" x14ac:dyDescent="0.2">
      <c r="A139" s="27"/>
      <c r="B139" s="28"/>
      <c r="C139" s="29"/>
      <c r="D139" s="30"/>
      <c r="E139" s="31"/>
      <c r="F139" s="32"/>
      <c r="G139" s="33"/>
      <c r="H139" s="34"/>
      <c r="I139" s="34"/>
      <c r="J139" s="35"/>
      <c r="K139" s="36"/>
      <c r="L139" s="37"/>
      <c r="M139" s="38">
        <f>SUM(M138:M138)</f>
        <v>30</v>
      </c>
      <c r="N139" s="38"/>
      <c r="O139" s="39" t="s">
        <v>111</v>
      </c>
      <c r="P139" s="38">
        <f>SUM(P138:P138)</f>
        <v>0</v>
      </c>
      <c r="Q139" s="38">
        <f>SUM(Q138:Q138)</f>
        <v>0</v>
      </c>
      <c r="R139" s="30"/>
      <c r="S139" s="38">
        <f t="shared" ref="S139:AD139" si="218">SUM(S138:S138)</f>
        <v>0</v>
      </c>
      <c r="T139" s="38">
        <f t="shared" si="218"/>
        <v>0</v>
      </c>
      <c r="U139" s="38">
        <f t="shared" si="218"/>
        <v>0</v>
      </c>
      <c r="V139" s="38">
        <f t="shared" si="218"/>
        <v>0</v>
      </c>
      <c r="W139" s="38">
        <f t="shared" si="218"/>
        <v>0</v>
      </c>
      <c r="X139" s="38">
        <f t="shared" si="218"/>
        <v>0</v>
      </c>
      <c r="Y139" s="38">
        <f t="shared" si="218"/>
        <v>0</v>
      </c>
      <c r="Z139" s="38">
        <f t="shared" si="218"/>
        <v>0</v>
      </c>
      <c r="AA139" s="38">
        <f t="shared" si="218"/>
        <v>0</v>
      </c>
      <c r="AB139" s="38">
        <f t="shared" si="218"/>
        <v>0</v>
      </c>
      <c r="AC139" s="38">
        <f t="shared" si="218"/>
        <v>0</v>
      </c>
      <c r="AD139" s="38">
        <f t="shared" si="218"/>
        <v>0</v>
      </c>
      <c r="AE139" s="30"/>
      <c r="AF139" s="38">
        <f>SUM(AF138:AF138)</f>
        <v>0</v>
      </c>
      <c r="AG139" s="30"/>
      <c r="AH139" s="38">
        <f t="shared" ref="AH139:AZ139" si="219">SUM(AH138:AH138)</f>
        <v>0</v>
      </c>
      <c r="AI139" s="38">
        <f t="shared" si="219"/>
        <v>0</v>
      </c>
      <c r="AJ139" s="38">
        <f t="shared" si="219"/>
        <v>0</v>
      </c>
      <c r="AK139" s="38">
        <f t="shared" si="219"/>
        <v>0</v>
      </c>
      <c r="AL139" s="38">
        <f t="shared" si="219"/>
        <v>0</v>
      </c>
      <c r="AM139" s="38">
        <f t="shared" si="219"/>
        <v>0</v>
      </c>
      <c r="AN139" s="38">
        <f t="shared" si="219"/>
        <v>0</v>
      </c>
      <c r="AO139" s="38">
        <f t="shared" si="219"/>
        <v>0</v>
      </c>
      <c r="AP139" s="38">
        <f t="shared" si="219"/>
        <v>0</v>
      </c>
      <c r="AQ139" s="38">
        <f t="shared" si="219"/>
        <v>0</v>
      </c>
      <c r="AR139" s="38">
        <f t="shared" si="219"/>
        <v>0</v>
      </c>
      <c r="AS139" s="38">
        <f t="shared" si="219"/>
        <v>0</v>
      </c>
      <c r="AT139" s="38">
        <f t="shared" si="219"/>
        <v>0</v>
      </c>
      <c r="AU139" s="38">
        <f t="shared" si="219"/>
        <v>0</v>
      </c>
      <c r="AV139" s="38">
        <f t="shared" si="219"/>
        <v>0</v>
      </c>
      <c r="AW139" s="38">
        <f t="shared" si="219"/>
        <v>0</v>
      </c>
      <c r="AX139" s="38">
        <f t="shared" si="219"/>
        <v>0</v>
      </c>
      <c r="AY139" s="38">
        <f t="shared" si="219"/>
        <v>0</v>
      </c>
      <c r="AZ139" s="38">
        <f t="shared" si="219"/>
        <v>0</v>
      </c>
      <c r="BA139" s="30"/>
      <c r="BB139" s="38">
        <f t="shared" ref="BB139:CT139" si="220">SUM(BB138:BB138)</f>
        <v>0</v>
      </c>
      <c r="BC139" s="38">
        <f t="shared" si="220"/>
        <v>0</v>
      </c>
      <c r="BD139" s="38">
        <f t="shared" si="220"/>
        <v>0</v>
      </c>
      <c r="BE139" s="38">
        <f t="shared" si="220"/>
        <v>0</v>
      </c>
      <c r="BF139" s="38">
        <f t="shared" si="220"/>
        <v>0</v>
      </c>
      <c r="BG139" s="38">
        <f t="shared" si="220"/>
        <v>0</v>
      </c>
      <c r="BH139" s="38">
        <f t="shared" si="220"/>
        <v>0</v>
      </c>
      <c r="BI139" s="38">
        <f t="shared" si="220"/>
        <v>0</v>
      </c>
      <c r="BJ139" s="38">
        <f t="shared" si="220"/>
        <v>0</v>
      </c>
      <c r="BK139" s="38">
        <f t="shared" si="220"/>
        <v>0</v>
      </c>
      <c r="BL139" s="38">
        <f t="shared" si="220"/>
        <v>0</v>
      </c>
      <c r="BM139" s="38">
        <f t="shared" si="220"/>
        <v>0</v>
      </c>
      <c r="BN139" s="38">
        <f t="shared" si="220"/>
        <v>0</v>
      </c>
      <c r="BO139" s="38">
        <f>SUM(BO138:BO138)</f>
        <v>30</v>
      </c>
      <c r="BP139" s="38">
        <f t="shared" si="220"/>
        <v>0</v>
      </c>
      <c r="BQ139" s="38">
        <f t="shared" si="220"/>
        <v>0</v>
      </c>
      <c r="BR139" s="38">
        <f t="shared" si="220"/>
        <v>0</v>
      </c>
      <c r="BS139" s="38">
        <f t="shared" si="220"/>
        <v>0</v>
      </c>
      <c r="BT139" s="38">
        <f t="shared" si="220"/>
        <v>0</v>
      </c>
      <c r="BU139" s="38">
        <f t="shared" si="220"/>
        <v>0</v>
      </c>
      <c r="BV139" s="38">
        <f t="shared" si="220"/>
        <v>0</v>
      </c>
      <c r="BW139" s="38">
        <f t="shared" si="220"/>
        <v>0</v>
      </c>
      <c r="BX139" s="38">
        <f t="shared" si="220"/>
        <v>0</v>
      </c>
      <c r="BY139" s="38">
        <f t="shared" si="220"/>
        <v>0</v>
      </c>
      <c r="BZ139" s="38">
        <f t="shared" si="220"/>
        <v>0</v>
      </c>
      <c r="CA139" s="38">
        <f t="shared" si="220"/>
        <v>0</v>
      </c>
      <c r="CB139" s="38">
        <f t="shared" si="220"/>
        <v>0</v>
      </c>
      <c r="CC139" s="38">
        <f t="shared" si="220"/>
        <v>0</v>
      </c>
      <c r="CD139" s="38">
        <f t="shared" si="220"/>
        <v>0</v>
      </c>
      <c r="CE139" s="38">
        <f t="shared" si="220"/>
        <v>0</v>
      </c>
      <c r="CF139" s="38">
        <f t="shared" si="220"/>
        <v>0</v>
      </c>
      <c r="CG139" s="38">
        <f t="shared" si="220"/>
        <v>0</v>
      </c>
      <c r="CH139" s="38">
        <f t="shared" si="220"/>
        <v>0</v>
      </c>
      <c r="CI139" s="38">
        <f t="shared" si="220"/>
        <v>0</v>
      </c>
      <c r="CJ139" s="38">
        <f t="shared" si="220"/>
        <v>0</v>
      </c>
      <c r="CK139" s="38">
        <f t="shared" si="220"/>
        <v>0</v>
      </c>
      <c r="CL139" s="38">
        <f t="shared" si="220"/>
        <v>0</v>
      </c>
      <c r="CM139" s="38">
        <f t="shared" si="220"/>
        <v>0</v>
      </c>
      <c r="CN139" s="38">
        <f t="shared" si="220"/>
        <v>0</v>
      </c>
      <c r="CO139" s="38">
        <f t="shared" si="220"/>
        <v>0</v>
      </c>
      <c r="CP139" s="38">
        <f t="shared" si="220"/>
        <v>0</v>
      </c>
      <c r="CQ139" s="38">
        <f t="shared" si="220"/>
        <v>0</v>
      </c>
      <c r="CR139" s="38">
        <f t="shared" si="220"/>
        <v>0</v>
      </c>
      <c r="CS139" s="38">
        <f t="shared" si="220"/>
        <v>0</v>
      </c>
      <c r="CT139" s="38">
        <f t="shared" si="220"/>
        <v>0</v>
      </c>
      <c r="CU139" s="17">
        <f t="shared" si="170"/>
        <v>30</v>
      </c>
      <c r="CV139" s="25">
        <f t="shared" si="171"/>
        <v>0</v>
      </c>
      <c r="CW139" s="40"/>
      <c r="CX139" s="30"/>
      <c r="CY139" s="30"/>
    </row>
    <row r="140" spans="1:103" x14ac:dyDescent="0.2">
      <c r="A140" s="2">
        <v>45881</v>
      </c>
      <c r="B140" s="3" t="s">
        <v>292</v>
      </c>
      <c r="C140" s="4" t="s">
        <v>525</v>
      </c>
      <c r="D140" s="5" t="s">
        <v>122</v>
      </c>
      <c r="E140" s="6" t="s">
        <v>298</v>
      </c>
      <c r="F140" s="7" t="s">
        <v>299</v>
      </c>
      <c r="G140" s="8" t="s">
        <v>300</v>
      </c>
      <c r="H140" s="9">
        <v>286686</v>
      </c>
      <c r="I140" s="10" t="s">
        <v>410</v>
      </c>
      <c r="J140" s="11" t="s">
        <v>301</v>
      </c>
      <c r="K140" s="12">
        <v>5</v>
      </c>
      <c r="L140" s="13">
        <v>30</v>
      </c>
      <c r="M140" s="14">
        <f t="shared" ref="M140" si="221">L140*K140</f>
        <v>150</v>
      </c>
      <c r="N140" s="15"/>
      <c r="O140" s="16" t="s">
        <v>111</v>
      </c>
      <c r="P140" s="17">
        <f>M140/1.12*0.01</f>
        <v>1.3392857142857142</v>
      </c>
      <c r="Q140" s="18">
        <f>M140/1.12*0.12</f>
        <v>16.071428571428569</v>
      </c>
      <c r="R140" s="5"/>
      <c r="S140" s="19"/>
      <c r="T140" s="19"/>
      <c r="U140" s="19"/>
      <c r="V140" s="19"/>
      <c r="W140" s="17">
        <f>M140+P140-Q140</f>
        <v>135.26785714285717</v>
      </c>
      <c r="X140" s="20"/>
      <c r="Y140" s="19"/>
      <c r="Z140" s="19"/>
      <c r="AA140" s="19"/>
      <c r="AB140" s="19"/>
      <c r="AC140" s="19"/>
      <c r="AD140" s="19"/>
      <c r="AE140" s="5"/>
      <c r="AF140" s="19"/>
      <c r="AG140" s="5"/>
      <c r="AH140" s="17"/>
      <c r="AI140" s="19"/>
      <c r="AJ140" s="19"/>
      <c r="AK140" s="19"/>
      <c r="AL140" s="19"/>
      <c r="AM140" s="17"/>
      <c r="AN140" s="19"/>
      <c r="AO140" s="19"/>
      <c r="AP140" s="19"/>
      <c r="AQ140" s="19"/>
      <c r="AR140" s="19"/>
      <c r="AS140" s="21"/>
      <c r="AT140" s="5"/>
      <c r="AU140" s="19"/>
      <c r="AV140" s="5"/>
      <c r="AW140" s="22"/>
      <c r="AX140" s="19"/>
      <c r="AY140" s="5"/>
      <c r="AZ140" s="19"/>
      <c r="BA140" s="5"/>
      <c r="BB140" s="5"/>
      <c r="BC140" s="19"/>
      <c r="BD140" s="19"/>
      <c r="BE140" s="19"/>
      <c r="BF140" s="19"/>
      <c r="BG140" s="19"/>
      <c r="BH140" s="19"/>
      <c r="BI140" s="19"/>
      <c r="BJ140" s="19"/>
      <c r="BK140" s="13"/>
      <c r="BL140" s="5"/>
      <c r="BM140" s="5"/>
      <c r="BN140" s="19"/>
      <c r="BO140" s="17"/>
      <c r="BP140" s="19"/>
      <c r="BQ140" s="17"/>
      <c r="BR140" s="19"/>
      <c r="BS140" s="13"/>
      <c r="BT140" s="5"/>
      <c r="BU140" s="23"/>
      <c r="BV140" s="23"/>
      <c r="BW140" s="24"/>
      <c r="BX140" s="5"/>
      <c r="BY140" s="5"/>
      <c r="BZ140" s="5"/>
      <c r="CA140" s="24"/>
      <c r="CB140" s="24"/>
      <c r="CC140" s="24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>
        <f t="shared" si="170"/>
        <v>150</v>
      </c>
      <c r="CV140" s="25">
        <f t="shared" si="171"/>
        <v>0</v>
      </c>
      <c r="CW140" s="26"/>
      <c r="CX140" s="5"/>
      <c r="CY140" s="5"/>
    </row>
    <row r="141" spans="1:103" x14ac:dyDescent="0.2">
      <c r="A141" s="27"/>
      <c r="B141" s="28"/>
      <c r="C141" s="29"/>
      <c r="D141" s="30"/>
      <c r="E141" s="31"/>
      <c r="F141" s="32"/>
      <c r="G141" s="33"/>
      <c r="H141" s="34"/>
      <c r="I141" s="34"/>
      <c r="J141" s="35"/>
      <c r="K141" s="36"/>
      <c r="L141" s="37"/>
      <c r="M141" s="38">
        <f>SUM(M140:M140)</f>
        <v>150</v>
      </c>
      <c r="N141" s="38"/>
      <c r="O141" s="39" t="s">
        <v>111</v>
      </c>
      <c r="P141" s="38">
        <f>SUM(P140:P140)</f>
        <v>1.3392857142857142</v>
      </c>
      <c r="Q141" s="38">
        <f>SUM(Q140:Q140)</f>
        <v>16.071428571428569</v>
      </c>
      <c r="R141" s="30"/>
      <c r="S141" s="38">
        <f t="shared" ref="S141:AD141" si="222">SUM(S140:S140)</f>
        <v>0</v>
      </c>
      <c r="T141" s="38">
        <f t="shared" si="222"/>
        <v>0</v>
      </c>
      <c r="U141" s="38">
        <f t="shared" si="222"/>
        <v>0</v>
      </c>
      <c r="V141" s="38">
        <f t="shared" si="222"/>
        <v>0</v>
      </c>
      <c r="W141" s="38">
        <f>SUM(W140:W140)</f>
        <v>135.26785714285717</v>
      </c>
      <c r="X141" s="38">
        <f t="shared" si="222"/>
        <v>0</v>
      </c>
      <c r="Y141" s="38">
        <f t="shared" si="222"/>
        <v>0</v>
      </c>
      <c r="Z141" s="38">
        <f t="shared" si="222"/>
        <v>0</v>
      </c>
      <c r="AA141" s="38">
        <f t="shared" si="222"/>
        <v>0</v>
      </c>
      <c r="AB141" s="38">
        <f t="shared" si="222"/>
        <v>0</v>
      </c>
      <c r="AC141" s="38">
        <f t="shared" si="222"/>
        <v>0</v>
      </c>
      <c r="AD141" s="38">
        <f t="shared" si="222"/>
        <v>0</v>
      </c>
      <c r="AE141" s="30"/>
      <c r="AF141" s="38">
        <f>SUM(AF140:AF140)</f>
        <v>0</v>
      </c>
      <c r="AG141" s="30"/>
      <c r="AH141" s="38">
        <f t="shared" ref="AH141:AZ141" si="223">SUM(AH140:AH140)</f>
        <v>0</v>
      </c>
      <c r="AI141" s="38">
        <f t="shared" si="223"/>
        <v>0</v>
      </c>
      <c r="AJ141" s="38">
        <f t="shared" si="223"/>
        <v>0</v>
      </c>
      <c r="AK141" s="38">
        <f t="shared" si="223"/>
        <v>0</v>
      </c>
      <c r="AL141" s="38">
        <f t="shared" si="223"/>
        <v>0</v>
      </c>
      <c r="AM141" s="38">
        <f t="shared" si="223"/>
        <v>0</v>
      </c>
      <c r="AN141" s="38">
        <f t="shared" si="223"/>
        <v>0</v>
      </c>
      <c r="AO141" s="38">
        <f t="shared" si="223"/>
        <v>0</v>
      </c>
      <c r="AP141" s="38">
        <f t="shared" si="223"/>
        <v>0</v>
      </c>
      <c r="AQ141" s="38">
        <f t="shared" si="223"/>
        <v>0</v>
      </c>
      <c r="AR141" s="38">
        <f t="shared" si="223"/>
        <v>0</v>
      </c>
      <c r="AS141" s="38">
        <f t="shared" si="223"/>
        <v>0</v>
      </c>
      <c r="AT141" s="38">
        <f t="shared" si="223"/>
        <v>0</v>
      </c>
      <c r="AU141" s="38">
        <f t="shared" si="223"/>
        <v>0</v>
      </c>
      <c r="AV141" s="38">
        <f t="shared" si="223"/>
        <v>0</v>
      </c>
      <c r="AW141" s="38">
        <f t="shared" si="223"/>
        <v>0</v>
      </c>
      <c r="AX141" s="38">
        <f t="shared" si="223"/>
        <v>0</v>
      </c>
      <c r="AY141" s="38">
        <f t="shared" si="223"/>
        <v>0</v>
      </c>
      <c r="AZ141" s="38">
        <f t="shared" si="223"/>
        <v>0</v>
      </c>
      <c r="BA141" s="30"/>
      <c r="BB141" s="38">
        <f t="shared" ref="BB141:CT141" si="224">SUM(BB140:BB140)</f>
        <v>0</v>
      </c>
      <c r="BC141" s="38">
        <f t="shared" si="224"/>
        <v>0</v>
      </c>
      <c r="BD141" s="38">
        <f t="shared" si="224"/>
        <v>0</v>
      </c>
      <c r="BE141" s="38">
        <f t="shared" si="224"/>
        <v>0</v>
      </c>
      <c r="BF141" s="38">
        <f t="shared" si="224"/>
        <v>0</v>
      </c>
      <c r="BG141" s="38">
        <f t="shared" si="224"/>
        <v>0</v>
      </c>
      <c r="BH141" s="38">
        <f t="shared" si="224"/>
        <v>0</v>
      </c>
      <c r="BI141" s="38">
        <f t="shared" si="224"/>
        <v>0</v>
      </c>
      <c r="BJ141" s="38">
        <f t="shared" si="224"/>
        <v>0</v>
      </c>
      <c r="BK141" s="38">
        <f t="shared" si="224"/>
        <v>0</v>
      </c>
      <c r="BL141" s="38">
        <f t="shared" si="224"/>
        <v>0</v>
      </c>
      <c r="BM141" s="38">
        <f t="shared" si="224"/>
        <v>0</v>
      </c>
      <c r="BN141" s="38">
        <f t="shared" si="224"/>
        <v>0</v>
      </c>
      <c r="BO141" s="38">
        <f t="shared" si="224"/>
        <v>0</v>
      </c>
      <c r="BP141" s="38">
        <f t="shared" si="224"/>
        <v>0</v>
      </c>
      <c r="BQ141" s="38">
        <f t="shared" si="224"/>
        <v>0</v>
      </c>
      <c r="BR141" s="38">
        <f t="shared" si="224"/>
        <v>0</v>
      </c>
      <c r="BS141" s="38">
        <f t="shared" si="224"/>
        <v>0</v>
      </c>
      <c r="BT141" s="38">
        <f t="shared" si="224"/>
        <v>0</v>
      </c>
      <c r="BU141" s="38">
        <f t="shared" si="224"/>
        <v>0</v>
      </c>
      <c r="BV141" s="38">
        <f t="shared" si="224"/>
        <v>0</v>
      </c>
      <c r="BW141" s="38">
        <f t="shared" si="224"/>
        <v>0</v>
      </c>
      <c r="BX141" s="38">
        <f t="shared" si="224"/>
        <v>0</v>
      </c>
      <c r="BY141" s="38">
        <f t="shared" si="224"/>
        <v>0</v>
      </c>
      <c r="BZ141" s="38">
        <f t="shared" si="224"/>
        <v>0</v>
      </c>
      <c r="CA141" s="38">
        <f t="shared" si="224"/>
        <v>0</v>
      </c>
      <c r="CB141" s="38">
        <f t="shared" si="224"/>
        <v>0</v>
      </c>
      <c r="CC141" s="38">
        <f t="shared" si="224"/>
        <v>0</v>
      </c>
      <c r="CD141" s="38">
        <f t="shared" si="224"/>
        <v>0</v>
      </c>
      <c r="CE141" s="38">
        <f t="shared" si="224"/>
        <v>0</v>
      </c>
      <c r="CF141" s="38">
        <f t="shared" si="224"/>
        <v>0</v>
      </c>
      <c r="CG141" s="38">
        <f t="shared" si="224"/>
        <v>0</v>
      </c>
      <c r="CH141" s="38">
        <f t="shared" si="224"/>
        <v>0</v>
      </c>
      <c r="CI141" s="38">
        <f t="shared" si="224"/>
        <v>0</v>
      </c>
      <c r="CJ141" s="38">
        <f t="shared" si="224"/>
        <v>0</v>
      </c>
      <c r="CK141" s="38">
        <f t="shared" si="224"/>
        <v>0</v>
      </c>
      <c r="CL141" s="38">
        <f t="shared" si="224"/>
        <v>0</v>
      </c>
      <c r="CM141" s="38">
        <f t="shared" si="224"/>
        <v>0</v>
      </c>
      <c r="CN141" s="38">
        <f t="shared" si="224"/>
        <v>0</v>
      </c>
      <c r="CO141" s="38">
        <f t="shared" si="224"/>
        <v>0</v>
      </c>
      <c r="CP141" s="38">
        <f t="shared" si="224"/>
        <v>0</v>
      </c>
      <c r="CQ141" s="38">
        <f t="shared" si="224"/>
        <v>0</v>
      </c>
      <c r="CR141" s="38">
        <f t="shared" si="224"/>
        <v>0</v>
      </c>
      <c r="CS141" s="38">
        <f t="shared" si="224"/>
        <v>0</v>
      </c>
      <c r="CT141" s="38">
        <f t="shared" si="224"/>
        <v>0</v>
      </c>
      <c r="CU141" s="17">
        <f t="shared" si="170"/>
        <v>150</v>
      </c>
      <c r="CV141" s="25">
        <f t="shared" si="171"/>
        <v>0</v>
      </c>
      <c r="CW141" s="40"/>
      <c r="CX141" s="30"/>
      <c r="CY141" s="30"/>
    </row>
    <row r="142" spans="1:103" x14ac:dyDescent="0.2">
      <c r="A142" s="2">
        <v>45882</v>
      </c>
      <c r="B142" s="3" t="s">
        <v>292</v>
      </c>
      <c r="C142" s="4" t="s">
        <v>526</v>
      </c>
      <c r="D142" s="5" t="s">
        <v>122</v>
      </c>
      <c r="E142" s="6" t="s">
        <v>302</v>
      </c>
      <c r="F142" s="7" t="s">
        <v>296</v>
      </c>
      <c r="G142" s="8" t="s">
        <v>164</v>
      </c>
      <c r="H142" s="9">
        <v>91447</v>
      </c>
      <c r="I142" s="10" t="s">
        <v>411</v>
      </c>
      <c r="J142" s="11" t="s">
        <v>297</v>
      </c>
      <c r="K142" s="12">
        <v>5</v>
      </c>
      <c r="L142" s="13">
        <v>469</v>
      </c>
      <c r="M142" s="14">
        <f t="shared" ref="M142" si="225">L142*K142</f>
        <v>2345</v>
      </c>
      <c r="N142" s="15"/>
      <c r="O142" s="16" t="s">
        <v>111</v>
      </c>
      <c r="P142" s="17">
        <f>M142/1.12*0.01</f>
        <v>20.9375</v>
      </c>
      <c r="Q142" s="18">
        <f>M142/1.12*0.12</f>
        <v>251.25</v>
      </c>
      <c r="R142" s="5"/>
      <c r="S142" s="19"/>
      <c r="T142" s="19"/>
      <c r="U142" s="19"/>
      <c r="V142" s="17">
        <f>M142+P142-Q142</f>
        <v>2114.6875</v>
      </c>
      <c r="W142" s="17"/>
      <c r="X142" s="20"/>
      <c r="Y142" s="19"/>
      <c r="Z142" s="19"/>
      <c r="AA142" s="19"/>
      <c r="AB142" s="19"/>
      <c r="AC142" s="19"/>
      <c r="AD142" s="19"/>
      <c r="AE142" s="5"/>
      <c r="AF142" s="19"/>
      <c r="AG142" s="5"/>
      <c r="AH142" s="17"/>
      <c r="AI142" s="19"/>
      <c r="AJ142" s="19"/>
      <c r="AK142" s="19"/>
      <c r="AL142" s="19"/>
      <c r="AM142" s="17"/>
      <c r="AN142" s="19"/>
      <c r="AO142" s="19"/>
      <c r="AP142" s="19"/>
      <c r="AQ142" s="19"/>
      <c r="AR142" s="19"/>
      <c r="AS142" s="21"/>
      <c r="AT142" s="5"/>
      <c r="AU142" s="19"/>
      <c r="AV142" s="5"/>
      <c r="AW142" s="22"/>
      <c r="AX142" s="19"/>
      <c r="AY142" s="5"/>
      <c r="AZ142" s="19"/>
      <c r="BA142" s="5"/>
      <c r="BB142" s="5"/>
      <c r="BC142" s="19"/>
      <c r="BD142" s="19"/>
      <c r="BE142" s="19"/>
      <c r="BF142" s="19"/>
      <c r="BG142" s="19"/>
      <c r="BH142" s="19"/>
      <c r="BI142" s="19"/>
      <c r="BJ142" s="19"/>
      <c r="BK142" s="13"/>
      <c r="BL142" s="5"/>
      <c r="BM142" s="5"/>
      <c r="BN142" s="19"/>
      <c r="BO142" s="17"/>
      <c r="BP142" s="19"/>
      <c r="BQ142" s="17"/>
      <c r="BR142" s="19"/>
      <c r="BS142" s="13"/>
      <c r="BT142" s="5"/>
      <c r="BU142" s="23"/>
      <c r="BV142" s="23"/>
      <c r="BW142" s="24"/>
      <c r="BX142" s="5"/>
      <c r="BY142" s="5"/>
      <c r="BZ142" s="5"/>
      <c r="CA142" s="24"/>
      <c r="CB142" s="24"/>
      <c r="CC142" s="24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>
        <f t="shared" si="170"/>
        <v>2345</v>
      </c>
      <c r="CV142" s="25">
        <f t="shared" si="171"/>
        <v>0</v>
      </c>
      <c r="CW142" s="26"/>
      <c r="CX142" s="5"/>
      <c r="CY142" s="5"/>
    </row>
    <row r="143" spans="1:103" x14ac:dyDescent="0.2">
      <c r="A143" s="27"/>
      <c r="B143" s="28"/>
      <c r="C143" s="29"/>
      <c r="D143" s="30"/>
      <c r="E143" s="31"/>
      <c r="F143" s="32"/>
      <c r="G143" s="33"/>
      <c r="H143" s="34"/>
      <c r="I143" s="34"/>
      <c r="J143" s="35"/>
      <c r="K143" s="36"/>
      <c r="L143" s="37"/>
      <c r="M143" s="38">
        <f>SUM(M142:M142)</f>
        <v>2345</v>
      </c>
      <c r="N143" s="38"/>
      <c r="O143" s="39" t="s">
        <v>111</v>
      </c>
      <c r="P143" s="38">
        <f>SUM(P142:P142)</f>
        <v>20.9375</v>
      </c>
      <c r="Q143" s="38">
        <f>SUM(Q142:Q142)</f>
        <v>251.25</v>
      </c>
      <c r="R143" s="30"/>
      <c r="S143" s="38">
        <f t="shared" ref="S143:AD143" si="226">SUM(S142:S142)</f>
        <v>0</v>
      </c>
      <c r="T143" s="38">
        <f t="shared" si="226"/>
        <v>0</v>
      </c>
      <c r="U143" s="38">
        <f t="shared" si="226"/>
        <v>0</v>
      </c>
      <c r="V143" s="38">
        <f>SUM(V142:V142)</f>
        <v>2114.6875</v>
      </c>
      <c r="W143" s="38">
        <f t="shared" si="226"/>
        <v>0</v>
      </c>
      <c r="X143" s="38">
        <f t="shared" si="226"/>
        <v>0</v>
      </c>
      <c r="Y143" s="38">
        <f t="shared" si="226"/>
        <v>0</v>
      </c>
      <c r="Z143" s="38">
        <f t="shared" si="226"/>
        <v>0</v>
      </c>
      <c r="AA143" s="38">
        <f t="shared" si="226"/>
        <v>0</v>
      </c>
      <c r="AB143" s="38">
        <f t="shared" si="226"/>
        <v>0</v>
      </c>
      <c r="AC143" s="38">
        <f t="shared" si="226"/>
        <v>0</v>
      </c>
      <c r="AD143" s="38">
        <f t="shared" si="226"/>
        <v>0</v>
      </c>
      <c r="AE143" s="30"/>
      <c r="AF143" s="38">
        <f>SUM(AF142:AF142)</f>
        <v>0</v>
      </c>
      <c r="AG143" s="30"/>
      <c r="AH143" s="38">
        <f t="shared" ref="AH143:AZ143" si="227">SUM(AH142:AH142)</f>
        <v>0</v>
      </c>
      <c r="AI143" s="38">
        <f t="shared" si="227"/>
        <v>0</v>
      </c>
      <c r="AJ143" s="38">
        <f t="shared" si="227"/>
        <v>0</v>
      </c>
      <c r="AK143" s="38">
        <f t="shared" si="227"/>
        <v>0</v>
      </c>
      <c r="AL143" s="38">
        <f t="shared" si="227"/>
        <v>0</v>
      </c>
      <c r="AM143" s="38">
        <f t="shared" si="227"/>
        <v>0</v>
      </c>
      <c r="AN143" s="38">
        <f t="shared" si="227"/>
        <v>0</v>
      </c>
      <c r="AO143" s="38">
        <f t="shared" si="227"/>
        <v>0</v>
      </c>
      <c r="AP143" s="38">
        <f t="shared" si="227"/>
        <v>0</v>
      </c>
      <c r="AQ143" s="38">
        <f t="shared" si="227"/>
        <v>0</v>
      </c>
      <c r="AR143" s="38">
        <f t="shared" si="227"/>
        <v>0</v>
      </c>
      <c r="AS143" s="38">
        <f t="shared" si="227"/>
        <v>0</v>
      </c>
      <c r="AT143" s="38">
        <f t="shared" si="227"/>
        <v>0</v>
      </c>
      <c r="AU143" s="38">
        <f t="shared" si="227"/>
        <v>0</v>
      </c>
      <c r="AV143" s="38">
        <f t="shared" si="227"/>
        <v>0</v>
      </c>
      <c r="AW143" s="38">
        <f t="shared" si="227"/>
        <v>0</v>
      </c>
      <c r="AX143" s="38">
        <f t="shared" si="227"/>
        <v>0</v>
      </c>
      <c r="AY143" s="38">
        <f t="shared" si="227"/>
        <v>0</v>
      </c>
      <c r="AZ143" s="38">
        <f t="shared" si="227"/>
        <v>0</v>
      </c>
      <c r="BA143" s="30"/>
      <c r="BB143" s="38">
        <f t="shared" ref="BB143:CT143" si="228">SUM(BB142:BB142)</f>
        <v>0</v>
      </c>
      <c r="BC143" s="38">
        <f t="shared" si="228"/>
        <v>0</v>
      </c>
      <c r="BD143" s="38">
        <f t="shared" si="228"/>
        <v>0</v>
      </c>
      <c r="BE143" s="38">
        <f t="shared" si="228"/>
        <v>0</v>
      </c>
      <c r="BF143" s="38">
        <f t="shared" si="228"/>
        <v>0</v>
      </c>
      <c r="BG143" s="38">
        <f t="shared" si="228"/>
        <v>0</v>
      </c>
      <c r="BH143" s="38">
        <f t="shared" si="228"/>
        <v>0</v>
      </c>
      <c r="BI143" s="38">
        <f t="shared" si="228"/>
        <v>0</v>
      </c>
      <c r="BJ143" s="38">
        <f t="shared" si="228"/>
        <v>0</v>
      </c>
      <c r="BK143" s="38">
        <f t="shared" si="228"/>
        <v>0</v>
      </c>
      <c r="BL143" s="38">
        <f t="shared" si="228"/>
        <v>0</v>
      </c>
      <c r="BM143" s="38">
        <f t="shared" si="228"/>
        <v>0</v>
      </c>
      <c r="BN143" s="38">
        <f t="shared" si="228"/>
        <v>0</v>
      </c>
      <c r="BO143" s="38">
        <f t="shared" si="228"/>
        <v>0</v>
      </c>
      <c r="BP143" s="38">
        <f t="shared" si="228"/>
        <v>0</v>
      </c>
      <c r="BQ143" s="38">
        <f t="shared" si="228"/>
        <v>0</v>
      </c>
      <c r="BR143" s="38">
        <f t="shared" si="228"/>
        <v>0</v>
      </c>
      <c r="BS143" s="38">
        <f t="shared" si="228"/>
        <v>0</v>
      </c>
      <c r="BT143" s="38">
        <f t="shared" si="228"/>
        <v>0</v>
      </c>
      <c r="BU143" s="38">
        <f t="shared" si="228"/>
        <v>0</v>
      </c>
      <c r="BV143" s="38">
        <f t="shared" si="228"/>
        <v>0</v>
      </c>
      <c r="BW143" s="38">
        <f t="shared" si="228"/>
        <v>0</v>
      </c>
      <c r="BX143" s="38">
        <f t="shared" si="228"/>
        <v>0</v>
      </c>
      <c r="BY143" s="38">
        <f t="shared" si="228"/>
        <v>0</v>
      </c>
      <c r="BZ143" s="38">
        <f t="shared" si="228"/>
        <v>0</v>
      </c>
      <c r="CA143" s="38">
        <f t="shared" si="228"/>
        <v>0</v>
      </c>
      <c r="CB143" s="38">
        <f t="shared" si="228"/>
        <v>0</v>
      </c>
      <c r="CC143" s="38">
        <f t="shared" si="228"/>
        <v>0</v>
      </c>
      <c r="CD143" s="38">
        <f t="shared" si="228"/>
        <v>0</v>
      </c>
      <c r="CE143" s="38">
        <f t="shared" si="228"/>
        <v>0</v>
      </c>
      <c r="CF143" s="38">
        <f t="shared" si="228"/>
        <v>0</v>
      </c>
      <c r="CG143" s="38">
        <f t="shared" si="228"/>
        <v>0</v>
      </c>
      <c r="CH143" s="38">
        <f t="shared" si="228"/>
        <v>0</v>
      </c>
      <c r="CI143" s="38">
        <f t="shared" si="228"/>
        <v>0</v>
      </c>
      <c r="CJ143" s="38">
        <f t="shared" si="228"/>
        <v>0</v>
      </c>
      <c r="CK143" s="38">
        <f t="shared" si="228"/>
        <v>0</v>
      </c>
      <c r="CL143" s="38">
        <f t="shared" si="228"/>
        <v>0</v>
      </c>
      <c r="CM143" s="38">
        <f t="shared" si="228"/>
        <v>0</v>
      </c>
      <c r="CN143" s="38">
        <f t="shared" si="228"/>
        <v>0</v>
      </c>
      <c r="CO143" s="38">
        <f t="shared" si="228"/>
        <v>0</v>
      </c>
      <c r="CP143" s="38">
        <f t="shared" si="228"/>
        <v>0</v>
      </c>
      <c r="CQ143" s="38">
        <f t="shared" si="228"/>
        <v>0</v>
      </c>
      <c r="CR143" s="38">
        <f t="shared" si="228"/>
        <v>0</v>
      </c>
      <c r="CS143" s="38">
        <f t="shared" si="228"/>
        <v>0</v>
      </c>
      <c r="CT143" s="38">
        <f t="shared" si="228"/>
        <v>0</v>
      </c>
      <c r="CU143" s="17">
        <f t="shared" si="170"/>
        <v>2345</v>
      </c>
      <c r="CV143" s="25">
        <f t="shared" si="171"/>
        <v>0</v>
      </c>
      <c r="CW143" s="40"/>
      <c r="CX143" s="30"/>
      <c r="CY143" s="30"/>
    </row>
    <row r="144" spans="1:103" x14ac:dyDescent="0.2">
      <c r="A144" s="2" t="s">
        <v>528</v>
      </c>
      <c r="B144" s="3" t="s">
        <v>292</v>
      </c>
      <c r="C144" s="4" t="s">
        <v>527</v>
      </c>
      <c r="D144" s="5" t="s">
        <v>122</v>
      </c>
      <c r="E144" s="6" t="s">
        <v>302</v>
      </c>
      <c r="F144" s="7" t="s">
        <v>296</v>
      </c>
      <c r="G144" s="8" t="s">
        <v>164</v>
      </c>
      <c r="H144" s="9">
        <v>433857</v>
      </c>
      <c r="I144" s="10"/>
      <c r="J144" s="11" t="s">
        <v>297</v>
      </c>
      <c r="K144" s="12">
        <v>5</v>
      </c>
      <c r="L144" s="13">
        <v>469</v>
      </c>
      <c r="M144" s="14">
        <f t="shared" ref="M144" si="229">L144*K144</f>
        <v>2345</v>
      </c>
      <c r="N144" s="15"/>
      <c r="O144" s="16" t="s">
        <v>111</v>
      </c>
      <c r="P144" s="17">
        <f>M144/1.12*0.02</f>
        <v>41.875</v>
      </c>
      <c r="Q144" s="18">
        <f>M144/1.12*0.12</f>
        <v>251.25</v>
      </c>
      <c r="R144" s="5"/>
      <c r="S144" s="19"/>
      <c r="T144" s="19"/>
      <c r="U144" s="19"/>
      <c r="V144" s="17">
        <f>M144+P144-Q144</f>
        <v>2135.625</v>
      </c>
      <c r="W144" s="17"/>
      <c r="X144" s="20"/>
      <c r="Y144" s="19"/>
      <c r="Z144" s="19"/>
      <c r="AA144" s="19"/>
      <c r="AB144" s="19"/>
      <c r="AC144" s="19"/>
      <c r="AD144" s="19"/>
      <c r="AE144" s="5"/>
      <c r="AF144" s="19"/>
      <c r="AG144" s="5"/>
      <c r="AH144" s="17"/>
      <c r="AI144" s="19"/>
      <c r="AJ144" s="19"/>
      <c r="AK144" s="19"/>
      <c r="AL144" s="19"/>
      <c r="AM144" s="17"/>
      <c r="AN144" s="19"/>
      <c r="AO144" s="19"/>
      <c r="AP144" s="19"/>
      <c r="AQ144" s="19"/>
      <c r="AR144" s="19"/>
      <c r="AS144" s="21"/>
      <c r="AT144" s="5"/>
      <c r="AU144" s="19"/>
      <c r="AV144" s="5"/>
      <c r="AW144" s="22"/>
      <c r="AX144" s="19"/>
      <c r="AY144" s="5"/>
      <c r="AZ144" s="19"/>
      <c r="BA144" s="5"/>
      <c r="BB144" s="5"/>
      <c r="BC144" s="19"/>
      <c r="BD144" s="19"/>
      <c r="BE144" s="19"/>
      <c r="BF144" s="19"/>
      <c r="BG144" s="19"/>
      <c r="BH144" s="19"/>
      <c r="BI144" s="19"/>
      <c r="BJ144" s="19"/>
      <c r="BK144" s="13"/>
      <c r="BL144" s="5"/>
      <c r="BM144" s="5"/>
      <c r="BN144" s="19"/>
      <c r="BO144" s="17"/>
      <c r="BP144" s="19"/>
      <c r="BQ144" s="17"/>
      <c r="BR144" s="19"/>
      <c r="BS144" s="5"/>
      <c r="BT144" s="5"/>
      <c r="BU144" s="23"/>
      <c r="BV144" s="23"/>
      <c r="BW144" s="24"/>
      <c r="BX144" s="5"/>
      <c r="BY144" s="5"/>
      <c r="BZ144" s="5"/>
      <c r="CA144" s="24"/>
      <c r="CB144" s="24"/>
      <c r="CC144" s="24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>
        <f t="shared" si="170"/>
        <v>2345</v>
      </c>
      <c r="CV144" s="25">
        <f t="shared" si="171"/>
        <v>0</v>
      </c>
      <c r="CW144" s="26"/>
      <c r="CX144" s="5"/>
      <c r="CY144" s="5"/>
    </row>
    <row r="145" spans="1:103" x14ac:dyDescent="0.2">
      <c r="A145" s="161"/>
      <c r="B145" s="162"/>
      <c r="C145" s="163"/>
      <c r="D145" s="164"/>
      <c r="E145" s="165"/>
      <c r="F145" s="166"/>
      <c r="G145" s="167"/>
      <c r="H145" s="168"/>
      <c r="I145" s="168"/>
      <c r="J145" s="169"/>
      <c r="K145" s="170"/>
      <c r="L145" s="171"/>
      <c r="M145" s="172">
        <f>SUM(M144:M144)</f>
        <v>2345</v>
      </c>
      <c r="N145" s="172">
        <f>M145+M143+M141+M139</f>
        <v>4870</v>
      </c>
      <c r="O145" s="173" t="s">
        <v>111</v>
      </c>
      <c r="P145" s="172">
        <f>SUM(P144:P144)</f>
        <v>41.875</v>
      </c>
      <c r="Q145" s="172">
        <f>SUM(Q144:Q144)</f>
        <v>251.25</v>
      </c>
      <c r="R145" s="164"/>
      <c r="S145" s="172">
        <f t="shared" ref="S145:AD145" si="230">SUM(S144:S144)</f>
        <v>0</v>
      </c>
      <c r="T145" s="172">
        <f t="shared" si="230"/>
        <v>0</v>
      </c>
      <c r="U145" s="172">
        <f t="shared" si="230"/>
        <v>0</v>
      </c>
      <c r="V145" s="172">
        <f>SUM(V144:V144)</f>
        <v>2135.625</v>
      </c>
      <c r="W145" s="172">
        <f t="shared" si="230"/>
        <v>0</v>
      </c>
      <c r="X145" s="172">
        <f t="shared" si="230"/>
        <v>0</v>
      </c>
      <c r="Y145" s="172">
        <f t="shared" si="230"/>
        <v>0</v>
      </c>
      <c r="Z145" s="172">
        <f t="shared" si="230"/>
        <v>0</v>
      </c>
      <c r="AA145" s="172">
        <f t="shared" si="230"/>
        <v>0</v>
      </c>
      <c r="AB145" s="172">
        <f t="shared" si="230"/>
        <v>0</v>
      </c>
      <c r="AC145" s="172">
        <f t="shared" si="230"/>
        <v>0</v>
      </c>
      <c r="AD145" s="172">
        <f t="shared" si="230"/>
        <v>0</v>
      </c>
      <c r="AE145" s="164"/>
      <c r="AF145" s="172">
        <f>SUM(AF144:AF144)</f>
        <v>0</v>
      </c>
      <c r="AG145" s="164"/>
      <c r="AH145" s="172">
        <f t="shared" ref="AH145:AZ145" si="231">SUM(AH144:AH144)</f>
        <v>0</v>
      </c>
      <c r="AI145" s="172">
        <f t="shared" si="231"/>
        <v>0</v>
      </c>
      <c r="AJ145" s="172">
        <f t="shared" si="231"/>
        <v>0</v>
      </c>
      <c r="AK145" s="172">
        <f t="shared" si="231"/>
        <v>0</v>
      </c>
      <c r="AL145" s="172">
        <f t="shared" si="231"/>
        <v>0</v>
      </c>
      <c r="AM145" s="172">
        <f t="shared" si="231"/>
        <v>0</v>
      </c>
      <c r="AN145" s="172">
        <f t="shared" si="231"/>
        <v>0</v>
      </c>
      <c r="AO145" s="172">
        <f t="shared" si="231"/>
        <v>0</v>
      </c>
      <c r="AP145" s="172">
        <f t="shared" si="231"/>
        <v>0</v>
      </c>
      <c r="AQ145" s="172">
        <f t="shared" si="231"/>
        <v>0</v>
      </c>
      <c r="AR145" s="172">
        <f t="shared" si="231"/>
        <v>0</v>
      </c>
      <c r="AS145" s="172">
        <f t="shared" si="231"/>
        <v>0</v>
      </c>
      <c r="AT145" s="172">
        <f t="shared" si="231"/>
        <v>0</v>
      </c>
      <c r="AU145" s="172">
        <f t="shared" si="231"/>
        <v>0</v>
      </c>
      <c r="AV145" s="172">
        <f t="shared" si="231"/>
        <v>0</v>
      </c>
      <c r="AW145" s="172">
        <f t="shared" si="231"/>
        <v>0</v>
      </c>
      <c r="AX145" s="172">
        <f t="shared" si="231"/>
        <v>0</v>
      </c>
      <c r="AY145" s="172">
        <f t="shared" si="231"/>
        <v>0</v>
      </c>
      <c r="AZ145" s="172">
        <f t="shared" si="231"/>
        <v>0</v>
      </c>
      <c r="BA145" s="164"/>
      <c r="BB145" s="172">
        <f t="shared" ref="BB145:CT145" si="232">SUM(BB144:BB144)</f>
        <v>0</v>
      </c>
      <c r="BC145" s="172">
        <f t="shared" si="232"/>
        <v>0</v>
      </c>
      <c r="BD145" s="172">
        <f t="shared" si="232"/>
        <v>0</v>
      </c>
      <c r="BE145" s="172">
        <f t="shared" si="232"/>
        <v>0</v>
      </c>
      <c r="BF145" s="172">
        <f t="shared" si="232"/>
        <v>0</v>
      </c>
      <c r="BG145" s="172">
        <f t="shared" si="232"/>
        <v>0</v>
      </c>
      <c r="BH145" s="172">
        <f t="shared" si="232"/>
        <v>0</v>
      </c>
      <c r="BI145" s="172">
        <f t="shared" si="232"/>
        <v>0</v>
      </c>
      <c r="BJ145" s="172">
        <f t="shared" si="232"/>
        <v>0</v>
      </c>
      <c r="BK145" s="172">
        <f t="shared" si="232"/>
        <v>0</v>
      </c>
      <c r="BL145" s="172">
        <f t="shared" si="232"/>
        <v>0</v>
      </c>
      <c r="BM145" s="172">
        <f t="shared" si="232"/>
        <v>0</v>
      </c>
      <c r="BN145" s="172">
        <f t="shared" si="232"/>
        <v>0</v>
      </c>
      <c r="BO145" s="172">
        <f t="shared" si="232"/>
        <v>0</v>
      </c>
      <c r="BP145" s="172">
        <f t="shared" si="232"/>
        <v>0</v>
      </c>
      <c r="BQ145" s="172">
        <f t="shared" si="232"/>
        <v>0</v>
      </c>
      <c r="BR145" s="172">
        <f t="shared" si="232"/>
        <v>0</v>
      </c>
      <c r="BS145" s="164"/>
      <c r="BT145" s="172">
        <f t="shared" si="232"/>
        <v>0</v>
      </c>
      <c r="BU145" s="172">
        <f t="shared" si="232"/>
        <v>0</v>
      </c>
      <c r="BV145" s="172">
        <f t="shared" si="232"/>
        <v>0</v>
      </c>
      <c r="BW145" s="172">
        <f t="shared" si="232"/>
        <v>0</v>
      </c>
      <c r="BX145" s="172">
        <f t="shared" si="232"/>
        <v>0</v>
      </c>
      <c r="BY145" s="172">
        <f t="shared" si="232"/>
        <v>0</v>
      </c>
      <c r="BZ145" s="172">
        <f t="shared" si="232"/>
        <v>0</v>
      </c>
      <c r="CA145" s="172">
        <f t="shared" si="232"/>
        <v>0</v>
      </c>
      <c r="CB145" s="172">
        <f t="shared" si="232"/>
        <v>0</v>
      </c>
      <c r="CC145" s="172">
        <f t="shared" si="232"/>
        <v>0</v>
      </c>
      <c r="CD145" s="172">
        <f t="shared" si="232"/>
        <v>0</v>
      </c>
      <c r="CE145" s="172">
        <f t="shared" si="232"/>
        <v>0</v>
      </c>
      <c r="CF145" s="172">
        <f t="shared" si="232"/>
        <v>0</v>
      </c>
      <c r="CG145" s="172">
        <f t="shared" si="232"/>
        <v>0</v>
      </c>
      <c r="CH145" s="172">
        <f t="shared" si="232"/>
        <v>0</v>
      </c>
      <c r="CI145" s="172">
        <f t="shared" si="232"/>
        <v>0</v>
      </c>
      <c r="CJ145" s="172">
        <f t="shared" si="232"/>
        <v>0</v>
      </c>
      <c r="CK145" s="172">
        <f t="shared" si="232"/>
        <v>0</v>
      </c>
      <c r="CL145" s="172">
        <f t="shared" si="232"/>
        <v>0</v>
      </c>
      <c r="CM145" s="172">
        <f t="shared" si="232"/>
        <v>0</v>
      </c>
      <c r="CN145" s="172">
        <f t="shared" si="232"/>
        <v>0</v>
      </c>
      <c r="CO145" s="172">
        <f t="shared" si="232"/>
        <v>0</v>
      </c>
      <c r="CP145" s="172">
        <f t="shared" si="232"/>
        <v>0</v>
      </c>
      <c r="CQ145" s="172">
        <f t="shared" si="232"/>
        <v>0</v>
      </c>
      <c r="CR145" s="172">
        <f t="shared" si="232"/>
        <v>0</v>
      </c>
      <c r="CS145" s="172">
        <f t="shared" si="232"/>
        <v>0</v>
      </c>
      <c r="CT145" s="172">
        <f t="shared" si="232"/>
        <v>0</v>
      </c>
      <c r="CU145" s="17">
        <f t="shared" si="170"/>
        <v>2345</v>
      </c>
      <c r="CV145" s="25">
        <f t="shared" si="171"/>
        <v>0</v>
      </c>
      <c r="CW145" s="176"/>
      <c r="CX145" s="164"/>
      <c r="CY145" s="164"/>
    </row>
    <row r="146" spans="1:103" x14ac:dyDescent="0.2">
      <c r="A146" s="2">
        <v>45881</v>
      </c>
      <c r="B146" s="3" t="s">
        <v>275</v>
      </c>
      <c r="C146" s="4" t="s">
        <v>529</v>
      </c>
      <c r="D146" s="5" t="s">
        <v>122</v>
      </c>
      <c r="E146" s="6" t="s">
        <v>266</v>
      </c>
      <c r="F146" s="7"/>
      <c r="G146" s="8"/>
      <c r="H146" s="9"/>
      <c r="I146" s="10" t="s">
        <v>413</v>
      </c>
      <c r="J146" s="11" t="s">
        <v>276</v>
      </c>
      <c r="K146" s="12">
        <v>15</v>
      </c>
      <c r="L146" s="13">
        <v>200</v>
      </c>
      <c r="M146" s="14">
        <f t="shared" ref="M146" si="233">L146*K146</f>
        <v>3000</v>
      </c>
      <c r="N146" s="15"/>
      <c r="O146" s="16" t="s">
        <v>137</v>
      </c>
      <c r="P146" s="17"/>
      <c r="Q146" s="18"/>
      <c r="R146" s="5"/>
      <c r="S146" s="19"/>
      <c r="T146" s="19"/>
      <c r="U146" s="19"/>
      <c r="V146" s="19"/>
      <c r="W146" s="17"/>
      <c r="X146" s="20"/>
      <c r="Y146" s="19"/>
      <c r="Z146" s="19"/>
      <c r="AA146" s="19"/>
      <c r="AB146" s="19"/>
      <c r="AC146" s="19"/>
      <c r="AD146" s="19"/>
      <c r="AE146" s="5"/>
      <c r="AF146" s="19"/>
      <c r="AG146" s="5"/>
      <c r="AH146" s="17"/>
      <c r="AI146" s="19"/>
      <c r="AJ146" s="19"/>
      <c r="AK146" s="19"/>
      <c r="AL146" s="19"/>
      <c r="AM146" s="17"/>
      <c r="AN146" s="19"/>
      <c r="AO146" s="19"/>
      <c r="AP146" s="19"/>
      <c r="AQ146" s="19"/>
      <c r="AR146" s="19"/>
      <c r="AS146" s="21"/>
      <c r="AT146" s="5"/>
      <c r="AU146" s="19"/>
      <c r="AV146" s="5"/>
      <c r="AW146" s="22"/>
      <c r="AX146" s="19"/>
      <c r="AY146" s="5"/>
      <c r="AZ146" s="19"/>
      <c r="BA146" s="5"/>
      <c r="BB146" s="17">
        <f>M146+P146-Q146</f>
        <v>3000</v>
      </c>
      <c r="BC146" s="19"/>
      <c r="BD146" s="19"/>
      <c r="BE146" s="19"/>
      <c r="BF146" s="19"/>
      <c r="BG146" s="19"/>
      <c r="BH146" s="19"/>
      <c r="BI146" s="19"/>
      <c r="BJ146" s="19"/>
      <c r="BK146" s="13"/>
      <c r="BL146" s="5"/>
      <c r="BM146" s="5"/>
      <c r="BN146" s="19"/>
      <c r="BO146" s="17"/>
      <c r="BP146" s="19"/>
      <c r="BQ146" s="17"/>
      <c r="BR146" s="19"/>
      <c r="BS146" s="13"/>
      <c r="BT146" s="5"/>
      <c r="BU146" s="23"/>
      <c r="BV146" s="23"/>
      <c r="BW146" s="24"/>
      <c r="BX146" s="5"/>
      <c r="BY146" s="5"/>
      <c r="BZ146" s="5"/>
      <c r="CA146" s="24"/>
      <c r="CB146" s="24"/>
      <c r="CC146" s="24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>
        <f t="shared" si="170"/>
        <v>3000</v>
      </c>
      <c r="CV146" s="25">
        <f t="shared" si="171"/>
        <v>0</v>
      </c>
      <c r="CW146" s="26"/>
      <c r="CX146" s="5"/>
      <c r="CY146" s="5"/>
    </row>
    <row r="147" spans="1:103" x14ac:dyDescent="0.2">
      <c r="A147" s="161"/>
      <c r="B147" s="162"/>
      <c r="C147" s="163"/>
      <c r="D147" s="164"/>
      <c r="E147" s="165"/>
      <c r="F147" s="166"/>
      <c r="G147" s="167"/>
      <c r="H147" s="168"/>
      <c r="I147" s="168"/>
      <c r="J147" s="169"/>
      <c r="K147" s="170"/>
      <c r="L147" s="171"/>
      <c r="M147" s="172">
        <f>SUM(M146:M146)</f>
        <v>3000</v>
      </c>
      <c r="N147" s="172">
        <f>M147</f>
        <v>3000</v>
      </c>
      <c r="O147" s="173" t="s">
        <v>137</v>
      </c>
      <c r="P147" s="172"/>
      <c r="Q147" s="172"/>
      <c r="R147" s="164"/>
      <c r="S147" s="172">
        <f t="shared" ref="S147:AD147" si="234">SUM(S146:S146)</f>
        <v>0</v>
      </c>
      <c r="T147" s="172">
        <f t="shared" si="234"/>
        <v>0</v>
      </c>
      <c r="U147" s="172">
        <f t="shared" si="234"/>
        <v>0</v>
      </c>
      <c r="V147" s="172">
        <f t="shared" si="234"/>
        <v>0</v>
      </c>
      <c r="W147" s="172">
        <f t="shared" si="234"/>
        <v>0</v>
      </c>
      <c r="X147" s="172">
        <f t="shared" si="234"/>
        <v>0</v>
      </c>
      <c r="Y147" s="172">
        <f t="shared" si="234"/>
        <v>0</v>
      </c>
      <c r="Z147" s="172">
        <f t="shared" si="234"/>
        <v>0</v>
      </c>
      <c r="AA147" s="172">
        <f t="shared" si="234"/>
        <v>0</v>
      </c>
      <c r="AB147" s="172">
        <f t="shared" si="234"/>
        <v>0</v>
      </c>
      <c r="AC147" s="172">
        <f t="shared" si="234"/>
        <v>0</v>
      </c>
      <c r="AD147" s="172">
        <f t="shared" si="234"/>
        <v>0</v>
      </c>
      <c r="AE147" s="164"/>
      <c r="AF147" s="172">
        <f>SUM(AF146:AF146)</f>
        <v>0</v>
      </c>
      <c r="AG147" s="164"/>
      <c r="AH147" s="172">
        <f t="shared" ref="AH147:AZ147" si="235">SUM(AH146:AH146)</f>
        <v>0</v>
      </c>
      <c r="AI147" s="172">
        <f t="shared" si="235"/>
        <v>0</v>
      </c>
      <c r="AJ147" s="172">
        <f t="shared" si="235"/>
        <v>0</v>
      </c>
      <c r="AK147" s="172">
        <f t="shared" si="235"/>
        <v>0</v>
      </c>
      <c r="AL147" s="172">
        <f t="shared" si="235"/>
        <v>0</v>
      </c>
      <c r="AM147" s="172">
        <f t="shared" si="235"/>
        <v>0</v>
      </c>
      <c r="AN147" s="172">
        <f t="shared" si="235"/>
        <v>0</v>
      </c>
      <c r="AO147" s="172">
        <f t="shared" si="235"/>
        <v>0</v>
      </c>
      <c r="AP147" s="172">
        <f t="shared" si="235"/>
        <v>0</v>
      </c>
      <c r="AQ147" s="172">
        <f t="shared" si="235"/>
        <v>0</v>
      </c>
      <c r="AR147" s="172">
        <f t="shared" si="235"/>
        <v>0</v>
      </c>
      <c r="AS147" s="172">
        <f t="shared" si="235"/>
        <v>0</v>
      </c>
      <c r="AT147" s="172">
        <f t="shared" si="235"/>
        <v>0</v>
      </c>
      <c r="AU147" s="172">
        <f t="shared" si="235"/>
        <v>0</v>
      </c>
      <c r="AV147" s="172">
        <f t="shared" si="235"/>
        <v>0</v>
      </c>
      <c r="AW147" s="172">
        <f t="shared" si="235"/>
        <v>0</v>
      </c>
      <c r="AX147" s="172">
        <f t="shared" si="235"/>
        <v>0</v>
      </c>
      <c r="AY147" s="172">
        <f t="shared" si="235"/>
        <v>0</v>
      </c>
      <c r="AZ147" s="172">
        <f t="shared" si="235"/>
        <v>0</v>
      </c>
      <c r="BA147" s="164"/>
      <c r="BB147" s="172">
        <f>SUM(BB146:BB146)</f>
        <v>3000</v>
      </c>
      <c r="BC147" s="172">
        <f t="shared" ref="BC147:CT147" si="236">SUM(BC146:BC146)</f>
        <v>0</v>
      </c>
      <c r="BD147" s="172">
        <f t="shared" si="236"/>
        <v>0</v>
      </c>
      <c r="BE147" s="172">
        <f t="shared" si="236"/>
        <v>0</v>
      </c>
      <c r="BF147" s="172">
        <f t="shared" si="236"/>
        <v>0</v>
      </c>
      <c r="BG147" s="172">
        <f t="shared" si="236"/>
        <v>0</v>
      </c>
      <c r="BH147" s="172">
        <f t="shared" si="236"/>
        <v>0</v>
      </c>
      <c r="BI147" s="172">
        <f t="shared" si="236"/>
        <v>0</v>
      </c>
      <c r="BJ147" s="172">
        <f t="shared" si="236"/>
        <v>0</v>
      </c>
      <c r="BK147" s="172">
        <f t="shared" si="236"/>
        <v>0</v>
      </c>
      <c r="BL147" s="172">
        <f t="shared" si="236"/>
        <v>0</v>
      </c>
      <c r="BM147" s="172">
        <f t="shared" si="236"/>
        <v>0</v>
      </c>
      <c r="BN147" s="172">
        <f t="shared" si="236"/>
        <v>0</v>
      </c>
      <c r="BO147" s="172">
        <f t="shared" si="236"/>
        <v>0</v>
      </c>
      <c r="BP147" s="172">
        <f t="shared" si="236"/>
        <v>0</v>
      </c>
      <c r="BQ147" s="172">
        <f t="shared" si="236"/>
        <v>0</v>
      </c>
      <c r="BR147" s="172">
        <f t="shared" si="236"/>
        <v>0</v>
      </c>
      <c r="BS147" s="172">
        <f t="shared" si="236"/>
        <v>0</v>
      </c>
      <c r="BT147" s="172">
        <f t="shared" si="236"/>
        <v>0</v>
      </c>
      <c r="BU147" s="172">
        <f t="shared" si="236"/>
        <v>0</v>
      </c>
      <c r="BV147" s="172">
        <f t="shared" si="236"/>
        <v>0</v>
      </c>
      <c r="BW147" s="172">
        <f t="shared" si="236"/>
        <v>0</v>
      </c>
      <c r="BX147" s="172">
        <f t="shared" si="236"/>
        <v>0</v>
      </c>
      <c r="BY147" s="172">
        <f t="shared" si="236"/>
        <v>0</v>
      </c>
      <c r="BZ147" s="172">
        <f t="shared" si="236"/>
        <v>0</v>
      </c>
      <c r="CA147" s="172">
        <f t="shared" si="236"/>
        <v>0</v>
      </c>
      <c r="CB147" s="172">
        <f t="shared" si="236"/>
        <v>0</v>
      </c>
      <c r="CC147" s="172">
        <f t="shared" si="236"/>
        <v>0</v>
      </c>
      <c r="CD147" s="172">
        <f t="shared" si="236"/>
        <v>0</v>
      </c>
      <c r="CE147" s="172">
        <f t="shared" si="236"/>
        <v>0</v>
      </c>
      <c r="CF147" s="172">
        <f t="shared" si="236"/>
        <v>0</v>
      </c>
      <c r="CG147" s="172">
        <f t="shared" si="236"/>
        <v>0</v>
      </c>
      <c r="CH147" s="172">
        <f t="shared" si="236"/>
        <v>0</v>
      </c>
      <c r="CI147" s="172">
        <f t="shared" si="236"/>
        <v>0</v>
      </c>
      <c r="CJ147" s="172">
        <f t="shared" si="236"/>
        <v>0</v>
      </c>
      <c r="CK147" s="172">
        <f t="shared" si="236"/>
        <v>0</v>
      </c>
      <c r="CL147" s="172">
        <f t="shared" si="236"/>
        <v>0</v>
      </c>
      <c r="CM147" s="172">
        <f t="shared" si="236"/>
        <v>0</v>
      </c>
      <c r="CN147" s="172">
        <f t="shared" si="236"/>
        <v>0</v>
      </c>
      <c r="CO147" s="172">
        <f t="shared" si="236"/>
        <v>0</v>
      </c>
      <c r="CP147" s="172">
        <f t="shared" si="236"/>
        <v>0</v>
      </c>
      <c r="CQ147" s="172">
        <f t="shared" si="236"/>
        <v>0</v>
      </c>
      <c r="CR147" s="172">
        <f t="shared" si="236"/>
        <v>0</v>
      </c>
      <c r="CS147" s="172">
        <f t="shared" si="236"/>
        <v>0</v>
      </c>
      <c r="CT147" s="172">
        <f t="shared" si="236"/>
        <v>0</v>
      </c>
      <c r="CU147" s="17">
        <f t="shared" si="170"/>
        <v>3000</v>
      </c>
      <c r="CV147" s="25">
        <f t="shared" si="171"/>
        <v>0</v>
      </c>
      <c r="CW147" s="176"/>
      <c r="CX147" s="164"/>
      <c r="CY147" s="164"/>
    </row>
    <row r="148" spans="1:103" x14ac:dyDescent="0.2">
      <c r="A148" s="2">
        <v>45882</v>
      </c>
      <c r="B148" s="3" t="s">
        <v>277</v>
      </c>
      <c r="C148" s="4" t="s">
        <v>530</v>
      </c>
      <c r="D148" s="5" t="s">
        <v>122</v>
      </c>
      <c r="E148" s="6" t="s">
        <v>278</v>
      </c>
      <c r="F148" s="7"/>
      <c r="G148" s="8" t="s">
        <v>125</v>
      </c>
      <c r="H148" s="9" t="s">
        <v>279</v>
      </c>
      <c r="I148" s="10"/>
      <c r="J148" s="11" t="s">
        <v>280</v>
      </c>
      <c r="K148" s="12">
        <v>1</v>
      </c>
      <c r="L148" s="13">
        <v>349.2</v>
      </c>
      <c r="M148" s="14">
        <f t="shared" ref="M148" si="237">L148*K148</f>
        <v>349.2</v>
      </c>
      <c r="N148" s="15"/>
      <c r="O148" s="16" t="s">
        <v>111</v>
      </c>
      <c r="P148" s="17">
        <f>M148/1.12*0.02</f>
        <v>6.2357142857142849</v>
      </c>
      <c r="Q148" s="18">
        <f>M148/1.12*0.12</f>
        <v>37.414285714285704</v>
      </c>
      <c r="R148" s="5"/>
      <c r="S148" s="19"/>
      <c r="T148" s="19"/>
      <c r="U148" s="19"/>
      <c r="V148" s="19"/>
      <c r="W148" s="17"/>
      <c r="X148" s="20"/>
      <c r="Y148" s="19"/>
      <c r="Z148" s="19"/>
      <c r="AA148" s="19"/>
      <c r="AB148" s="19"/>
      <c r="AC148" s="19"/>
      <c r="AD148" s="19"/>
      <c r="AE148" s="5"/>
      <c r="AF148" s="19"/>
      <c r="AG148" s="5"/>
      <c r="AH148" s="17"/>
      <c r="AI148" s="19"/>
      <c r="AJ148" s="19"/>
      <c r="AK148" s="19"/>
      <c r="AL148" s="19"/>
      <c r="AM148" s="17"/>
      <c r="AN148" s="19"/>
      <c r="AO148" s="19"/>
      <c r="AP148" s="19"/>
      <c r="AQ148" s="19"/>
      <c r="AR148" s="19"/>
      <c r="AS148" s="21"/>
      <c r="AT148" s="5"/>
      <c r="AU148" s="19"/>
      <c r="AV148" s="5"/>
      <c r="AW148" s="22"/>
      <c r="AX148" s="19"/>
      <c r="AY148" s="5"/>
      <c r="AZ148" s="19"/>
      <c r="BA148" s="5"/>
      <c r="BB148" s="5"/>
      <c r="BC148" s="19"/>
      <c r="BD148" s="19"/>
      <c r="BE148" s="19"/>
      <c r="BF148" s="19"/>
      <c r="BG148" s="19"/>
      <c r="BH148" s="19"/>
      <c r="BI148" s="19"/>
      <c r="BJ148" s="19"/>
      <c r="BK148" s="13"/>
      <c r="BL148" s="5"/>
      <c r="BM148" s="5"/>
      <c r="BN148" s="19"/>
      <c r="BO148" s="17"/>
      <c r="BP148" s="19"/>
      <c r="BQ148" s="17"/>
      <c r="BR148" s="19"/>
      <c r="BS148" s="17">
        <f>M148+P148-Q148</f>
        <v>318.02142857142854</v>
      </c>
      <c r="BT148" s="5"/>
      <c r="BU148" s="23"/>
      <c r="BV148" s="23"/>
      <c r="BW148" s="24"/>
      <c r="BX148" s="5"/>
      <c r="BY148" s="5"/>
      <c r="BZ148" s="5"/>
      <c r="CA148" s="24"/>
      <c r="CB148" s="24"/>
      <c r="CC148" s="24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>
        <f t="shared" si="170"/>
        <v>349.2</v>
      </c>
      <c r="CV148" s="25">
        <f t="shared" si="171"/>
        <v>0</v>
      </c>
      <c r="CW148" s="26"/>
      <c r="CX148" s="5"/>
      <c r="CY148" s="5"/>
    </row>
    <row r="149" spans="1:103" x14ac:dyDescent="0.2">
      <c r="A149" s="27"/>
      <c r="B149" s="28"/>
      <c r="C149" s="29"/>
      <c r="D149" s="30"/>
      <c r="E149" s="31"/>
      <c r="F149" s="32"/>
      <c r="G149" s="33"/>
      <c r="H149" s="34"/>
      <c r="I149" s="34"/>
      <c r="J149" s="35"/>
      <c r="K149" s="36"/>
      <c r="L149" s="37"/>
      <c r="M149" s="38">
        <f>SUM(M148:M148)</f>
        <v>349.2</v>
      </c>
      <c r="N149" s="38"/>
      <c r="O149" s="39" t="s">
        <v>111</v>
      </c>
      <c r="P149" s="38">
        <f>SUM(P148:P148)</f>
        <v>6.2357142857142849</v>
      </c>
      <c r="Q149" s="38">
        <f>SUM(Q148:Q148)</f>
        <v>37.414285714285704</v>
      </c>
      <c r="R149" s="30"/>
      <c r="S149" s="38">
        <f t="shared" ref="S149:AD149" si="238">SUM(S148:S148)</f>
        <v>0</v>
      </c>
      <c r="T149" s="38">
        <f t="shared" si="238"/>
        <v>0</v>
      </c>
      <c r="U149" s="38">
        <f t="shared" si="238"/>
        <v>0</v>
      </c>
      <c r="V149" s="38">
        <f t="shared" si="238"/>
        <v>0</v>
      </c>
      <c r="W149" s="38">
        <f t="shared" si="238"/>
        <v>0</v>
      </c>
      <c r="X149" s="38">
        <f t="shared" si="238"/>
        <v>0</v>
      </c>
      <c r="Y149" s="38">
        <f t="shared" si="238"/>
        <v>0</v>
      </c>
      <c r="Z149" s="38">
        <f t="shared" si="238"/>
        <v>0</v>
      </c>
      <c r="AA149" s="38">
        <f t="shared" si="238"/>
        <v>0</v>
      </c>
      <c r="AB149" s="38">
        <f t="shared" si="238"/>
        <v>0</v>
      </c>
      <c r="AC149" s="38">
        <f t="shared" si="238"/>
        <v>0</v>
      </c>
      <c r="AD149" s="38">
        <f t="shared" si="238"/>
        <v>0</v>
      </c>
      <c r="AE149" s="30"/>
      <c r="AF149" s="38">
        <f>SUM(AF148:AF148)</f>
        <v>0</v>
      </c>
      <c r="AG149" s="30"/>
      <c r="AH149" s="38">
        <f t="shared" ref="AH149:AZ149" si="239">SUM(AH148:AH148)</f>
        <v>0</v>
      </c>
      <c r="AI149" s="38">
        <f t="shared" si="239"/>
        <v>0</v>
      </c>
      <c r="AJ149" s="38">
        <f t="shared" si="239"/>
        <v>0</v>
      </c>
      <c r="AK149" s="38">
        <f t="shared" si="239"/>
        <v>0</v>
      </c>
      <c r="AL149" s="38">
        <f t="shared" si="239"/>
        <v>0</v>
      </c>
      <c r="AM149" s="38">
        <f t="shared" si="239"/>
        <v>0</v>
      </c>
      <c r="AN149" s="38">
        <f t="shared" si="239"/>
        <v>0</v>
      </c>
      <c r="AO149" s="38">
        <f t="shared" si="239"/>
        <v>0</v>
      </c>
      <c r="AP149" s="38">
        <f t="shared" si="239"/>
        <v>0</v>
      </c>
      <c r="AQ149" s="38">
        <f t="shared" si="239"/>
        <v>0</v>
      </c>
      <c r="AR149" s="38">
        <f t="shared" si="239"/>
        <v>0</v>
      </c>
      <c r="AS149" s="38">
        <f t="shared" si="239"/>
        <v>0</v>
      </c>
      <c r="AT149" s="38">
        <f t="shared" si="239"/>
        <v>0</v>
      </c>
      <c r="AU149" s="38">
        <f t="shared" si="239"/>
        <v>0</v>
      </c>
      <c r="AV149" s="38">
        <f t="shared" si="239"/>
        <v>0</v>
      </c>
      <c r="AW149" s="38">
        <f t="shared" si="239"/>
        <v>0</v>
      </c>
      <c r="AX149" s="38">
        <f t="shared" si="239"/>
        <v>0</v>
      </c>
      <c r="AY149" s="38">
        <f t="shared" si="239"/>
        <v>0</v>
      </c>
      <c r="AZ149" s="38">
        <f t="shared" si="239"/>
        <v>0</v>
      </c>
      <c r="BA149" s="30"/>
      <c r="BB149" s="38">
        <f t="shared" ref="BB149:CT149" si="240">SUM(BB148:BB148)</f>
        <v>0</v>
      </c>
      <c r="BC149" s="38">
        <f t="shared" si="240"/>
        <v>0</v>
      </c>
      <c r="BD149" s="38">
        <f t="shared" si="240"/>
        <v>0</v>
      </c>
      <c r="BE149" s="38">
        <f t="shared" si="240"/>
        <v>0</v>
      </c>
      <c r="BF149" s="38">
        <f t="shared" si="240"/>
        <v>0</v>
      </c>
      <c r="BG149" s="38">
        <f t="shared" si="240"/>
        <v>0</v>
      </c>
      <c r="BH149" s="38">
        <f t="shared" si="240"/>
        <v>0</v>
      </c>
      <c r="BI149" s="38">
        <f t="shared" si="240"/>
        <v>0</v>
      </c>
      <c r="BJ149" s="38">
        <f t="shared" si="240"/>
        <v>0</v>
      </c>
      <c r="BK149" s="38">
        <f t="shared" si="240"/>
        <v>0</v>
      </c>
      <c r="BL149" s="38">
        <f t="shared" si="240"/>
        <v>0</v>
      </c>
      <c r="BM149" s="38">
        <f t="shared" si="240"/>
        <v>0</v>
      </c>
      <c r="BN149" s="38">
        <f t="shared" si="240"/>
        <v>0</v>
      </c>
      <c r="BO149" s="38">
        <f t="shared" si="240"/>
        <v>0</v>
      </c>
      <c r="BP149" s="38">
        <f t="shared" si="240"/>
        <v>0</v>
      </c>
      <c r="BQ149" s="38">
        <f t="shared" si="240"/>
        <v>0</v>
      </c>
      <c r="BR149" s="38">
        <f t="shared" si="240"/>
        <v>0</v>
      </c>
      <c r="BS149" s="38">
        <f>SUM(BS148:BS148)</f>
        <v>318.02142857142854</v>
      </c>
      <c r="BT149" s="38">
        <f t="shared" si="240"/>
        <v>0</v>
      </c>
      <c r="BU149" s="38">
        <f t="shared" si="240"/>
        <v>0</v>
      </c>
      <c r="BV149" s="38">
        <f t="shared" si="240"/>
        <v>0</v>
      </c>
      <c r="BW149" s="38">
        <f t="shared" si="240"/>
        <v>0</v>
      </c>
      <c r="BX149" s="38">
        <f t="shared" si="240"/>
        <v>0</v>
      </c>
      <c r="BY149" s="38">
        <f t="shared" si="240"/>
        <v>0</v>
      </c>
      <c r="BZ149" s="38">
        <f t="shared" si="240"/>
        <v>0</v>
      </c>
      <c r="CA149" s="38">
        <f t="shared" si="240"/>
        <v>0</v>
      </c>
      <c r="CB149" s="38">
        <f t="shared" si="240"/>
        <v>0</v>
      </c>
      <c r="CC149" s="38">
        <f t="shared" si="240"/>
        <v>0</v>
      </c>
      <c r="CD149" s="38">
        <f t="shared" si="240"/>
        <v>0</v>
      </c>
      <c r="CE149" s="38">
        <f t="shared" si="240"/>
        <v>0</v>
      </c>
      <c r="CF149" s="38">
        <f t="shared" si="240"/>
        <v>0</v>
      </c>
      <c r="CG149" s="38">
        <f t="shared" si="240"/>
        <v>0</v>
      </c>
      <c r="CH149" s="38">
        <f t="shared" si="240"/>
        <v>0</v>
      </c>
      <c r="CI149" s="38">
        <f t="shared" si="240"/>
        <v>0</v>
      </c>
      <c r="CJ149" s="38">
        <f t="shared" si="240"/>
        <v>0</v>
      </c>
      <c r="CK149" s="38">
        <f t="shared" si="240"/>
        <v>0</v>
      </c>
      <c r="CL149" s="38">
        <f t="shared" si="240"/>
        <v>0</v>
      </c>
      <c r="CM149" s="38">
        <f t="shared" si="240"/>
        <v>0</v>
      </c>
      <c r="CN149" s="38">
        <f t="shared" si="240"/>
        <v>0</v>
      </c>
      <c r="CO149" s="38">
        <f t="shared" si="240"/>
        <v>0</v>
      </c>
      <c r="CP149" s="38">
        <f t="shared" si="240"/>
        <v>0</v>
      </c>
      <c r="CQ149" s="38">
        <f t="shared" si="240"/>
        <v>0</v>
      </c>
      <c r="CR149" s="38">
        <f t="shared" si="240"/>
        <v>0</v>
      </c>
      <c r="CS149" s="38">
        <f t="shared" si="240"/>
        <v>0</v>
      </c>
      <c r="CT149" s="38">
        <f t="shared" si="240"/>
        <v>0</v>
      </c>
      <c r="CU149" s="17">
        <f t="shared" si="170"/>
        <v>349.2</v>
      </c>
      <c r="CV149" s="25">
        <f t="shared" si="171"/>
        <v>0</v>
      </c>
      <c r="CW149" s="40"/>
      <c r="CX149" s="30"/>
      <c r="CY149" s="30"/>
    </row>
    <row r="150" spans="1:103" x14ac:dyDescent="0.2">
      <c r="A150" s="2">
        <v>45882</v>
      </c>
      <c r="B150" s="3" t="s">
        <v>277</v>
      </c>
      <c r="C150" s="4" t="s">
        <v>531</v>
      </c>
      <c r="D150" s="5" t="s">
        <v>122</v>
      </c>
      <c r="E150" s="6" t="s">
        <v>123</v>
      </c>
      <c r="F150" s="7" t="s">
        <v>124</v>
      </c>
      <c r="G150" s="8" t="s">
        <v>125</v>
      </c>
      <c r="H150" s="9" t="s">
        <v>281</v>
      </c>
      <c r="I150" s="10"/>
      <c r="J150" s="11" t="s">
        <v>280</v>
      </c>
      <c r="K150" s="12">
        <v>1</v>
      </c>
      <c r="L150" s="13">
        <v>462.4</v>
      </c>
      <c r="M150" s="14">
        <f t="shared" ref="M150" si="241">L150*K150</f>
        <v>462.4</v>
      </c>
      <c r="N150" s="15"/>
      <c r="O150" s="16" t="s">
        <v>111</v>
      </c>
      <c r="P150" s="17">
        <f>M150/1.12*0.02</f>
        <v>8.2571428571428562</v>
      </c>
      <c r="Q150" s="18">
        <f>M150/1.12*0.12</f>
        <v>49.54285714285713</v>
      </c>
      <c r="R150" s="5"/>
      <c r="S150" s="19"/>
      <c r="T150" s="19"/>
      <c r="U150" s="19"/>
      <c r="V150" s="19"/>
      <c r="W150" s="17"/>
      <c r="X150" s="20"/>
      <c r="Y150" s="19"/>
      <c r="Z150" s="19"/>
      <c r="AA150" s="19"/>
      <c r="AB150" s="19"/>
      <c r="AC150" s="19"/>
      <c r="AD150" s="19"/>
      <c r="AE150" s="5"/>
      <c r="AF150" s="19"/>
      <c r="AG150" s="5"/>
      <c r="AH150" s="17"/>
      <c r="AI150" s="19"/>
      <c r="AJ150" s="19"/>
      <c r="AK150" s="19"/>
      <c r="AL150" s="19"/>
      <c r="AM150" s="17"/>
      <c r="AN150" s="19"/>
      <c r="AO150" s="19"/>
      <c r="AP150" s="19"/>
      <c r="AQ150" s="19"/>
      <c r="AR150" s="19"/>
      <c r="AS150" s="21"/>
      <c r="AT150" s="5"/>
      <c r="AU150" s="19"/>
      <c r="AV150" s="5"/>
      <c r="AW150" s="22"/>
      <c r="AX150" s="19"/>
      <c r="AY150" s="5"/>
      <c r="AZ150" s="19"/>
      <c r="BA150" s="5"/>
      <c r="BB150" s="5"/>
      <c r="BC150" s="19"/>
      <c r="BD150" s="19"/>
      <c r="BE150" s="19"/>
      <c r="BF150" s="19"/>
      <c r="BG150" s="19"/>
      <c r="BH150" s="19"/>
      <c r="BI150" s="19"/>
      <c r="BJ150" s="19"/>
      <c r="BK150" s="13"/>
      <c r="BL150" s="5"/>
      <c r="BM150" s="5"/>
      <c r="BN150" s="19"/>
      <c r="BO150" s="17"/>
      <c r="BP150" s="19"/>
      <c r="BQ150" s="17"/>
      <c r="BR150" s="19"/>
      <c r="BS150" s="17">
        <f>M150+P150-Q150</f>
        <v>421.1142857142857</v>
      </c>
      <c r="BT150" s="5"/>
      <c r="BU150" s="23"/>
      <c r="BV150" s="23"/>
      <c r="BW150" s="24"/>
      <c r="BX150" s="5"/>
      <c r="BY150" s="5"/>
      <c r="BZ150" s="5"/>
      <c r="CA150" s="24"/>
      <c r="CB150" s="24"/>
      <c r="CC150" s="24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>
        <f t="shared" si="170"/>
        <v>462.4</v>
      </c>
      <c r="CV150" s="25">
        <f t="shared" si="171"/>
        <v>0</v>
      </c>
      <c r="CW150" s="26"/>
      <c r="CX150" s="5"/>
      <c r="CY150" s="5"/>
    </row>
    <row r="151" spans="1:103" x14ac:dyDescent="0.2">
      <c r="A151" s="27"/>
      <c r="B151" s="28"/>
      <c r="C151" s="29"/>
      <c r="D151" s="30"/>
      <c r="E151" s="31"/>
      <c r="F151" s="32"/>
      <c r="G151" s="33"/>
      <c r="H151" s="34"/>
      <c r="I151" s="34"/>
      <c r="J151" s="35"/>
      <c r="K151" s="36"/>
      <c r="L151" s="37"/>
      <c r="M151" s="38">
        <f>SUM(M150:M150)</f>
        <v>462.4</v>
      </c>
      <c r="N151" s="38"/>
      <c r="O151" s="39" t="s">
        <v>111</v>
      </c>
      <c r="P151" s="38">
        <f>SUM(P150:P150)</f>
        <v>8.2571428571428562</v>
      </c>
      <c r="Q151" s="38">
        <f>SUM(Q150:Q150)</f>
        <v>49.54285714285713</v>
      </c>
      <c r="R151" s="30"/>
      <c r="S151" s="38">
        <f t="shared" ref="S151:AD151" si="242">SUM(S150:S150)</f>
        <v>0</v>
      </c>
      <c r="T151" s="38">
        <f t="shared" si="242"/>
        <v>0</v>
      </c>
      <c r="U151" s="38">
        <f t="shared" si="242"/>
        <v>0</v>
      </c>
      <c r="V151" s="38">
        <f t="shared" si="242"/>
        <v>0</v>
      </c>
      <c r="W151" s="38">
        <f t="shared" si="242"/>
        <v>0</v>
      </c>
      <c r="X151" s="38">
        <f t="shared" si="242"/>
        <v>0</v>
      </c>
      <c r="Y151" s="38">
        <f t="shared" si="242"/>
        <v>0</v>
      </c>
      <c r="Z151" s="38">
        <f t="shared" si="242"/>
        <v>0</v>
      </c>
      <c r="AA151" s="38">
        <f t="shared" si="242"/>
        <v>0</v>
      </c>
      <c r="AB151" s="38">
        <f t="shared" si="242"/>
        <v>0</v>
      </c>
      <c r="AC151" s="38">
        <f t="shared" si="242"/>
        <v>0</v>
      </c>
      <c r="AD151" s="38">
        <f t="shared" si="242"/>
        <v>0</v>
      </c>
      <c r="AE151" s="30"/>
      <c r="AF151" s="38">
        <f>SUM(AF150:AF150)</f>
        <v>0</v>
      </c>
      <c r="AG151" s="30"/>
      <c r="AH151" s="38">
        <f t="shared" ref="AH151:AZ151" si="243">SUM(AH150:AH150)</f>
        <v>0</v>
      </c>
      <c r="AI151" s="38">
        <f t="shared" si="243"/>
        <v>0</v>
      </c>
      <c r="AJ151" s="38">
        <f t="shared" si="243"/>
        <v>0</v>
      </c>
      <c r="AK151" s="38">
        <f t="shared" si="243"/>
        <v>0</v>
      </c>
      <c r="AL151" s="38">
        <f t="shared" si="243"/>
        <v>0</v>
      </c>
      <c r="AM151" s="38">
        <f t="shared" si="243"/>
        <v>0</v>
      </c>
      <c r="AN151" s="38">
        <f t="shared" si="243"/>
        <v>0</v>
      </c>
      <c r="AO151" s="38">
        <f t="shared" si="243"/>
        <v>0</v>
      </c>
      <c r="AP151" s="38">
        <f t="shared" si="243"/>
        <v>0</v>
      </c>
      <c r="AQ151" s="38">
        <f t="shared" si="243"/>
        <v>0</v>
      </c>
      <c r="AR151" s="38">
        <f t="shared" si="243"/>
        <v>0</v>
      </c>
      <c r="AS151" s="38">
        <f t="shared" si="243"/>
        <v>0</v>
      </c>
      <c r="AT151" s="38">
        <f t="shared" si="243"/>
        <v>0</v>
      </c>
      <c r="AU151" s="38">
        <f t="shared" si="243"/>
        <v>0</v>
      </c>
      <c r="AV151" s="38">
        <f t="shared" si="243"/>
        <v>0</v>
      </c>
      <c r="AW151" s="38">
        <f t="shared" si="243"/>
        <v>0</v>
      </c>
      <c r="AX151" s="38">
        <f t="shared" si="243"/>
        <v>0</v>
      </c>
      <c r="AY151" s="38">
        <f t="shared" si="243"/>
        <v>0</v>
      </c>
      <c r="AZ151" s="38">
        <f t="shared" si="243"/>
        <v>0</v>
      </c>
      <c r="BA151" s="30"/>
      <c r="BB151" s="38">
        <f t="shared" ref="BB151:CT151" si="244">SUM(BB150:BB150)</f>
        <v>0</v>
      </c>
      <c r="BC151" s="38">
        <f t="shared" si="244"/>
        <v>0</v>
      </c>
      <c r="BD151" s="38">
        <f t="shared" si="244"/>
        <v>0</v>
      </c>
      <c r="BE151" s="38">
        <f t="shared" si="244"/>
        <v>0</v>
      </c>
      <c r="BF151" s="38">
        <f t="shared" si="244"/>
        <v>0</v>
      </c>
      <c r="BG151" s="38">
        <f t="shared" si="244"/>
        <v>0</v>
      </c>
      <c r="BH151" s="38">
        <f t="shared" si="244"/>
        <v>0</v>
      </c>
      <c r="BI151" s="38">
        <f t="shared" si="244"/>
        <v>0</v>
      </c>
      <c r="BJ151" s="38">
        <f t="shared" si="244"/>
        <v>0</v>
      </c>
      <c r="BK151" s="38">
        <f t="shared" si="244"/>
        <v>0</v>
      </c>
      <c r="BL151" s="38">
        <f t="shared" si="244"/>
        <v>0</v>
      </c>
      <c r="BM151" s="38">
        <f t="shared" si="244"/>
        <v>0</v>
      </c>
      <c r="BN151" s="38">
        <f t="shared" si="244"/>
        <v>0</v>
      </c>
      <c r="BO151" s="38">
        <f t="shared" si="244"/>
        <v>0</v>
      </c>
      <c r="BP151" s="38">
        <f t="shared" si="244"/>
        <v>0</v>
      </c>
      <c r="BQ151" s="38">
        <f t="shared" si="244"/>
        <v>0</v>
      </c>
      <c r="BR151" s="38">
        <f t="shared" si="244"/>
        <v>0</v>
      </c>
      <c r="BS151" s="38">
        <f>SUM(BS150:BS150)</f>
        <v>421.1142857142857</v>
      </c>
      <c r="BT151" s="38">
        <f t="shared" si="244"/>
        <v>0</v>
      </c>
      <c r="BU151" s="38">
        <f t="shared" si="244"/>
        <v>0</v>
      </c>
      <c r="BV151" s="38">
        <f t="shared" si="244"/>
        <v>0</v>
      </c>
      <c r="BW151" s="38">
        <f t="shared" si="244"/>
        <v>0</v>
      </c>
      <c r="BX151" s="38">
        <f t="shared" si="244"/>
        <v>0</v>
      </c>
      <c r="BY151" s="38">
        <f t="shared" si="244"/>
        <v>0</v>
      </c>
      <c r="BZ151" s="38">
        <f t="shared" si="244"/>
        <v>0</v>
      </c>
      <c r="CA151" s="38">
        <f t="shared" si="244"/>
        <v>0</v>
      </c>
      <c r="CB151" s="38">
        <f t="shared" si="244"/>
        <v>0</v>
      </c>
      <c r="CC151" s="38">
        <f t="shared" si="244"/>
        <v>0</v>
      </c>
      <c r="CD151" s="38">
        <f t="shared" si="244"/>
        <v>0</v>
      </c>
      <c r="CE151" s="38">
        <f t="shared" si="244"/>
        <v>0</v>
      </c>
      <c r="CF151" s="38">
        <f t="shared" si="244"/>
        <v>0</v>
      </c>
      <c r="CG151" s="38">
        <f t="shared" si="244"/>
        <v>0</v>
      </c>
      <c r="CH151" s="38">
        <f t="shared" si="244"/>
        <v>0</v>
      </c>
      <c r="CI151" s="38">
        <f t="shared" si="244"/>
        <v>0</v>
      </c>
      <c r="CJ151" s="38">
        <f t="shared" si="244"/>
        <v>0</v>
      </c>
      <c r="CK151" s="38">
        <f t="shared" si="244"/>
        <v>0</v>
      </c>
      <c r="CL151" s="38">
        <f t="shared" si="244"/>
        <v>0</v>
      </c>
      <c r="CM151" s="38">
        <f t="shared" si="244"/>
        <v>0</v>
      </c>
      <c r="CN151" s="38">
        <f t="shared" si="244"/>
        <v>0</v>
      </c>
      <c r="CO151" s="38">
        <f t="shared" si="244"/>
        <v>0</v>
      </c>
      <c r="CP151" s="38">
        <f t="shared" si="244"/>
        <v>0</v>
      </c>
      <c r="CQ151" s="38">
        <f t="shared" si="244"/>
        <v>0</v>
      </c>
      <c r="CR151" s="38">
        <f t="shared" si="244"/>
        <v>0</v>
      </c>
      <c r="CS151" s="38">
        <f t="shared" si="244"/>
        <v>0</v>
      </c>
      <c r="CT151" s="38">
        <f t="shared" si="244"/>
        <v>0</v>
      </c>
      <c r="CU151" s="17">
        <f t="shared" si="170"/>
        <v>462.4</v>
      </c>
      <c r="CV151" s="25">
        <f t="shared" si="171"/>
        <v>0</v>
      </c>
      <c r="CW151" s="40"/>
      <c r="CX151" s="30"/>
      <c r="CY151" s="30"/>
    </row>
    <row r="152" spans="1:103" x14ac:dyDescent="0.2">
      <c r="A152" s="2">
        <v>45882</v>
      </c>
      <c r="B152" s="3" t="s">
        <v>277</v>
      </c>
      <c r="C152" s="4" t="s">
        <v>532</v>
      </c>
      <c r="D152" s="5" t="s">
        <v>122</v>
      </c>
      <c r="E152" s="6" t="s">
        <v>123</v>
      </c>
      <c r="F152" s="7" t="s">
        <v>124</v>
      </c>
      <c r="G152" s="8" t="s">
        <v>125</v>
      </c>
      <c r="H152" s="9" t="s">
        <v>282</v>
      </c>
      <c r="I152" s="10"/>
      <c r="J152" s="11" t="s">
        <v>280</v>
      </c>
      <c r="K152" s="12">
        <v>1</v>
      </c>
      <c r="L152" s="13">
        <v>527.14</v>
      </c>
      <c r="M152" s="14">
        <f t="shared" ref="M152" si="245">L152*K152</f>
        <v>527.14</v>
      </c>
      <c r="N152" s="15"/>
      <c r="O152" s="16" t="s">
        <v>111</v>
      </c>
      <c r="P152" s="17">
        <f>M152/1.12*0.02</f>
        <v>9.4132142857142842</v>
      </c>
      <c r="Q152" s="18">
        <f>M152/1.12*0.12</f>
        <v>56.479285714285702</v>
      </c>
      <c r="R152" s="5"/>
      <c r="S152" s="19"/>
      <c r="T152" s="19"/>
      <c r="U152" s="19"/>
      <c r="V152" s="19"/>
      <c r="W152" s="17"/>
      <c r="X152" s="20"/>
      <c r="Y152" s="19"/>
      <c r="Z152" s="19"/>
      <c r="AA152" s="19"/>
      <c r="AB152" s="19"/>
      <c r="AC152" s="19"/>
      <c r="AD152" s="19"/>
      <c r="AE152" s="5"/>
      <c r="AF152" s="19"/>
      <c r="AG152" s="5"/>
      <c r="AH152" s="17"/>
      <c r="AI152" s="19"/>
      <c r="AJ152" s="19"/>
      <c r="AK152" s="19"/>
      <c r="AL152" s="19"/>
      <c r="AM152" s="17"/>
      <c r="AN152" s="19"/>
      <c r="AO152" s="19"/>
      <c r="AP152" s="19"/>
      <c r="AQ152" s="19"/>
      <c r="AR152" s="19"/>
      <c r="AS152" s="21"/>
      <c r="AT152" s="5"/>
      <c r="AU152" s="19"/>
      <c r="AV152" s="5"/>
      <c r="AW152" s="22"/>
      <c r="AX152" s="19"/>
      <c r="AY152" s="5"/>
      <c r="AZ152" s="19"/>
      <c r="BA152" s="5"/>
      <c r="BB152" s="5"/>
      <c r="BC152" s="19"/>
      <c r="BD152" s="19"/>
      <c r="BE152" s="19"/>
      <c r="BF152" s="19"/>
      <c r="BG152" s="19"/>
      <c r="BH152" s="19"/>
      <c r="BI152" s="19"/>
      <c r="BJ152" s="19"/>
      <c r="BK152" s="13"/>
      <c r="BL152" s="5"/>
      <c r="BM152" s="5"/>
      <c r="BN152" s="19"/>
      <c r="BO152" s="17"/>
      <c r="BP152" s="19"/>
      <c r="BQ152" s="17"/>
      <c r="BR152" s="19"/>
      <c r="BS152" s="17">
        <f>M152+P152-Q152</f>
        <v>480.07392857142855</v>
      </c>
      <c r="BT152" s="5"/>
      <c r="BU152" s="23"/>
      <c r="BV152" s="23"/>
      <c r="BW152" s="24"/>
      <c r="BX152" s="5"/>
      <c r="BY152" s="5"/>
      <c r="BZ152" s="5"/>
      <c r="CA152" s="24"/>
      <c r="CB152" s="24"/>
      <c r="CC152" s="24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>
        <f t="shared" si="170"/>
        <v>527.14</v>
      </c>
      <c r="CV152" s="25">
        <f t="shared" si="171"/>
        <v>0</v>
      </c>
      <c r="CW152" s="26"/>
      <c r="CX152" s="5"/>
      <c r="CY152" s="5"/>
    </row>
    <row r="153" spans="1:103" x14ac:dyDescent="0.2">
      <c r="A153" s="161"/>
      <c r="B153" s="162"/>
      <c r="C153" s="163"/>
      <c r="D153" s="164"/>
      <c r="E153" s="165"/>
      <c r="F153" s="166"/>
      <c r="G153" s="167"/>
      <c r="H153" s="168"/>
      <c r="I153" s="168"/>
      <c r="J153" s="169"/>
      <c r="K153" s="170"/>
      <c r="L153" s="171"/>
      <c r="M153" s="172">
        <f>SUM(M152:M152)</f>
        <v>527.14</v>
      </c>
      <c r="N153" s="172">
        <f>M153+M151+M149</f>
        <v>1338.74</v>
      </c>
      <c r="O153" s="173" t="s">
        <v>111</v>
      </c>
      <c r="P153" s="172">
        <f>SUM(P152:P152)</f>
        <v>9.4132142857142842</v>
      </c>
      <c r="Q153" s="172">
        <f>SUM(Q152:Q152)</f>
        <v>56.479285714285702</v>
      </c>
      <c r="R153" s="164"/>
      <c r="S153" s="172">
        <f t="shared" ref="S153:AD153" si="246">SUM(S152:S152)</f>
        <v>0</v>
      </c>
      <c r="T153" s="172">
        <f t="shared" si="246"/>
        <v>0</v>
      </c>
      <c r="U153" s="172">
        <f t="shared" si="246"/>
        <v>0</v>
      </c>
      <c r="V153" s="172">
        <f t="shared" si="246"/>
        <v>0</v>
      </c>
      <c r="W153" s="172">
        <f t="shared" si="246"/>
        <v>0</v>
      </c>
      <c r="X153" s="172">
        <f t="shared" si="246"/>
        <v>0</v>
      </c>
      <c r="Y153" s="172">
        <f t="shared" si="246"/>
        <v>0</v>
      </c>
      <c r="Z153" s="172">
        <f t="shared" si="246"/>
        <v>0</v>
      </c>
      <c r="AA153" s="172">
        <f t="shared" si="246"/>
        <v>0</v>
      </c>
      <c r="AB153" s="172">
        <f t="shared" si="246"/>
        <v>0</v>
      </c>
      <c r="AC153" s="172">
        <f t="shared" si="246"/>
        <v>0</v>
      </c>
      <c r="AD153" s="172">
        <f t="shared" si="246"/>
        <v>0</v>
      </c>
      <c r="AE153" s="164"/>
      <c r="AF153" s="172">
        <f>SUM(AF152:AF152)</f>
        <v>0</v>
      </c>
      <c r="AG153" s="164"/>
      <c r="AH153" s="172">
        <f t="shared" ref="AH153:AZ153" si="247">SUM(AH152:AH152)</f>
        <v>0</v>
      </c>
      <c r="AI153" s="172">
        <f t="shared" si="247"/>
        <v>0</v>
      </c>
      <c r="AJ153" s="172">
        <f t="shared" si="247"/>
        <v>0</v>
      </c>
      <c r="AK153" s="172">
        <f t="shared" si="247"/>
        <v>0</v>
      </c>
      <c r="AL153" s="172">
        <f t="shared" si="247"/>
        <v>0</v>
      </c>
      <c r="AM153" s="172">
        <f t="shared" si="247"/>
        <v>0</v>
      </c>
      <c r="AN153" s="172">
        <f t="shared" si="247"/>
        <v>0</v>
      </c>
      <c r="AO153" s="172">
        <f t="shared" si="247"/>
        <v>0</v>
      </c>
      <c r="AP153" s="172">
        <f t="shared" si="247"/>
        <v>0</v>
      </c>
      <c r="AQ153" s="172">
        <f t="shared" si="247"/>
        <v>0</v>
      </c>
      <c r="AR153" s="172">
        <f t="shared" si="247"/>
        <v>0</v>
      </c>
      <c r="AS153" s="172">
        <f t="shared" si="247"/>
        <v>0</v>
      </c>
      <c r="AT153" s="172">
        <f t="shared" si="247"/>
        <v>0</v>
      </c>
      <c r="AU153" s="172">
        <f t="shared" si="247"/>
        <v>0</v>
      </c>
      <c r="AV153" s="172">
        <f t="shared" si="247"/>
        <v>0</v>
      </c>
      <c r="AW153" s="172">
        <f t="shared" si="247"/>
        <v>0</v>
      </c>
      <c r="AX153" s="172">
        <f t="shared" si="247"/>
        <v>0</v>
      </c>
      <c r="AY153" s="172">
        <f t="shared" si="247"/>
        <v>0</v>
      </c>
      <c r="AZ153" s="172">
        <f t="shared" si="247"/>
        <v>0</v>
      </c>
      <c r="BA153" s="164"/>
      <c r="BB153" s="172">
        <f t="shared" ref="BB153:CT153" si="248">SUM(BB152:BB152)</f>
        <v>0</v>
      </c>
      <c r="BC153" s="172">
        <f t="shared" si="248"/>
        <v>0</v>
      </c>
      <c r="BD153" s="172">
        <f t="shared" si="248"/>
        <v>0</v>
      </c>
      <c r="BE153" s="172">
        <f t="shared" si="248"/>
        <v>0</v>
      </c>
      <c r="BF153" s="172">
        <f t="shared" si="248"/>
        <v>0</v>
      </c>
      <c r="BG153" s="172">
        <f t="shared" si="248"/>
        <v>0</v>
      </c>
      <c r="BH153" s="172">
        <f t="shared" si="248"/>
        <v>0</v>
      </c>
      <c r="BI153" s="172">
        <f t="shared" si="248"/>
        <v>0</v>
      </c>
      <c r="BJ153" s="172">
        <f t="shared" si="248"/>
        <v>0</v>
      </c>
      <c r="BK153" s="172">
        <f t="shared" si="248"/>
        <v>0</v>
      </c>
      <c r="BL153" s="172">
        <f t="shared" si="248"/>
        <v>0</v>
      </c>
      <c r="BM153" s="172">
        <f t="shared" si="248"/>
        <v>0</v>
      </c>
      <c r="BN153" s="172">
        <f t="shared" si="248"/>
        <v>0</v>
      </c>
      <c r="BO153" s="172">
        <f t="shared" si="248"/>
        <v>0</v>
      </c>
      <c r="BP153" s="172">
        <f t="shared" si="248"/>
        <v>0</v>
      </c>
      <c r="BQ153" s="172">
        <f t="shared" si="248"/>
        <v>0</v>
      </c>
      <c r="BR153" s="172">
        <f t="shared" si="248"/>
        <v>0</v>
      </c>
      <c r="BS153" s="172">
        <f>SUM(BS152:BS152)</f>
        <v>480.07392857142855</v>
      </c>
      <c r="BT153" s="172">
        <f t="shared" si="248"/>
        <v>0</v>
      </c>
      <c r="BU153" s="172">
        <f t="shared" si="248"/>
        <v>0</v>
      </c>
      <c r="BV153" s="172">
        <f t="shared" si="248"/>
        <v>0</v>
      </c>
      <c r="BW153" s="172">
        <f t="shared" si="248"/>
        <v>0</v>
      </c>
      <c r="BX153" s="172">
        <f t="shared" si="248"/>
        <v>0</v>
      </c>
      <c r="BY153" s="172">
        <f t="shared" si="248"/>
        <v>0</v>
      </c>
      <c r="BZ153" s="172">
        <f t="shared" si="248"/>
        <v>0</v>
      </c>
      <c r="CA153" s="172">
        <f t="shared" si="248"/>
        <v>0</v>
      </c>
      <c r="CB153" s="172">
        <f t="shared" si="248"/>
        <v>0</v>
      </c>
      <c r="CC153" s="172">
        <f t="shared" si="248"/>
        <v>0</v>
      </c>
      <c r="CD153" s="172">
        <f t="shared" si="248"/>
        <v>0</v>
      </c>
      <c r="CE153" s="172">
        <f t="shared" si="248"/>
        <v>0</v>
      </c>
      <c r="CF153" s="172">
        <f t="shared" si="248"/>
        <v>0</v>
      </c>
      <c r="CG153" s="172">
        <f t="shared" si="248"/>
        <v>0</v>
      </c>
      <c r="CH153" s="172">
        <f t="shared" si="248"/>
        <v>0</v>
      </c>
      <c r="CI153" s="172">
        <f t="shared" si="248"/>
        <v>0</v>
      </c>
      <c r="CJ153" s="172">
        <f t="shared" si="248"/>
        <v>0</v>
      </c>
      <c r="CK153" s="172">
        <f t="shared" si="248"/>
        <v>0</v>
      </c>
      <c r="CL153" s="172">
        <f t="shared" si="248"/>
        <v>0</v>
      </c>
      <c r="CM153" s="172">
        <f t="shared" si="248"/>
        <v>0</v>
      </c>
      <c r="CN153" s="172">
        <f t="shared" si="248"/>
        <v>0</v>
      </c>
      <c r="CO153" s="172">
        <f t="shared" si="248"/>
        <v>0</v>
      </c>
      <c r="CP153" s="172">
        <f t="shared" si="248"/>
        <v>0</v>
      </c>
      <c r="CQ153" s="172">
        <f t="shared" si="248"/>
        <v>0</v>
      </c>
      <c r="CR153" s="172">
        <f t="shared" si="248"/>
        <v>0</v>
      </c>
      <c r="CS153" s="172">
        <f t="shared" si="248"/>
        <v>0</v>
      </c>
      <c r="CT153" s="172">
        <f t="shared" si="248"/>
        <v>0</v>
      </c>
      <c r="CU153" s="17">
        <f t="shared" si="170"/>
        <v>527.14</v>
      </c>
      <c r="CV153" s="25">
        <f t="shared" si="171"/>
        <v>0</v>
      </c>
      <c r="CW153" s="176"/>
      <c r="CX153" s="164"/>
      <c r="CY153" s="164"/>
    </row>
    <row r="154" spans="1:103" x14ac:dyDescent="0.2">
      <c r="A154" s="2">
        <v>45881</v>
      </c>
      <c r="B154" s="3" t="s">
        <v>283</v>
      </c>
      <c r="C154" s="4" t="s">
        <v>533</v>
      </c>
      <c r="D154" s="5" t="s">
        <v>284</v>
      </c>
      <c r="E154" s="6" t="s">
        <v>285</v>
      </c>
      <c r="F154" s="7" t="s">
        <v>229</v>
      </c>
      <c r="G154" s="8" t="s">
        <v>286</v>
      </c>
      <c r="H154" s="9">
        <v>359</v>
      </c>
      <c r="I154" s="10"/>
      <c r="J154" s="11" t="s">
        <v>287</v>
      </c>
      <c r="K154" s="12">
        <v>1</v>
      </c>
      <c r="L154" s="13">
        <v>600</v>
      </c>
      <c r="M154" s="14">
        <f t="shared" ref="M154" si="249">L154*K154</f>
        <v>600</v>
      </c>
      <c r="N154" s="15"/>
      <c r="O154" s="16" t="s">
        <v>137</v>
      </c>
      <c r="P154" s="17">
        <f>M154*0.02</f>
        <v>12</v>
      </c>
      <c r="Q154" s="18"/>
      <c r="R154" s="5"/>
      <c r="S154" s="19"/>
      <c r="T154" s="19"/>
      <c r="U154" s="19"/>
      <c r="V154" s="19"/>
      <c r="W154" s="17"/>
      <c r="X154" s="20"/>
      <c r="Y154" s="19"/>
      <c r="Z154" s="19"/>
      <c r="AA154" s="19"/>
      <c r="AB154" s="19"/>
      <c r="AC154" s="19"/>
      <c r="AD154" s="19"/>
      <c r="AE154" s="5"/>
      <c r="AF154" s="19"/>
      <c r="AG154" s="5"/>
      <c r="AH154" s="17"/>
      <c r="AI154" s="19"/>
      <c r="AJ154" s="19"/>
      <c r="AK154" s="19"/>
      <c r="AL154" s="19"/>
      <c r="AM154" s="17"/>
      <c r="AN154" s="19"/>
      <c r="AO154" s="19"/>
      <c r="AP154" s="19"/>
      <c r="AQ154" s="19"/>
      <c r="AR154" s="19"/>
      <c r="AS154" s="21"/>
      <c r="AT154" s="5"/>
      <c r="AU154" s="19"/>
      <c r="AV154" s="5"/>
      <c r="AW154" s="22"/>
      <c r="AX154" s="19"/>
      <c r="AY154" s="5"/>
      <c r="AZ154" s="17">
        <f>M154+P154-Q154</f>
        <v>612</v>
      </c>
      <c r="BA154" s="5"/>
      <c r="BB154" s="5"/>
      <c r="BC154" s="19"/>
      <c r="BD154" s="19"/>
      <c r="BE154" s="19"/>
      <c r="BF154" s="19"/>
      <c r="BG154" s="19"/>
      <c r="BH154" s="19"/>
      <c r="BI154" s="19"/>
      <c r="BJ154" s="19"/>
      <c r="BK154" s="13"/>
      <c r="BL154" s="5"/>
      <c r="BM154" s="5"/>
      <c r="BN154" s="19"/>
      <c r="BO154" s="17"/>
      <c r="BP154" s="19"/>
      <c r="BQ154" s="17"/>
      <c r="BR154" s="19"/>
      <c r="BS154" s="13"/>
      <c r="BT154" s="5"/>
      <c r="BU154" s="23"/>
      <c r="BV154" s="23"/>
      <c r="BW154" s="24"/>
      <c r="BX154" s="5"/>
      <c r="BY154" s="5"/>
      <c r="BZ154" s="5"/>
      <c r="CA154" s="24"/>
      <c r="CB154" s="24"/>
      <c r="CC154" s="24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>
        <f t="shared" si="170"/>
        <v>600</v>
      </c>
      <c r="CV154" s="25">
        <f t="shared" si="171"/>
        <v>0</v>
      </c>
      <c r="CW154" s="26"/>
      <c r="CX154" s="5"/>
      <c r="CY154" s="5"/>
    </row>
    <row r="155" spans="1:103" x14ac:dyDescent="0.2">
      <c r="A155" s="27"/>
      <c r="B155" s="28"/>
      <c r="C155" s="29"/>
      <c r="D155" s="30"/>
      <c r="E155" s="31"/>
      <c r="F155" s="32"/>
      <c r="G155" s="33"/>
      <c r="H155" s="34"/>
      <c r="I155" s="34"/>
      <c r="J155" s="35"/>
      <c r="K155" s="36"/>
      <c r="L155" s="37"/>
      <c r="M155" s="38">
        <f>SUM(M154:M154)</f>
        <v>600</v>
      </c>
      <c r="N155" s="38"/>
      <c r="O155" s="39" t="s">
        <v>137</v>
      </c>
      <c r="P155" s="38">
        <f>SUM(P154:P154)</f>
        <v>12</v>
      </c>
      <c r="Q155" s="38"/>
      <c r="R155" s="30"/>
      <c r="S155" s="38">
        <f t="shared" ref="S155:AD155" si="250">SUM(S154:S154)</f>
        <v>0</v>
      </c>
      <c r="T155" s="38">
        <f t="shared" si="250"/>
        <v>0</v>
      </c>
      <c r="U155" s="38">
        <f t="shared" si="250"/>
        <v>0</v>
      </c>
      <c r="V155" s="38">
        <f t="shared" si="250"/>
        <v>0</v>
      </c>
      <c r="W155" s="38">
        <f t="shared" si="250"/>
        <v>0</v>
      </c>
      <c r="X155" s="38">
        <f t="shared" si="250"/>
        <v>0</v>
      </c>
      <c r="Y155" s="38">
        <f t="shared" si="250"/>
        <v>0</v>
      </c>
      <c r="Z155" s="38">
        <f t="shared" si="250"/>
        <v>0</v>
      </c>
      <c r="AA155" s="38">
        <f t="shared" si="250"/>
        <v>0</v>
      </c>
      <c r="AB155" s="38">
        <f t="shared" si="250"/>
        <v>0</v>
      </c>
      <c r="AC155" s="38">
        <f t="shared" si="250"/>
        <v>0</v>
      </c>
      <c r="AD155" s="38">
        <f t="shared" si="250"/>
        <v>0</v>
      </c>
      <c r="AE155" s="30"/>
      <c r="AF155" s="38">
        <f>SUM(AF154:AF154)</f>
        <v>0</v>
      </c>
      <c r="AG155" s="30"/>
      <c r="AH155" s="38">
        <f t="shared" ref="AH155:AY155" si="251">SUM(AH154:AH154)</f>
        <v>0</v>
      </c>
      <c r="AI155" s="38">
        <f t="shared" si="251"/>
        <v>0</v>
      </c>
      <c r="AJ155" s="38">
        <f t="shared" si="251"/>
        <v>0</v>
      </c>
      <c r="AK155" s="38">
        <f t="shared" si="251"/>
        <v>0</v>
      </c>
      <c r="AL155" s="38">
        <f t="shared" si="251"/>
        <v>0</v>
      </c>
      <c r="AM155" s="38">
        <f t="shared" si="251"/>
        <v>0</v>
      </c>
      <c r="AN155" s="38">
        <f t="shared" si="251"/>
        <v>0</v>
      </c>
      <c r="AO155" s="38">
        <f t="shared" si="251"/>
        <v>0</v>
      </c>
      <c r="AP155" s="38">
        <f t="shared" si="251"/>
        <v>0</v>
      </c>
      <c r="AQ155" s="38">
        <f t="shared" si="251"/>
        <v>0</v>
      </c>
      <c r="AR155" s="38">
        <f t="shared" si="251"/>
        <v>0</v>
      </c>
      <c r="AS155" s="38">
        <f t="shared" si="251"/>
        <v>0</v>
      </c>
      <c r="AT155" s="38">
        <f t="shared" si="251"/>
        <v>0</v>
      </c>
      <c r="AU155" s="38">
        <f t="shared" si="251"/>
        <v>0</v>
      </c>
      <c r="AV155" s="38">
        <f t="shared" si="251"/>
        <v>0</v>
      </c>
      <c r="AW155" s="38">
        <f t="shared" si="251"/>
        <v>0</v>
      </c>
      <c r="AX155" s="38">
        <f t="shared" si="251"/>
        <v>0</v>
      </c>
      <c r="AY155" s="38">
        <f t="shared" si="251"/>
        <v>0</v>
      </c>
      <c r="AZ155" s="38">
        <f>SUM(AZ154:AZ154)</f>
        <v>612</v>
      </c>
      <c r="BA155" s="30"/>
      <c r="BB155" s="38">
        <f t="shared" ref="BB155:CT155" si="252">SUM(BB154:BB154)</f>
        <v>0</v>
      </c>
      <c r="BC155" s="38">
        <f t="shared" si="252"/>
        <v>0</v>
      </c>
      <c r="BD155" s="38">
        <f t="shared" si="252"/>
        <v>0</v>
      </c>
      <c r="BE155" s="38">
        <f t="shared" si="252"/>
        <v>0</v>
      </c>
      <c r="BF155" s="38">
        <f t="shared" si="252"/>
        <v>0</v>
      </c>
      <c r="BG155" s="38">
        <f t="shared" si="252"/>
        <v>0</v>
      </c>
      <c r="BH155" s="38">
        <f t="shared" si="252"/>
        <v>0</v>
      </c>
      <c r="BI155" s="38">
        <f t="shared" si="252"/>
        <v>0</v>
      </c>
      <c r="BJ155" s="38">
        <f t="shared" si="252"/>
        <v>0</v>
      </c>
      <c r="BK155" s="38">
        <f t="shared" si="252"/>
        <v>0</v>
      </c>
      <c r="BL155" s="38">
        <f t="shared" si="252"/>
        <v>0</v>
      </c>
      <c r="BM155" s="38">
        <f t="shared" si="252"/>
        <v>0</v>
      </c>
      <c r="BN155" s="38">
        <f t="shared" si="252"/>
        <v>0</v>
      </c>
      <c r="BO155" s="38">
        <f t="shared" si="252"/>
        <v>0</v>
      </c>
      <c r="BP155" s="38">
        <f t="shared" si="252"/>
        <v>0</v>
      </c>
      <c r="BQ155" s="38">
        <f t="shared" si="252"/>
        <v>0</v>
      </c>
      <c r="BR155" s="38">
        <f t="shared" si="252"/>
        <v>0</v>
      </c>
      <c r="BS155" s="38">
        <f t="shared" si="252"/>
        <v>0</v>
      </c>
      <c r="BT155" s="38">
        <f t="shared" si="252"/>
        <v>0</v>
      </c>
      <c r="BU155" s="38">
        <f t="shared" si="252"/>
        <v>0</v>
      </c>
      <c r="BV155" s="38">
        <f t="shared" si="252"/>
        <v>0</v>
      </c>
      <c r="BW155" s="38">
        <f t="shared" si="252"/>
        <v>0</v>
      </c>
      <c r="BX155" s="38">
        <f t="shared" si="252"/>
        <v>0</v>
      </c>
      <c r="BY155" s="38">
        <f t="shared" si="252"/>
        <v>0</v>
      </c>
      <c r="BZ155" s="38">
        <f t="shared" si="252"/>
        <v>0</v>
      </c>
      <c r="CA155" s="38">
        <f t="shared" si="252"/>
        <v>0</v>
      </c>
      <c r="CB155" s="38">
        <f t="shared" si="252"/>
        <v>0</v>
      </c>
      <c r="CC155" s="38">
        <f t="shared" si="252"/>
        <v>0</v>
      </c>
      <c r="CD155" s="38">
        <f t="shared" si="252"/>
        <v>0</v>
      </c>
      <c r="CE155" s="38">
        <f t="shared" si="252"/>
        <v>0</v>
      </c>
      <c r="CF155" s="38">
        <f t="shared" si="252"/>
        <v>0</v>
      </c>
      <c r="CG155" s="38">
        <f t="shared" si="252"/>
        <v>0</v>
      </c>
      <c r="CH155" s="38">
        <f t="shared" si="252"/>
        <v>0</v>
      </c>
      <c r="CI155" s="38">
        <f t="shared" si="252"/>
        <v>0</v>
      </c>
      <c r="CJ155" s="38">
        <f t="shared" si="252"/>
        <v>0</v>
      </c>
      <c r="CK155" s="38">
        <f t="shared" si="252"/>
        <v>0</v>
      </c>
      <c r="CL155" s="38">
        <f t="shared" si="252"/>
        <v>0</v>
      </c>
      <c r="CM155" s="38">
        <f t="shared" si="252"/>
        <v>0</v>
      </c>
      <c r="CN155" s="38">
        <f t="shared" si="252"/>
        <v>0</v>
      </c>
      <c r="CO155" s="38">
        <f t="shared" si="252"/>
        <v>0</v>
      </c>
      <c r="CP155" s="38">
        <f t="shared" si="252"/>
        <v>0</v>
      </c>
      <c r="CQ155" s="38">
        <f t="shared" si="252"/>
        <v>0</v>
      </c>
      <c r="CR155" s="38">
        <f t="shared" si="252"/>
        <v>0</v>
      </c>
      <c r="CS155" s="38">
        <f t="shared" si="252"/>
        <v>0</v>
      </c>
      <c r="CT155" s="38">
        <f t="shared" si="252"/>
        <v>0</v>
      </c>
      <c r="CU155" s="17">
        <f t="shared" si="170"/>
        <v>600</v>
      </c>
      <c r="CV155" s="25">
        <f t="shared" si="171"/>
        <v>0</v>
      </c>
      <c r="CW155" s="40"/>
      <c r="CX155" s="30"/>
      <c r="CY155" s="30"/>
    </row>
    <row r="156" spans="1:103" x14ac:dyDescent="0.2">
      <c r="A156" s="2">
        <v>45880</v>
      </c>
      <c r="B156" s="3" t="s">
        <v>283</v>
      </c>
      <c r="C156" s="4" t="s">
        <v>534</v>
      </c>
      <c r="D156" s="5" t="s">
        <v>284</v>
      </c>
      <c r="E156" s="6" t="s">
        <v>285</v>
      </c>
      <c r="F156" s="7" t="s">
        <v>229</v>
      </c>
      <c r="G156" s="8" t="s">
        <v>286</v>
      </c>
      <c r="H156" s="9">
        <v>346</v>
      </c>
      <c r="I156" s="10"/>
      <c r="J156" s="11" t="s">
        <v>289</v>
      </c>
      <c r="K156" s="12">
        <v>1</v>
      </c>
      <c r="L156" s="13">
        <v>350</v>
      </c>
      <c r="M156" s="14">
        <f t="shared" ref="M156" si="253">L156*K156</f>
        <v>350</v>
      </c>
      <c r="N156" s="15"/>
      <c r="O156" s="16" t="s">
        <v>111</v>
      </c>
      <c r="P156" s="17">
        <f>M156*0.02</f>
        <v>7</v>
      </c>
      <c r="Q156" s="18"/>
      <c r="R156" s="5"/>
      <c r="S156" s="19"/>
      <c r="T156" s="19"/>
      <c r="U156" s="19"/>
      <c r="V156" s="19"/>
      <c r="W156" s="17"/>
      <c r="X156" s="20"/>
      <c r="Y156" s="19"/>
      <c r="Z156" s="19"/>
      <c r="AA156" s="19"/>
      <c r="AB156" s="19"/>
      <c r="AC156" s="19"/>
      <c r="AD156" s="19"/>
      <c r="AE156" s="5"/>
      <c r="AF156" s="19"/>
      <c r="AG156" s="5"/>
      <c r="AH156" s="17"/>
      <c r="AI156" s="19"/>
      <c r="AJ156" s="19"/>
      <c r="AK156" s="19"/>
      <c r="AL156" s="19"/>
      <c r="AM156" s="17"/>
      <c r="AN156" s="19"/>
      <c r="AO156" s="19"/>
      <c r="AP156" s="19"/>
      <c r="AQ156" s="19"/>
      <c r="AR156" s="19"/>
      <c r="AS156" s="21"/>
      <c r="AT156" s="5"/>
      <c r="AU156" s="19"/>
      <c r="AV156" s="5"/>
      <c r="AW156" s="22"/>
      <c r="AX156" s="19"/>
      <c r="AY156" s="5"/>
      <c r="AZ156" s="17">
        <f>M156+P156-Q156</f>
        <v>357</v>
      </c>
      <c r="BA156" s="5"/>
      <c r="BB156" s="5"/>
      <c r="BC156" s="19"/>
      <c r="BD156" s="19"/>
      <c r="BE156" s="19"/>
      <c r="BF156" s="19"/>
      <c r="BG156" s="19"/>
      <c r="BH156" s="19"/>
      <c r="BI156" s="19"/>
      <c r="BJ156" s="19"/>
      <c r="BK156" s="13"/>
      <c r="BL156" s="5"/>
      <c r="BM156" s="5"/>
      <c r="BN156" s="19"/>
      <c r="BO156" s="17"/>
      <c r="BP156" s="19"/>
      <c r="BQ156" s="17"/>
      <c r="BR156" s="19"/>
      <c r="BS156" s="13"/>
      <c r="BT156" s="5"/>
      <c r="BU156" s="23"/>
      <c r="BV156" s="23"/>
      <c r="BW156" s="24"/>
      <c r="BX156" s="5"/>
      <c r="BY156" s="5"/>
      <c r="BZ156" s="5"/>
      <c r="CA156" s="24"/>
      <c r="CB156" s="24"/>
      <c r="CC156" s="24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>
        <f t="shared" si="170"/>
        <v>350</v>
      </c>
      <c r="CV156" s="25">
        <f t="shared" si="171"/>
        <v>0</v>
      </c>
      <c r="CW156" s="26"/>
      <c r="CX156" s="5"/>
      <c r="CY156" s="5"/>
    </row>
    <row r="157" spans="1:103" x14ac:dyDescent="0.2">
      <c r="A157" s="27"/>
      <c r="B157" s="28"/>
      <c r="C157" s="29"/>
      <c r="D157" s="30"/>
      <c r="E157" s="31"/>
      <c r="F157" s="32"/>
      <c r="G157" s="33"/>
      <c r="H157" s="34"/>
      <c r="I157" s="34"/>
      <c r="J157" s="35"/>
      <c r="K157" s="36"/>
      <c r="L157" s="37"/>
      <c r="M157" s="38">
        <f>SUM(M156:M156)</f>
        <v>350</v>
      </c>
      <c r="N157" s="38"/>
      <c r="O157" s="39" t="s">
        <v>111</v>
      </c>
      <c r="P157" s="38">
        <f>SUM(P156:P156)</f>
        <v>7</v>
      </c>
      <c r="Q157" s="38"/>
      <c r="R157" s="30"/>
      <c r="S157" s="38">
        <f t="shared" ref="S157:AD157" si="254">SUM(S156:S156)</f>
        <v>0</v>
      </c>
      <c r="T157" s="38">
        <f t="shared" si="254"/>
        <v>0</v>
      </c>
      <c r="U157" s="38">
        <f t="shared" si="254"/>
        <v>0</v>
      </c>
      <c r="V157" s="38">
        <f t="shared" si="254"/>
        <v>0</v>
      </c>
      <c r="W157" s="38">
        <f t="shared" si="254"/>
        <v>0</v>
      </c>
      <c r="X157" s="38">
        <f t="shared" si="254"/>
        <v>0</v>
      </c>
      <c r="Y157" s="38">
        <f t="shared" si="254"/>
        <v>0</v>
      </c>
      <c r="Z157" s="38">
        <f t="shared" si="254"/>
        <v>0</v>
      </c>
      <c r="AA157" s="38">
        <f t="shared" si="254"/>
        <v>0</v>
      </c>
      <c r="AB157" s="38">
        <f t="shared" si="254"/>
        <v>0</v>
      </c>
      <c r="AC157" s="38">
        <f t="shared" si="254"/>
        <v>0</v>
      </c>
      <c r="AD157" s="38">
        <f t="shared" si="254"/>
        <v>0</v>
      </c>
      <c r="AE157" s="30"/>
      <c r="AF157" s="38">
        <f>SUM(AF156:AF156)</f>
        <v>0</v>
      </c>
      <c r="AG157" s="30"/>
      <c r="AH157" s="38">
        <f t="shared" ref="AH157:AY157" si="255">SUM(AH156:AH156)</f>
        <v>0</v>
      </c>
      <c r="AI157" s="38">
        <f t="shared" si="255"/>
        <v>0</v>
      </c>
      <c r="AJ157" s="38">
        <f t="shared" si="255"/>
        <v>0</v>
      </c>
      <c r="AK157" s="38">
        <f t="shared" si="255"/>
        <v>0</v>
      </c>
      <c r="AL157" s="38">
        <f t="shared" si="255"/>
        <v>0</v>
      </c>
      <c r="AM157" s="38">
        <f t="shared" si="255"/>
        <v>0</v>
      </c>
      <c r="AN157" s="38">
        <f t="shared" si="255"/>
        <v>0</v>
      </c>
      <c r="AO157" s="38">
        <f t="shared" si="255"/>
        <v>0</v>
      </c>
      <c r="AP157" s="38">
        <f t="shared" si="255"/>
        <v>0</v>
      </c>
      <c r="AQ157" s="38">
        <f t="shared" si="255"/>
        <v>0</v>
      </c>
      <c r="AR157" s="38">
        <f t="shared" si="255"/>
        <v>0</v>
      </c>
      <c r="AS157" s="38">
        <f t="shared" si="255"/>
        <v>0</v>
      </c>
      <c r="AT157" s="38">
        <f t="shared" si="255"/>
        <v>0</v>
      </c>
      <c r="AU157" s="38">
        <f t="shared" si="255"/>
        <v>0</v>
      </c>
      <c r="AV157" s="38">
        <f t="shared" si="255"/>
        <v>0</v>
      </c>
      <c r="AW157" s="38">
        <f t="shared" si="255"/>
        <v>0</v>
      </c>
      <c r="AX157" s="38">
        <f t="shared" si="255"/>
        <v>0</v>
      </c>
      <c r="AY157" s="38">
        <f t="shared" si="255"/>
        <v>0</v>
      </c>
      <c r="AZ157" s="38">
        <f>SUM(AZ156:AZ156)</f>
        <v>357</v>
      </c>
      <c r="BA157" s="30"/>
      <c r="BB157" s="38">
        <f t="shared" ref="BB157:CT157" si="256">SUM(BB156:BB156)</f>
        <v>0</v>
      </c>
      <c r="BC157" s="38">
        <f t="shared" si="256"/>
        <v>0</v>
      </c>
      <c r="BD157" s="38">
        <f t="shared" si="256"/>
        <v>0</v>
      </c>
      <c r="BE157" s="38">
        <f t="shared" si="256"/>
        <v>0</v>
      </c>
      <c r="BF157" s="38">
        <f t="shared" si="256"/>
        <v>0</v>
      </c>
      <c r="BG157" s="38">
        <f t="shared" si="256"/>
        <v>0</v>
      </c>
      <c r="BH157" s="38">
        <f t="shared" si="256"/>
        <v>0</v>
      </c>
      <c r="BI157" s="38">
        <f t="shared" si="256"/>
        <v>0</v>
      </c>
      <c r="BJ157" s="38">
        <f t="shared" si="256"/>
        <v>0</v>
      </c>
      <c r="BK157" s="38">
        <f t="shared" si="256"/>
        <v>0</v>
      </c>
      <c r="BL157" s="38">
        <f t="shared" si="256"/>
        <v>0</v>
      </c>
      <c r="BM157" s="38">
        <f t="shared" si="256"/>
        <v>0</v>
      </c>
      <c r="BN157" s="38">
        <f t="shared" si="256"/>
        <v>0</v>
      </c>
      <c r="BO157" s="38">
        <f t="shared" si="256"/>
        <v>0</v>
      </c>
      <c r="BP157" s="38">
        <f t="shared" si="256"/>
        <v>0</v>
      </c>
      <c r="BQ157" s="38">
        <f t="shared" si="256"/>
        <v>0</v>
      </c>
      <c r="BR157" s="38">
        <f t="shared" si="256"/>
        <v>0</v>
      </c>
      <c r="BS157" s="38">
        <f t="shared" si="256"/>
        <v>0</v>
      </c>
      <c r="BT157" s="38">
        <f t="shared" si="256"/>
        <v>0</v>
      </c>
      <c r="BU157" s="38">
        <f t="shared" si="256"/>
        <v>0</v>
      </c>
      <c r="BV157" s="38">
        <f t="shared" si="256"/>
        <v>0</v>
      </c>
      <c r="BW157" s="38">
        <f t="shared" si="256"/>
        <v>0</v>
      </c>
      <c r="BX157" s="38">
        <f t="shared" si="256"/>
        <v>0</v>
      </c>
      <c r="BY157" s="38">
        <f t="shared" si="256"/>
        <v>0</v>
      </c>
      <c r="BZ157" s="38">
        <f t="shared" si="256"/>
        <v>0</v>
      </c>
      <c r="CA157" s="38">
        <f t="shared" si="256"/>
        <v>0</v>
      </c>
      <c r="CB157" s="38">
        <f t="shared" si="256"/>
        <v>0</v>
      </c>
      <c r="CC157" s="38">
        <f t="shared" si="256"/>
        <v>0</v>
      </c>
      <c r="CD157" s="38">
        <f t="shared" si="256"/>
        <v>0</v>
      </c>
      <c r="CE157" s="38">
        <f t="shared" si="256"/>
        <v>0</v>
      </c>
      <c r="CF157" s="38">
        <f t="shared" si="256"/>
        <v>0</v>
      </c>
      <c r="CG157" s="38">
        <f t="shared" si="256"/>
        <v>0</v>
      </c>
      <c r="CH157" s="38">
        <f t="shared" si="256"/>
        <v>0</v>
      </c>
      <c r="CI157" s="38">
        <f t="shared" si="256"/>
        <v>0</v>
      </c>
      <c r="CJ157" s="38">
        <f t="shared" si="256"/>
        <v>0</v>
      </c>
      <c r="CK157" s="38">
        <f t="shared" si="256"/>
        <v>0</v>
      </c>
      <c r="CL157" s="38">
        <f t="shared" si="256"/>
        <v>0</v>
      </c>
      <c r="CM157" s="38">
        <f t="shared" si="256"/>
        <v>0</v>
      </c>
      <c r="CN157" s="38">
        <f t="shared" si="256"/>
        <v>0</v>
      </c>
      <c r="CO157" s="38">
        <f t="shared" si="256"/>
        <v>0</v>
      </c>
      <c r="CP157" s="38">
        <f t="shared" si="256"/>
        <v>0</v>
      </c>
      <c r="CQ157" s="38">
        <f t="shared" si="256"/>
        <v>0</v>
      </c>
      <c r="CR157" s="38">
        <f t="shared" si="256"/>
        <v>0</v>
      </c>
      <c r="CS157" s="38">
        <f t="shared" si="256"/>
        <v>0</v>
      </c>
      <c r="CT157" s="38">
        <f t="shared" si="256"/>
        <v>0</v>
      </c>
      <c r="CU157" s="17">
        <f t="shared" si="170"/>
        <v>350</v>
      </c>
      <c r="CV157" s="25">
        <f t="shared" si="171"/>
        <v>0</v>
      </c>
      <c r="CW157" s="40"/>
      <c r="CX157" s="30"/>
      <c r="CY157" s="30"/>
    </row>
    <row r="158" spans="1:103" x14ac:dyDescent="0.2">
      <c r="A158" s="2">
        <v>45880</v>
      </c>
      <c r="B158" s="3" t="s">
        <v>283</v>
      </c>
      <c r="C158" s="4" t="s">
        <v>535</v>
      </c>
      <c r="D158" s="5" t="s">
        <v>284</v>
      </c>
      <c r="E158" s="6" t="s">
        <v>285</v>
      </c>
      <c r="F158" s="7" t="s">
        <v>229</v>
      </c>
      <c r="G158" s="8" t="s">
        <v>286</v>
      </c>
      <c r="H158" s="9">
        <v>351</v>
      </c>
      <c r="I158" s="10"/>
      <c r="J158" s="11" t="s">
        <v>289</v>
      </c>
      <c r="K158" s="12">
        <v>1</v>
      </c>
      <c r="L158" s="13">
        <v>350</v>
      </c>
      <c r="M158" s="14">
        <f t="shared" ref="M158" si="257">L158*K158</f>
        <v>350</v>
      </c>
      <c r="N158" s="15"/>
      <c r="O158" s="16" t="s">
        <v>137</v>
      </c>
      <c r="P158" s="17">
        <f>M158*0.02</f>
        <v>7</v>
      </c>
      <c r="Q158" s="18"/>
      <c r="R158" s="5"/>
      <c r="S158" s="19"/>
      <c r="T158" s="19"/>
      <c r="U158" s="19"/>
      <c r="V158" s="19"/>
      <c r="W158" s="17"/>
      <c r="X158" s="20"/>
      <c r="Y158" s="19"/>
      <c r="Z158" s="19"/>
      <c r="AA158" s="19"/>
      <c r="AB158" s="19"/>
      <c r="AC158" s="19"/>
      <c r="AD158" s="19"/>
      <c r="AE158" s="5"/>
      <c r="AF158" s="19"/>
      <c r="AG158" s="5"/>
      <c r="AH158" s="17"/>
      <c r="AI158" s="19"/>
      <c r="AJ158" s="19"/>
      <c r="AK158" s="19"/>
      <c r="AL158" s="19"/>
      <c r="AM158" s="17"/>
      <c r="AN158" s="19"/>
      <c r="AO158" s="19"/>
      <c r="AP158" s="19"/>
      <c r="AQ158" s="19"/>
      <c r="AR158" s="19"/>
      <c r="AS158" s="21"/>
      <c r="AT158" s="5"/>
      <c r="AU158" s="19"/>
      <c r="AV158" s="5"/>
      <c r="AW158" s="22"/>
      <c r="AX158" s="19"/>
      <c r="AY158" s="5"/>
      <c r="AZ158" s="17">
        <f>M158+P158-Q158</f>
        <v>357</v>
      </c>
      <c r="BA158" s="5"/>
      <c r="BB158" s="5"/>
      <c r="BC158" s="19"/>
      <c r="BD158" s="19"/>
      <c r="BE158" s="19"/>
      <c r="BF158" s="19"/>
      <c r="BG158" s="19"/>
      <c r="BH158" s="19"/>
      <c r="BI158" s="19"/>
      <c r="BJ158" s="19"/>
      <c r="BK158" s="13"/>
      <c r="BL158" s="5"/>
      <c r="BM158" s="5"/>
      <c r="BN158" s="19"/>
      <c r="BO158" s="17"/>
      <c r="BP158" s="19"/>
      <c r="BQ158" s="17"/>
      <c r="BR158" s="19"/>
      <c r="BS158" s="13"/>
      <c r="BT158" s="5"/>
      <c r="BU158" s="23"/>
      <c r="BV158" s="23"/>
      <c r="BW158" s="24"/>
      <c r="BX158" s="5"/>
      <c r="BY158" s="5"/>
      <c r="BZ158" s="5"/>
      <c r="CA158" s="24"/>
      <c r="CB158" s="24"/>
      <c r="CC158" s="24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>
        <f t="shared" si="170"/>
        <v>350</v>
      </c>
      <c r="CV158" s="25">
        <f t="shared" si="171"/>
        <v>0</v>
      </c>
      <c r="CW158" s="26"/>
      <c r="CX158" s="5"/>
      <c r="CY158" s="5"/>
    </row>
    <row r="159" spans="1:103" x14ac:dyDescent="0.2">
      <c r="A159" s="27"/>
      <c r="B159" s="28"/>
      <c r="C159" s="29"/>
      <c r="D159" s="30"/>
      <c r="E159" s="31"/>
      <c r="F159" s="32"/>
      <c r="G159" s="33"/>
      <c r="H159" s="34"/>
      <c r="I159" s="34"/>
      <c r="J159" s="35"/>
      <c r="K159" s="36"/>
      <c r="L159" s="37"/>
      <c r="M159" s="38">
        <f>SUM(M158:M158)</f>
        <v>350</v>
      </c>
      <c r="N159" s="38"/>
      <c r="O159" s="39" t="s">
        <v>137</v>
      </c>
      <c r="P159" s="38">
        <f>SUM(P158:P158)</f>
        <v>7</v>
      </c>
      <c r="Q159" s="38"/>
      <c r="R159" s="30"/>
      <c r="S159" s="38">
        <f t="shared" ref="S159:AD159" si="258">SUM(S158:S158)</f>
        <v>0</v>
      </c>
      <c r="T159" s="38">
        <f t="shared" si="258"/>
        <v>0</v>
      </c>
      <c r="U159" s="38">
        <f t="shared" si="258"/>
        <v>0</v>
      </c>
      <c r="V159" s="38">
        <f t="shared" si="258"/>
        <v>0</v>
      </c>
      <c r="W159" s="38">
        <f t="shared" si="258"/>
        <v>0</v>
      </c>
      <c r="X159" s="38">
        <f t="shared" si="258"/>
        <v>0</v>
      </c>
      <c r="Y159" s="38">
        <f t="shared" si="258"/>
        <v>0</v>
      </c>
      <c r="Z159" s="38">
        <f t="shared" si="258"/>
        <v>0</v>
      </c>
      <c r="AA159" s="38">
        <f t="shared" si="258"/>
        <v>0</v>
      </c>
      <c r="AB159" s="38">
        <f t="shared" si="258"/>
        <v>0</v>
      </c>
      <c r="AC159" s="38">
        <f t="shared" si="258"/>
        <v>0</v>
      </c>
      <c r="AD159" s="38">
        <f t="shared" si="258"/>
        <v>0</v>
      </c>
      <c r="AE159" s="30"/>
      <c r="AF159" s="38">
        <f>SUM(AF158:AF158)</f>
        <v>0</v>
      </c>
      <c r="AG159" s="30"/>
      <c r="AH159" s="38">
        <f t="shared" ref="AH159:AY159" si="259">SUM(AH158:AH158)</f>
        <v>0</v>
      </c>
      <c r="AI159" s="38">
        <f t="shared" si="259"/>
        <v>0</v>
      </c>
      <c r="AJ159" s="38">
        <f t="shared" si="259"/>
        <v>0</v>
      </c>
      <c r="AK159" s="38">
        <f t="shared" si="259"/>
        <v>0</v>
      </c>
      <c r="AL159" s="38">
        <f t="shared" si="259"/>
        <v>0</v>
      </c>
      <c r="AM159" s="38">
        <f t="shared" si="259"/>
        <v>0</v>
      </c>
      <c r="AN159" s="38">
        <f t="shared" si="259"/>
        <v>0</v>
      </c>
      <c r="AO159" s="38">
        <f t="shared" si="259"/>
        <v>0</v>
      </c>
      <c r="AP159" s="38">
        <f t="shared" si="259"/>
        <v>0</v>
      </c>
      <c r="AQ159" s="38">
        <f t="shared" si="259"/>
        <v>0</v>
      </c>
      <c r="AR159" s="38">
        <f t="shared" si="259"/>
        <v>0</v>
      </c>
      <c r="AS159" s="38">
        <f t="shared" si="259"/>
        <v>0</v>
      </c>
      <c r="AT159" s="38">
        <f t="shared" si="259"/>
        <v>0</v>
      </c>
      <c r="AU159" s="38">
        <f t="shared" si="259"/>
        <v>0</v>
      </c>
      <c r="AV159" s="38">
        <f t="shared" si="259"/>
        <v>0</v>
      </c>
      <c r="AW159" s="38">
        <f t="shared" si="259"/>
        <v>0</v>
      </c>
      <c r="AX159" s="38">
        <f t="shared" si="259"/>
        <v>0</v>
      </c>
      <c r="AY159" s="38">
        <f t="shared" si="259"/>
        <v>0</v>
      </c>
      <c r="AZ159" s="38">
        <f>SUM(AZ158:AZ158)</f>
        <v>357</v>
      </c>
      <c r="BA159" s="30"/>
      <c r="BB159" s="38">
        <f t="shared" ref="BB159:CT159" si="260">SUM(BB158:BB158)</f>
        <v>0</v>
      </c>
      <c r="BC159" s="38">
        <f t="shared" si="260"/>
        <v>0</v>
      </c>
      <c r="BD159" s="38">
        <f t="shared" si="260"/>
        <v>0</v>
      </c>
      <c r="BE159" s="38">
        <f t="shared" si="260"/>
        <v>0</v>
      </c>
      <c r="BF159" s="38">
        <f t="shared" si="260"/>
        <v>0</v>
      </c>
      <c r="BG159" s="38">
        <f t="shared" si="260"/>
        <v>0</v>
      </c>
      <c r="BH159" s="38">
        <f t="shared" si="260"/>
        <v>0</v>
      </c>
      <c r="BI159" s="38">
        <f t="shared" si="260"/>
        <v>0</v>
      </c>
      <c r="BJ159" s="38">
        <f t="shared" si="260"/>
        <v>0</v>
      </c>
      <c r="BK159" s="38">
        <f t="shared" si="260"/>
        <v>0</v>
      </c>
      <c r="BL159" s="38">
        <f t="shared" si="260"/>
        <v>0</v>
      </c>
      <c r="BM159" s="38">
        <f t="shared" si="260"/>
        <v>0</v>
      </c>
      <c r="BN159" s="38">
        <f t="shared" si="260"/>
        <v>0</v>
      </c>
      <c r="BO159" s="38">
        <f t="shared" si="260"/>
        <v>0</v>
      </c>
      <c r="BP159" s="38">
        <f t="shared" si="260"/>
        <v>0</v>
      </c>
      <c r="BQ159" s="38">
        <f t="shared" si="260"/>
        <v>0</v>
      </c>
      <c r="BR159" s="38">
        <f t="shared" si="260"/>
        <v>0</v>
      </c>
      <c r="BS159" s="38">
        <f t="shared" si="260"/>
        <v>0</v>
      </c>
      <c r="BT159" s="38">
        <f t="shared" si="260"/>
        <v>0</v>
      </c>
      <c r="BU159" s="38">
        <f t="shared" si="260"/>
        <v>0</v>
      </c>
      <c r="BV159" s="38">
        <f t="shared" si="260"/>
        <v>0</v>
      </c>
      <c r="BW159" s="38">
        <f t="shared" si="260"/>
        <v>0</v>
      </c>
      <c r="BX159" s="38">
        <f t="shared" si="260"/>
        <v>0</v>
      </c>
      <c r="BY159" s="38">
        <f t="shared" si="260"/>
        <v>0</v>
      </c>
      <c r="BZ159" s="38">
        <f t="shared" si="260"/>
        <v>0</v>
      </c>
      <c r="CA159" s="38">
        <f t="shared" si="260"/>
        <v>0</v>
      </c>
      <c r="CB159" s="38">
        <f t="shared" si="260"/>
        <v>0</v>
      </c>
      <c r="CC159" s="38">
        <f t="shared" si="260"/>
        <v>0</v>
      </c>
      <c r="CD159" s="38">
        <f t="shared" si="260"/>
        <v>0</v>
      </c>
      <c r="CE159" s="38">
        <f t="shared" si="260"/>
        <v>0</v>
      </c>
      <c r="CF159" s="38">
        <f t="shared" si="260"/>
        <v>0</v>
      </c>
      <c r="CG159" s="38">
        <f t="shared" si="260"/>
        <v>0</v>
      </c>
      <c r="CH159" s="38">
        <f t="shared" si="260"/>
        <v>0</v>
      </c>
      <c r="CI159" s="38">
        <f t="shared" si="260"/>
        <v>0</v>
      </c>
      <c r="CJ159" s="38">
        <f t="shared" si="260"/>
        <v>0</v>
      </c>
      <c r="CK159" s="38">
        <f t="shared" si="260"/>
        <v>0</v>
      </c>
      <c r="CL159" s="38">
        <f t="shared" si="260"/>
        <v>0</v>
      </c>
      <c r="CM159" s="38">
        <f t="shared" si="260"/>
        <v>0</v>
      </c>
      <c r="CN159" s="38">
        <f t="shared" si="260"/>
        <v>0</v>
      </c>
      <c r="CO159" s="38">
        <f t="shared" si="260"/>
        <v>0</v>
      </c>
      <c r="CP159" s="38">
        <f t="shared" si="260"/>
        <v>0</v>
      </c>
      <c r="CQ159" s="38">
        <f t="shared" si="260"/>
        <v>0</v>
      </c>
      <c r="CR159" s="38">
        <f t="shared" si="260"/>
        <v>0</v>
      </c>
      <c r="CS159" s="38">
        <f t="shared" si="260"/>
        <v>0</v>
      </c>
      <c r="CT159" s="38">
        <f t="shared" si="260"/>
        <v>0</v>
      </c>
      <c r="CU159" s="17">
        <f t="shared" si="170"/>
        <v>350</v>
      </c>
      <c r="CV159" s="25">
        <f t="shared" si="171"/>
        <v>0</v>
      </c>
      <c r="CW159" s="40"/>
      <c r="CX159" s="30"/>
      <c r="CY159" s="30"/>
    </row>
    <row r="160" spans="1:103" x14ac:dyDescent="0.2">
      <c r="A160" s="2">
        <v>45880</v>
      </c>
      <c r="B160" s="3" t="s">
        <v>283</v>
      </c>
      <c r="C160" s="4" t="s">
        <v>536</v>
      </c>
      <c r="D160" s="5" t="s">
        <v>284</v>
      </c>
      <c r="E160" s="6" t="s">
        <v>285</v>
      </c>
      <c r="F160" s="7" t="s">
        <v>229</v>
      </c>
      <c r="G160" s="8" t="s">
        <v>286</v>
      </c>
      <c r="H160" s="9">
        <v>350</v>
      </c>
      <c r="I160" s="10"/>
      <c r="J160" s="11" t="s">
        <v>310</v>
      </c>
      <c r="K160" s="12">
        <v>1</v>
      </c>
      <c r="L160" s="13">
        <v>350</v>
      </c>
      <c r="M160" s="14">
        <f t="shared" ref="M160" si="261">L160*K160</f>
        <v>350</v>
      </c>
      <c r="N160" s="15"/>
      <c r="O160" s="16" t="s">
        <v>137</v>
      </c>
      <c r="P160" s="17">
        <f>M160*0.02</f>
        <v>7</v>
      </c>
      <c r="Q160" s="18"/>
      <c r="R160" s="5"/>
      <c r="S160" s="19"/>
      <c r="T160" s="19"/>
      <c r="U160" s="19"/>
      <c r="V160" s="19"/>
      <c r="W160" s="17"/>
      <c r="X160" s="20"/>
      <c r="Y160" s="19"/>
      <c r="Z160" s="19"/>
      <c r="AA160" s="19"/>
      <c r="AB160" s="19"/>
      <c r="AC160" s="19"/>
      <c r="AD160" s="19"/>
      <c r="AE160" s="5"/>
      <c r="AF160" s="19"/>
      <c r="AG160" s="5"/>
      <c r="AH160" s="17"/>
      <c r="AI160" s="19"/>
      <c r="AJ160" s="19"/>
      <c r="AK160" s="19"/>
      <c r="AL160" s="19"/>
      <c r="AM160" s="17"/>
      <c r="AN160" s="19"/>
      <c r="AO160" s="19"/>
      <c r="AP160" s="19"/>
      <c r="AQ160" s="19"/>
      <c r="AR160" s="19"/>
      <c r="AS160" s="21"/>
      <c r="AT160" s="5"/>
      <c r="AU160" s="19"/>
      <c r="AV160" s="5"/>
      <c r="AW160" s="22"/>
      <c r="AX160" s="19"/>
      <c r="AY160" s="5"/>
      <c r="AZ160" s="17">
        <f>M160+P160-Q160</f>
        <v>357</v>
      </c>
      <c r="BA160" s="5"/>
      <c r="BB160" s="5"/>
      <c r="BC160" s="19"/>
      <c r="BD160" s="19"/>
      <c r="BE160" s="19"/>
      <c r="BF160" s="19"/>
      <c r="BG160" s="19"/>
      <c r="BH160" s="19"/>
      <c r="BI160" s="19"/>
      <c r="BJ160" s="19"/>
      <c r="BK160" s="13"/>
      <c r="BL160" s="5"/>
      <c r="BM160" s="5"/>
      <c r="BN160" s="19"/>
      <c r="BO160" s="17"/>
      <c r="BP160" s="19"/>
      <c r="BQ160" s="17"/>
      <c r="BR160" s="19"/>
      <c r="BS160" s="13"/>
      <c r="BT160" s="5"/>
      <c r="BU160" s="23"/>
      <c r="BV160" s="23"/>
      <c r="BW160" s="24"/>
      <c r="BX160" s="5"/>
      <c r="BY160" s="5"/>
      <c r="BZ160" s="5"/>
      <c r="CA160" s="24"/>
      <c r="CB160" s="24"/>
      <c r="CC160" s="24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>
        <f t="shared" si="170"/>
        <v>350</v>
      </c>
      <c r="CV160" s="25">
        <f t="shared" si="171"/>
        <v>0</v>
      </c>
      <c r="CW160" s="26"/>
      <c r="CX160" s="5"/>
      <c r="CY160" s="5"/>
    </row>
    <row r="161" spans="1:103" x14ac:dyDescent="0.2">
      <c r="A161" s="27"/>
      <c r="B161" s="28"/>
      <c r="C161" s="29"/>
      <c r="D161" s="30"/>
      <c r="E161" s="31"/>
      <c r="F161" s="32"/>
      <c r="G161" s="33"/>
      <c r="H161" s="34"/>
      <c r="I161" s="34"/>
      <c r="J161" s="35"/>
      <c r="K161" s="36"/>
      <c r="L161" s="37"/>
      <c r="M161" s="38">
        <f>SUM(M160:M160)</f>
        <v>350</v>
      </c>
      <c r="N161" s="38"/>
      <c r="O161" s="39" t="s">
        <v>137</v>
      </c>
      <c r="P161" s="38">
        <f>SUM(P160:P160)</f>
        <v>7</v>
      </c>
      <c r="Q161" s="38"/>
      <c r="R161" s="30"/>
      <c r="S161" s="38">
        <f t="shared" ref="S161:AD161" si="262">SUM(S160:S160)</f>
        <v>0</v>
      </c>
      <c r="T161" s="38">
        <f t="shared" si="262"/>
        <v>0</v>
      </c>
      <c r="U161" s="38">
        <f t="shared" si="262"/>
        <v>0</v>
      </c>
      <c r="V161" s="38">
        <f t="shared" si="262"/>
        <v>0</v>
      </c>
      <c r="W161" s="38">
        <f t="shared" si="262"/>
        <v>0</v>
      </c>
      <c r="X161" s="38">
        <f t="shared" si="262"/>
        <v>0</v>
      </c>
      <c r="Y161" s="38">
        <f t="shared" si="262"/>
        <v>0</v>
      </c>
      <c r="Z161" s="38">
        <f t="shared" si="262"/>
        <v>0</v>
      </c>
      <c r="AA161" s="38">
        <f t="shared" si="262"/>
        <v>0</v>
      </c>
      <c r="AB161" s="38">
        <f t="shared" si="262"/>
        <v>0</v>
      </c>
      <c r="AC161" s="38">
        <f t="shared" si="262"/>
        <v>0</v>
      </c>
      <c r="AD161" s="38">
        <f t="shared" si="262"/>
        <v>0</v>
      </c>
      <c r="AE161" s="30"/>
      <c r="AF161" s="38">
        <f>SUM(AF160:AF160)</f>
        <v>0</v>
      </c>
      <c r="AG161" s="30"/>
      <c r="AH161" s="38">
        <f t="shared" ref="AH161:AY161" si="263">SUM(AH160:AH160)</f>
        <v>0</v>
      </c>
      <c r="AI161" s="38">
        <f t="shared" si="263"/>
        <v>0</v>
      </c>
      <c r="AJ161" s="38">
        <f t="shared" si="263"/>
        <v>0</v>
      </c>
      <c r="AK161" s="38">
        <f t="shared" si="263"/>
        <v>0</v>
      </c>
      <c r="AL161" s="38">
        <f t="shared" si="263"/>
        <v>0</v>
      </c>
      <c r="AM161" s="38">
        <f t="shared" si="263"/>
        <v>0</v>
      </c>
      <c r="AN161" s="38">
        <f t="shared" si="263"/>
        <v>0</v>
      </c>
      <c r="AO161" s="38">
        <f t="shared" si="263"/>
        <v>0</v>
      </c>
      <c r="AP161" s="38">
        <f t="shared" si="263"/>
        <v>0</v>
      </c>
      <c r="AQ161" s="38">
        <f t="shared" si="263"/>
        <v>0</v>
      </c>
      <c r="AR161" s="38">
        <f t="shared" si="263"/>
        <v>0</v>
      </c>
      <c r="AS161" s="38">
        <f t="shared" si="263"/>
        <v>0</v>
      </c>
      <c r="AT161" s="38">
        <f t="shared" si="263"/>
        <v>0</v>
      </c>
      <c r="AU161" s="38">
        <f t="shared" si="263"/>
        <v>0</v>
      </c>
      <c r="AV161" s="38">
        <f t="shared" si="263"/>
        <v>0</v>
      </c>
      <c r="AW161" s="38">
        <f t="shared" si="263"/>
        <v>0</v>
      </c>
      <c r="AX161" s="38">
        <f t="shared" si="263"/>
        <v>0</v>
      </c>
      <c r="AY161" s="38">
        <f t="shared" si="263"/>
        <v>0</v>
      </c>
      <c r="AZ161" s="38">
        <f>SUM(AZ160:AZ160)</f>
        <v>357</v>
      </c>
      <c r="BA161" s="30"/>
      <c r="BB161" s="38">
        <f t="shared" ref="BB161:CT161" si="264">SUM(BB160:BB160)</f>
        <v>0</v>
      </c>
      <c r="BC161" s="38">
        <f t="shared" si="264"/>
        <v>0</v>
      </c>
      <c r="BD161" s="38">
        <f t="shared" si="264"/>
        <v>0</v>
      </c>
      <c r="BE161" s="38">
        <f t="shared" si="264"/>
        <v>0</v>
      </c>
      <c r="BF161" s="38">
        <f t="shared" si="264"/>
        <v>0</v>
      </c>
      <c r="BG161" s="38">
        <f t="shared" si="264"/>
        <v>0</v>
      </c>
      <c r="BH161" s="38">
        <f t="shared" si="264"/>
        <v>0</v>
      </c>
      <c r="BI161" s="38">
        <f t="shared" si="264"/>
        <v>0</v>
      </c>
      <c r="BJ161" s="38">
        <f t="shared" si="264"/>
        <v>0</v>
      </c>
      <c r="BK161" s="38">
        <f t="shared" si="264"/>
        <v>0</v>
      </c>
      <c r="BL161" s="38">
        <f t="shared" si="264"/>
        <v>0</v>
      </c>
      <c r="BM161" s="38">
        <f t="shared" si="264"/>
        <v>0</v>
      </c>
      <c r="BN161" s="38">
        <f t="shared" si="264"/>
        <v>0</v>
      </c>
      <c r="BO161" s="38">
        <f t="shared" si="264"/>
        <v>0</v>
      </c>
      <c r="BP161" s="38">
        <f t="shared" si="264"/>
        <v>0</v>
      </c>
      <c r="BQ161" s="38">
        <f t="shared" si="264"/>
        <v>0</v>
      </c>
      <c r="BR161" s="38">
        <f t="shared" si="264"/>
        <v>0</v>
      </c>
      <c r="BS161" s="38">
        <f t="shared" si="264"/>
        <v>0</v>
      </c>
      <c r="BT161" s="38">
        <f t="shared" si="264"/>
        <v>0</v>
      </c>
      <c r="BU161" s="38">
        <f t="shared" si="264"/>
        <v>0</v>
      </c>
      <c r="BV161" s="38">
        <f t="shared" si="264"/>
        <v>0</v>
      </c>
      <c r="BW161" s="38">
        <f t="shared" si="264"/>
        <v>0</v>
      </c>
      <c r="BX161" s="38">
        <f t="shared" si="264"/>
        <v>0</v>
      </c>
      <c r="BY161" s="38">
        <f t="shared" si="264"/>
        <v>0</v>
      </c>
      <c r="BZ161" s="38">
        <f t="shared" si="264"/>
        <v>0</v>
      </c>
      <c r="CA161" s="38">
        <f t="shared" si="264"/>
        <v>0</v>
      </c>
      <c r="CB161" s="38">
        <f t="shared" si="264"/>
        <v>0</v>
      </c>
      <c r="CC161" s="38">
        <f t="shared" si="264"/>
        <v>0</v>
      </c>
      <c r="CD161" s="38">
        <f t="shared" si="264"/>
        <v>0</v>
      </c>
      <c r="CE161" s="38">
        <f t="shared" si="264"/>
        <v>0</v>
      </c>
      <c r="CF161" s="38">
        <f t="shared" si="264"/>
        <v>0</v>
      </c>
      <c r="CG161" s="38">
        <f t="shared" si="264"/>
        <v>0</v>
      </c>
      <c r="CH161" s="38">
        <f t="shared" si="264"/>
        <v>0</v>
      </c>
      <c r="CI161" s="38">
        <f t="shared" si="264"/>
        <v>0</v>
      </c>
      <c r="CJ161" s="38">
        <f t="shared" si="264"/>
        <v>0</v>
      </c>
      <c r="CK161" s="38">
        <f t="shared" si="264"/>
        <v>0</v>
      </c>
      <c r="CL161" s="38">
        <f t="shared" si="264"/>
        <v>0</v>
      </c>
      <c r="CM161" s="38">
        <f t="shared" si="264"/>
        <v>0</v>
      </c>
      <c r="CN161" s="38">
        <f t="shared" si="264"/>
        <v>0</v>
      </c>
      <c r="CO161" s="38">
        <f t="shared" si="264"/>
        <v>0</v>
      </c>
      <c r="CP161" s="38">
        <f t="shared" si="264"/>
        <v>0</v>
      </c>
      <c r="CQ161" s="38">
        <f t="shared" si="264"/>
        <v>0</v>
      </c>
      <c r="CR161" s="38">
        <f t="shared" si="264"/>
        <v>0</v>
      </c>
      <c r="CS161" s="38">
        <f t="shared" si="264"/>
        <v>0</v>
      </c>
      <c r="CT161" s="38">
        <f t="shared" si="264"/>
        <v>0</v>
      </c>
      <c r="CU161" s="17">
        <f t="shared" si="170"/>
        <v>350</v>
      </c>
      <c r="CV161" s="25">
        <f t="shared" si="171"/>
        <v>0</v>
      </c>
      <c r="CW161" s="40"/>
      <c r="CX161" s="30"/>
      <c r="CY161" s="30"/>
    </row>
    <row r="162" spans="1:103" x14ac:dyDescent="0.2">
      <c r="A162" s="2">
        <v>45880</v>
      </c>
      <c r="B162" s="3" t="s">
        <v>283</v>
      </c>
      <c r="C162" s="4" t="s">
        <v>537</v>
      </c>
      <c r="D162" s="5" t="s">
        <v>284</v>
      </c>
      <c r="E162" s="6" t="s">
        <v>285</v>
      </c>
      <c r="F162" s="7" t="s">
        <v>229</v>
      </c>
      <c r="G162" s="8" t="s">
        <v>286</v>
      </c>
      <c r="H162" s="9">
        <v>347</v>
      </c>
      <c r="I162" s="10"/>
      <c r="J162" s="11" t="s">
        <v>310</v>
      </c>
      <c r="K162" s="12">
        <v>1</v>
      </c>
      <c r="L162" s="13">
        <v>350</v>
      </c>
      <c r="M162" s="14">
        <f t="shared" ref="M162" si="265">L162*K162</f>
        <v>350</v>
      </c>
      <c r="N162" s="15"/>
      <c r="O162" s="16" t="s">
        <v>137</v>
      </c>
      <c r="P162" s="17">
        <f>M162*0.02</f>
        <v>7</v>
      </c>
      <c r="Q162" s="18"/>
      <c r="R162" s="5"/>
      <c r="S162" s="19"/>
      <c r="T162" s="19"/>
      <c r="U162" s="19"/>
      <c r="V162" s="19"/>
      <c r="W162" s="17"/>
      <c r="X162" s="20"/>
      <c r="Y162" s="19"/>
      <c r="Z162" s="19"/>
      <c r="AA162" s="19"/>
      <c r="AB162" s="19"/>
      <c r="AC162" s="19"/>
      <c r="AD162" s="19"/>
      <c r="AE162" s="5"/>
      <c r="AF162" s="19"/>
      <c r="AG162" s="5"/>
      <c r="AH162" s="17"/>
      <c r="AI162" s="19"/>
      <c r="AJ162" s="19"/>
      <c r="AK162" s="19"/>
      <c r="AL162" s="19"/>
      <c r="AM162" s="17"/>
      <c r="AN162" s="19"/>
      <c r="AO162" s="19"/>
      <c r="AP162" s="19"/>
      <c r="AQ162" s="19"/>
      <c r="AR162" s="19"/>
      <c r="AS162" s="21"/>
      <c r="AT162" s="5"/>
      <c r="AU162" s="19"/>
      <c r="AV162" s="5"/>
      <c r="AW162" s="22"/>
      <c r="AX162" s="19"/>
      <c r="AY162" s="5"/>
      <c r="AZ162" s="17">
        <f>M162+P162-Q162</f>
        <v>357</v>
      </c>
      <c r="BA162" s="5"/>
      <c r="BB162" s="5"/>
      <c r="BC162" s="19"/>
      <c r="BD162" s="19"/>
      <c r="BE162" s="19"/>
      <c r="BF162" s="19"/>
      <c r="BG162" s="19"/>
      <c r="BH162" s="19"/>
      <c r="BI162" s="19"/>
      <c r="BJ162" s="19"/>
      <c r="BK162" s="13"/>
      <c r="BL162" s="5"/>
      <c r="BM162" s="5"/>
      <c r="BN162" s="19"/>
      <c r="BO162" s="17"/>
      <c r="BP162" s="19"/>
      <c r="BQ162" s="17"/>
      <c r="BR162" s="19"/>
      <c r="BS162" s="13"/>
      <c r="BT162" s="5"/>
      <c r="BU162" s="23"/>
      <c r="BV162" s="23"/>
      <c r="BW162" s="24"/>
      <c r="BX162" s="5"/>
      <c r="BY162" s="5"/>
      <c r="BZ162" s="5"/>
      <c r="CA162" s="24"/>
      <c r="CB162" s="24"/>
      <c r="CC162" s="24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>
        <f t="shared" si="170"/>
        <v>350</v>
      </c>
      <c r="CV162" s="25">
        <f t="shared" si="171"/>
        <v>0</v>
      </c>
      <c r="CW162" s="26"/>
      <c r="CX162" s="5"/>
      <c r="CY162" s="5"/>
    </row>
    <row r="163" spans="1:103" x14ac:dyDescent="0.2">
      <c r="A163" s="27"/>
      <c r="B163" s="28"/>
      <c r="C163" s="29"/>
      <c r="D163" s="30"/>
      <c r="E163" s="31"/>
      <c r="F163" s="32"/>
      <c r="G163" s="33"/>
      <c r="H163" s="34"/>
      <c r="I163" s="34"/>
      <c r="J163" s="35"/>
      <c r="K163" s="36"/>
      <c r="L163" s="37"/>
      <c r="M163" s="38">
        <f>SUM(M162:M162)</f>
        <v>350</v>
      </c>
      <c r="N163" s="38"/>
      <c r="O163" s="39" t="s">
        <v>137</v>
      </c>
      <c r="P163" s="38">
        <f>SUM(P162:P162)</f>
        <v>7</v>
      </c>
      <c r="Q163" s="38"/>
      <c r="R163" s="30"/>
      <c r="S163" s="38">
        <f t="shared" ref="S163:AD163" si="266">SUM(S162:S162)</f>
        <v>0</v>
      </c>
      <c r="T163" s="38">
        <f t="shared" si="266"/>
        <v>0</v>
      </c>
      <c r="U163" s="38">
        <f t="shared" si="266"/>
        <v>0</v>
      </c>
      <c r="V163" s="38">
        <f t="shared" si="266"/>
        <v>0</v>
      </c>
      <c r="W163" s="38">
        <f t="shared" si="266"/>
        <v>0</v>
      </c>
      <c r="X163" s="38">
        <f t="shared" si="266"/>
        <v>0</v>
      </c>
      <c r="Y163" s="38">
        <f t="shared" si="266"/>
        <v>0</v>
      </c>
      <c r="Z163" s="38">
        <f t="shared" si="266"/>
        <v>0</v>
      </c>
      <c r="AA163" s="38">
        <f t="shared" si="266"/>
        <v>0</v>
      </c>
      <c r="AB163" s="38">
        <f t="shared" si="266"/>
        <v>0</v>
      </c>
      <c r="AC163" s="38">
        <f t="shared" si="266"/>
        <v>0</v>
      </c>
      <c r="AD163" s="38">
        <f t="shared" si="266"/>
        <v>0</v>
      </c>
      <c r="AE163" s="30"/>
      <c r="AF163" s="38">
        <f>SUM(AF162:AF162)</f>
        <v>0</v>
      </c>
      <c r="AG163" s="30"/>
      <c r="AH163" s="38">
        <f t="shared" ref="AH163:AY163" si="267">SUM(AH162:AH162)</f>
        <v>0</v>
      </c>
      <c r="AI163" s="38">
        <f t="shared" si="267"/>
        <v>0</v>
      </c>
      <c r="AJ163" s="38">
        <f t="shared" si="267"/>
        <v>0</v>
      </c>
      <c r="AK163" s="38">
        <f t="shared" si="267"/>
        <v>0</v>
      </c>
      <c r="AL163" s="38">
        <f t="shared" si="267"/>
        <v>0</v>
      </c>
      <c r="AM163" s="38">
        <f t="shared" si="267"/>
        <v>0</v>
      </c>
      <c r="AN163" s="38">
        <f t="shared" si="267"/>
        <v>0</v>
      </c>
      <c r="AO163" s="38">
        <f t="shared" si="267"/>
        <v>0</v>
      </c>
      <c r="AP163" s="38">
        <f t="shared" si="267"/>
        <v>0</v>
      </c>
      <c r="AQ163" s="38">
        <f t="shared" si="267"/>
        <v>0</v>
      </c>
      <c r="AR163" s="38">
        <f t="shared" si="267"/>
        <v>0</v>
      </c>
      <c r="AS163" s="38">
        <f t="shared" si="267"/>
        <v>0</v>
      </c>
      <c r="AT163" s="38">
        <f t="shared" si="267"/>
        <v>0</v>
      </c>
      <c r="AU163" s="38">
        <f t="shared" si="267"/>
        <v>0</v>
      </c>
      <c r="AV163" s="38">
        <f t="shared" si="267"/>
        <v>0</v>
      </c>
      <c r="AW163" s="38">
        <f t="shared" si="267"/>
        <v>0</v>
      </c>
      <c r="AX163" s="38">
        <f t="shared" si="267"/>
        <v>0</v>
      </c>
      <c r="AY163" s="38">
        <f t="shared" si="267"/>
        <v>0</v>
      </c>
      <c r="AZ163" s="38">
        <f>SUM(AZ162:AZ162)</f>
        <v>357</v>
      </c>
      <c r="BA163" s="30"/>
      <c r="BB163" s="38">
        <f t="shared" ref="BB163:CT163" si="268">SUM(BB162:BB162)</f>
        <v>0</v>
      </c>
      <c r="BC163" s="38">
        <f t="shared" si="268"/>
        <v>0</v>
      </c>
      <c r="BD163" s="38">
        <f t="shared" si="268"/>
        <v>0</v>
      </c>
      <c r="BE163" s="38">
        <f t="shared" si="268"/>
        <v>0</v>
      </c>
      <c r="BF163" s="38">
        <f t="shared" si="268"/>
        <v>0</v>
      </c>
      <c r="BG163" s="38">
        <f t="shared" si="268"/>
        <v>0</v>
      </c>
      <c r="BH163" s="38">
        <f t="shared" si="268"/>
        <v>0</v>
      </c>
      <c r="BI163" s="38">
        <f t="shared" si="268"/>
        <v>0</v>
      </c>
      <c r="BJ163" s="38">
        <f t="shared" si="268"/>
        <v>0</v>
      </c>
      <c r="BK163" s="38">
        <f t="shared" si="268"/>
        <v>0</v>
      </c>
      <c r="BL163" s="38">
        <f t="shared" si="268"/>
        <v>0</v>
      </c>
      <c r="BM163" s="38">
        <f t="shared" si="268"/>
        <v>0</v>
      </c>
      <c r="BN163" s="38">
        <f t="shared" si="268"/>
        <v>0</v>
      </c>
      <c r="BO163" s="38">
        <f t="shared" si="268"/>
        <v>0</v>
      </c>
      <c r="BP163" s="38">
        <f t="shared" si="268"/>
        <v>0</v>
      </c>
      <c r="BQ163" s="38">
        <f t="shared" si="268"/>
        <v>0</v>
      </c>
      <c r="BR163" s="38">
        <f t="shared" si="268"/>
        <v>0</v>
      </c>
      <c r="BS163" s="38">
        <f t="shared" si="268"/>
        <v>0</v>
      </c>
      <c r="BT163" s="38">
        <f t="shared" si="268"/>
        <v>0</v>
      </c>
      <c r="BU163" s="38">
        <f t="shared" si="268"/>
        <v>0</v>
      </c>
      <c r="BV163" s="38">
        <f t="shared" si="268"/>
        <v>0</v>
      </c>
      <c r="BW163" s="38">
        <f t="shared" si="268"/>
        <v>0</v>
      </c>
      <c r="BX163" s="38">
        <f t="shared" si="268"/>
        <v>0</v>
      </c>
      <c r="BY163" s="38">
        <f t="shared" si="268"/>
        <v>0</v>
      </c>
      <c r="BZ163" s="38">
        <f t="shared" si="268"/>
        <v>0</v>
      </c>
      <c r="CA163" s="38">
        <f t="shared" si="268"/>
        <v>0</v>
      </c>
      <c r="CB163" s="38">
        <f t="shared" si="268"/>
        <v>0</v>
      </c>
      <c r="CC163" s="38">
        <f t="shared" si="268"/>
        <v>0</v>
      </c>
      <c r="CD163" s="38">
        <f t="shared" si="268"/>
        <v>0</v>
      </c>
      <c r="CE163" s="38">
        <f t="shared" si="268"/>
        <v>0</v>
      </c>
      <c r="CF163" s="38">
        <f t="shared" si="268"/>
        <v>0</v>
      </c>
      <c r="CG163" s="38">
        <f t="shared" si="268"/>
        <v>0</v>
      </c>
      <c r="CH163" s="38">
        <f t="shared" si="268"/>
        <v>0</v>
      </c>
      <c r="CI163" s="38">
        <f t="shared" si="268"/>
        <v>0</v>
      </c>
      <c r="CJ163" s="38">
        <f t="shared" si="268"/>
        <v>0</v>
      </c>
      <c r="CK163" s="38">
        <f t="shared" si="268"/>
        <v>0</v>
      </c>
      <c r="CL163" s="38">
        <f t="shared" si="268"/>
        <v>0</v>
      </c>
      <c r="CM163" s="38">
        <f t="shared" si="268"/>
        <v>0</v>
      </c>
      <c r="CN163" s="38">
        <f t="shared" si="268"/>
        <v>0</v>
      </c>
      <c r="CO163" s="38">
        <f t="shared" si="268"/>
        <v>0</v>
      </c>
      <c r="CP163" s="38">
        <f t="shared" si="268"/>
        <v>0</v>
      </c>
      <c r="CQ163" s="38">
        <f t="shared" si="268"/>
        <v>0</v>
      </c>
      <c r="CR163" s="38">
        <f t="shared" si="268"/>
        <v>0</v>
      </c>
      <c r="CS163" s="38">
        <f t="shared" si="268"/>
        <v>0</v>
      </c>
      <c r="CT163" s="38">
        <f t="shared" si="268"/>
        <v>0</v>
      </c>
      <c r="CU163" s="17">
        <f t="shared" si="170"/>
        <v>350</v>
      </c>
      <c r="CV163" s="25">
        <f t="shared" si="171"/>
        <v>0</v>
      </c>
      <c r="CW163" s="40"/>
      <c r="CX163" s="30"/>
      <c r="CY163" s="30"/>
    </row>
    <row r="164" spans="1:103" x14ac:dyDescent="0.2">
      <c r="A164" s="2">
        <v>45878</v>
      </c>
      <c r="B164" s="3" t="s">
        <v>283</v>
      </c>
      <c r="C164" s="4"/>
      <c r="D164" s="5" t="s">
        <v>284</v>
      </c>
      <c r="E164" s="6" t="s">
        <v>285</v>
      </c>
      <c r="F164" s="7" t="s">
        <v>229</v>
      </c>
      <c r="G164" s="8" t="s">
        <v>286</v>
      </c>
      <c r="H164" s="9">
        <v>342</v>
      </c>
      <c r="I164" s="10"/>
      <c r="J164" s="11" t="s">
        <v>310</v>
      </c>
      <c r="K164" s="12">
        <v>1</v>
      </c>
      <c r="L164" s="13">
        <v>350</v>
      </c>
      <c r="M164" s="14">
        <f t="shared" ref="M164" si="269">L164*K164</f>
        <v>350</v>
      </c>
      <c r="N164" s="15"/>
      <c r="O164" s="16" t="s">
        <v>137</v>
      </c>
      <c r="P164" s="17">
        <f>M164*0.02</f>
        <v>7</v>
      </c>
      <c r="Q164" s="18"/>
      <c r="R164" s="17">
        <f>M164+P164-Q164</f>
        <v>357</v>
      </c>
      <c r="S164" s="19"/>
      <c r="T164" s="19"/>
      <c r="U164" s="19"/>
      <c r="V164" s="19"/>
      <c r="W164" s="17"/>
      <c r="X164" s="20"/>
      <c r="Y164" s="19"/>
      <c r="Z164" s="19"/>
      <c r="AA164" s="19"/>
      <c r="AB164" s="19"/>
      <c r="AC164" s="19"/>
      <c r="AD164" s="19"/>
      <c r="AE164" s="5"/>
      <c r="AF164" s="19"/>
      <c r="AG164" s="5"/>
      <c r="AH164" s="17"/>
      <c r="AI164" s="19"/>
      <c r="AJ164" s="19"/>
      <c r="AK164" s="19"/>
      <c r="AL164" s="19"/>
      <c r="AM164" s="17"/>
      <c r="AN164" s="19"/>
      <c r="AO164" s="19"/>
      <c r="AP164" s="19"/>
      <c r="AQ164" s="19"/>
      <c r="AR164" s="19"/>
      <c r="AS164" s="21"/>
      <c r="AT164" s="5"/>
      <c r="AU164" s="19"/>
      <c r="AV164" s="5"/>
      <c r="AW164" s="22"/>
      <c r="AX164" s="19"/>
      <c r="AY164" s="5"/>
      <c r="AZ164" s="19"/>
      <c r="BA164" s="5"/>
      <c r="BB164" s="5"/>
      <c r="BC164" s="19"/>
      <c r="BD164" s="19"/>
      <c r="BE164" s="19"/>
      <c r="BF164" s="19"/>
      <c r="BG164" s="19"/>
      <c r="BH164" s="19"/>
      <c r="BI164" s="19"/>
      <c r="BJ164" s="19"/>
      <c r="BK164" s="13"/>
      <c r="BL164" s="5"/>
      <c r="BM164" s="5"/>
      <c r="BN164" s="19"/>
      <c r="BO164" s="17"/>
      <c r="BP164" s="19"/>
      <c r="BQ164" s="17"/>
      <c r="BR164" s="19"/>
      <c r="BS164" s="13"/>
      <c r="BT164" s="5"/>
      <c r="BU164" s="23"/>
      <c r="BV164" s="23"/>
      <c r="BW164" s="24"/>
      <c r="BX164" s="5"/>
      <c r="BY164" s="5"/>
      <c r="BZ164" s="5"/>
      <c r="CA164" s="24"/>
      <c r="CB164" s="24"/>
      <c r="CC164" s="24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>
        <f t="shared" si="170"/>
        <v>350</v>
      </c>
      <c r="CV164" s="25">
        <f t="shared" si="171"/>
        <v>0</v>
      </c>
      <c r="CW164" s="26"/>
      <c r="CX164" s="5"/>
      <c r="CY164" s="5"/>
    </row>
    <row r="165" spans="1:103" x14ac:dyDescent="0.2">
      <c r="A165" s="27"/>
      <c r="B165" s="28"/>
      <c r="C165" s="29"/>
      <c r="D165" s="30"/>
      <c r="E165" s="31"/>
      <c r="F165" s="32"/>
      <c r="G165" s="33"/>
      <c r="H165" s="34"/>
      <c r="I165" s="34"/>
      <c r="J165" s="35"/>
      <c r="K165" s="36"/>
      <c r="L165" s="37"/>
      <c r="M165" s="38">
        <f>SUM(M164:M164)</f>
        <v>350</v>
      </c>
      <c r="N165" s="38"/>
      <c r="O165" s="39" t="s">
        <v>111</v>
      </c>
      <c r="P165" s="38">
        <f>SUM(P164:P164)</f>
        <v>7</v>
      </c>
      <c r="Q165" s="38"/>
      <c r="R165" s="38">
        <f>SUM(R164:R164)</f>
        <v>357</v>
      </c>
      <c r="S165" s="38">
        <f t="shared" ref="S165:AD165" si="270">SUM(S164:S164)</f>
        <v>0</v>
      </c>
      <c r="T165" s="38">
        <f t="shared" si="270"/>
        <v>0</v>
      </c>
      <c r="U165" s="38">
        <f t="shared" si="270"/>
        <v>0</v>
      </c>
      <c r="V165" s="38">
        <f t="shared" si="270"/>
        <v>0</v>
      </c>
      <c r="W165" s="38">
        <f t="shared" si="270"/>
        <v>0</v>
      </c>
      <c r="X165" s="38">
        <f t="shared" si="270"/>
        <v>0</v>
      </c>
      <c r="Y165" s="38">
        <f t="shared" si="270"/>
        <v>0</v>
      </c>
      <c r="Z165" s="38">
        <f t="shared" si="270"/>
        <v>0</v>
      </c>
      <c r="AA165" s="38">
        <f t="shared" si="270"/>
        <v>0</v>
      </c>
      <c r="AB165" s="38">
        <f t="shared" si="270"/>
        <v>0</v>
      </c>
      <c r="AC165" s="38">
        <f t="shared" si="270"/>
        <v>0</v>
      </c>
      <c r="AD165" s="38">
        <f t="shared" si="270"/>
        <v>0</v>
      </c>
      <c r="AE165" s="30"/>
      <c r="AF165" s="38">
        <f>SUM(AF164:AF164)</f>
        <v>0</v>
      </c>
      <c r="AG165" s="30"/>
      <c r="AH165" s="38">
        <f t="shared" ref="AH165:AZ165" si="271">SUM(AH164:AH164)</f>
        <v>0</v>
      </c>
      <c r="AI165" s="38">
        <f t="shared" si="271"/>
        <v>0</v>
      </c>
      <c r="AJ165" s="38">
        <f t="shared" si="271"/>
        <v>0</v>
      </c>
      <c r="AK165" s="38">
        <f t="shared" si="271"/>
        <v>0</v>
      </c>
      <c r="AL165" s="38">
        <f t="shared" si="271"/>
        <v>0</v>
      </c>
      <c r="AM165" s="38">
        <f t="shared" si="271"/>
        <v>0</v>
      </c>
      <c r="AN165" s="38">
        <f t="shared" si="271"/>
        <v>0</v>
      </c>
      <c r="AO165" s="38">
        <f t="shared" si="271"/>
        <v>0</v>
      </c>
      <c r="AP165" s="38">
        <f t="shared" si="271"/>
        <v>0</v>
      </c>
      <c r="AQ165" s="38">
        <f t="shared" si="271"/>
        <v>0</v>
      </c>
      <c r="AR165" s="38">
        <f t="shared" si="271"/>
        <v>0</v>
      </c>
      <c r="AS165" s="38">
        <f t="shared" si="271"/>
        <v>0</v>
      </c>
      <c r="AT165" s="38">
        <f t="shared" si="271"/>
        <v>0</v>
      </c>
      <c r="AU165" s="38">
        <f t="shared" si="271"/>
        <v>0</v>
      </c>
      <c r="AV165" s="38">
        <f t="shared" si="271"/>
        <v>0</v>
      </c>
      <c r="AW165" s="38">
        <f t="shared" si="271"/>
        <v>0</v>
      </c>
      <c r="AX165" s="38">
        <f t="shared" si="271"/>
        <v>0</v>
      </c>
      <c r="AY165" s="38">
        <f t="shared" si="271"/>
        <v>0</v>
      </c>
      <c r="AZ165" s="38">
        <f t="shared" si="271"/>
        <v>0</v>
      </c>
      <c r="BA165" s="30"/>
      <c r="BB165" s="38">
        <f t="shared" ref="BB165:CT165" si="272">SUM(BB164:BB164)</f>
        <v>0</v>
      </c>
      <c r="BC165" s="38">
        <f t="shared" si="272"/>
        <v>0</v>
      </c>
      <c r="BD165" s="38">
        <f t="shared" si="272"/>
        <v>0</v>
      </c>
      <c r="BE165" s="38">
        <f t="shared" si="272"/>
        <v>0</v>
      </c>
      <c r="BF165" s="38">
        <f t="shared" si="272"/>
        <v>0</v>
      </c>
      <c r="BG165" s="38">
        <f t="shared" si="272"/>
        <v>0</v>
      </c>
      <c r="BH165" s="38">
        <f t="shared" si="272"/>
        <v>0</v>
      </c>
      <c r="BI165" s="38">
        <f t="shared" si="272"/>
        <v>0</v>
      </c>
      <c r="BJ165" s="38">
        <f t="shared" si="272"/>
        <v>0</v>
      </c>
      <c r="BK165" s="38">
        <f t="shared" si="272"/>
        <v>0</v>
      </c>
      <c r="BL165" s="38">
        <f t="shared" si="272"/>
        <v>0</v>
      </c>
      <c r="BM165" s="38">
        <f t="shared" si="272"/>
        <v>0</v>
      </c>
      <c r="BN165" s="38">
        <f t="shared" si="272"/>
        <v>0</v>
      </c>
      <c r="BO165" s="38">
        <f t="shared" si="272"/>
        <v>0</v>
      </c>
      <c r="BP165" s="38">
        <f t="shared" si="272"/>
        <v>0</v>
      </c>
      <c r="BQ165" s="38">
        <f t="shared" si="272"/>
        <v>0</v>
      </c>
      <c r="BR165" s="38">
        <f t="shared" si="272"/>
        <v>0</v>
      </c>
      <c r="BS165" s="38">
        <f t="shared" si="272"/>
        <v>0</v>
      </c>
      <c r="BT165" s="38">
        <f t="shared" si="272"/>
        <v>0</v>
      </c>
      <c r="BU165" s="38">
        <f t="shared" si="272"/>
        <v>0</v>
      </c>
      <c r="BV165" s="38">
        <f t="shared" si="272"/>
        <v>0</v>
      </c>
      <c r="BW165" s="38">
        <f t="shared" si="272"/>
        <v>0</v>
      </c>
      <c r="BX165" s="38">
        <f t="shared" si="272"/>
        <v>0</v>
      </c>
      <c r="BY165" s="38">
        <f t="shared" si="272"/>
        <v>0</v>
      </c>
      <c r="BZ165" s="38">
        <f t="shared" si="272"/>
        <v>0</v>
      </c>
      <c r="CA165" s="38">
        <f t="shared" si="272"/>
        <v>0</v>
      </c>
      <c r="CB165" s="38">
        <f t="shared" si="272"/>
        <v>0</v>
      </c>
      <c r="CC165" s="38">
        <f t="shared" si="272"/>
        <v>0</v>
      </c>
      <c r="CD165" s="38">
        <f t="shared" si="272"/>
        <v>0</v>
      </c>
      <c r="CE165" s="38">
        <f t="shared" si="272"/>
        <v>0</v>
      </c>
      <c r="CF165" s="38">
        <f t="shared" si="272"/>
        <v>0</v>
      </c>
      <c r="CG165" s="38">
        <f t="shared" si="272"/>
        <v>0</v>
      </c>
      <c r="CH165" s="38">
        <f t="shared" si="272"/>
        <v>0</v>
      </c>
      <c r="CI165" s="38">
        <f t="shared" si="272"/>
        <v>0</v>
      </c>
      <c r="CJ165" s="38">
        <f t="shared" si="272"/>
        <v>0</v>
      </c>
      <c r="CK165" s="38">
        <f t="shared" si="272"/>
        <v>0</v>
      </c>
      <c r="CL165" s="38">
        <f t="shared" si="272"/>
        <v>0</v>
      </c>
      <c r="CM165" s="38">
        <f t="shared" si="272"/>
        <v>0</v>
      </c>
      <c r="CN165" s="38">
        <f t="shared" si="272"/>
        <v>0</v>
      </c>
      <c r="CO165" s="38">
        <f t="shared" si="272"/>
        <v>0</v>
      </c>
      <c r="CP165" s="38">
        <f t="shared" si="272"/>
        <v>0</v>
      </c>
      <c r="CQ165" s="38">
        <f t="shared" si="272"/>
        <v>0</v>
      </c>
      <c r="CR165" s="38">
        <f t="shared" si="272"/>
        <v>0</v>
      </c>
      <c r="CS165" s="38">
        <f t="shared" si="272"/>
        <v>0</v>
      </c>
      <c r="CT165" s="38">
        <f t="shared" si="272"/>
        <v>0</v>
      </c>
      <c r="CU165" s="17">
        <f t="shared" si="170"/>
        <v>350</v>
      </c>
      <c r="CV165" s="25">
        <f t="shared" si="171"/>
        <v>0</v>
      </c>
      <c r="CW165" s="40"/>
      <c r="CX165" s="30"/>
      <c r="CY165" s="30"/>
    </row>
    <row r="166" spans="1:103" x14ac:dyDescent="0.2">
      <c r="A166" s="2">
        <v>45877</v>
      </c>
      <c r="B166" s="3" t="s">
        <v>283</v>
      </c>
      <c r="C166" s="4" t="s">
        <v>538</v>
      </c>
      <c r="D166" s="5" t="s">
        <v>284</v>
      </c>
      <c r="E166" s="6" t="s">
        <v>285</v>
      </c>
      <c r="F166" s="7" t="s">
        <v>229</v>
      </c>
      <c r="G166" s="8" t="s">
        <v>286</v>
      </c>
      <c r="H166" s="9">
        <v>340</v>
      </c>
      <c r="I166" s="10"/>
      <c r="J166" s="11" t="s">
        <v>310</v>
      </c>
      <c r="K166" s="12">
        <v>1</v>
      </c>
      <c r="L166" s="13">
        <v>320</v>
      </c>
      <c r="M166" s="14">
        <f t="shared" ref="M166" si="273">L166*K166</f>
        <v>320</v>
      </c>
      <c r="N166" s="15"/>
      <c r="O166" s="16" t="s">
        <v>137</v>
      </c>
      <c r="P166" s="17">
        <f>M166*0.02</f>
        <v>6.4</v>
      </c>
      <c r="Q166" s="18"/>
      <c r="R166" s="5"/>
      <c r="S166" s="19"/>
      <c r="T166" s="19"/>
      <c r="U166" s="19"/>
      <c r="V166" s="19"/>
      <c r="W166" s="17"/>
      <c r="X166" s="20"/>
      <c r="Y166" s="19"/>
      <c r="Z166" s="19"/>
      <c r="AA166" s="19"/>
      <c r="AB166" s="19"/>
      <c r="AC166" s="19"/>
      <c r="AD166" s="19"/>
      <c r="AE166" s="5"/>
      <c r="AF166" s="19"/>
      <c r="AG166" s="5"/>
      <c r="AH166" s="17"/>
      <c r="AI166" s="19"/>
      <c r="AJ166" s="19"/>
      <c r="AK166" s="19"/>
      <c r="AL166" s="19"/>
      <c r="AM166" s="17"/>
      <c r="AN166" s="19"/>
      <c r="AO166" s="19"/>
      <c r="AP166" s="19"/>
      <c r="AQ166" s="19"/>
      <c r="AR166" s="19"/>
      <c r="AS166" s="21"/>
      <c r="AT166" s="5"/>
      <c r="AU166" s="19"/>
      <c r="AV166" s="5"/>
      <c r="AW166" s="22"/>
      <c r="AX166" s="19"/>
      <c r="AY166" s="5"/>
      <c r="AZ166" s="17">
        <f>M166+P166-Q166</f>
        <v>326.39999999999998</v>
      </c>
      <c r="BA166" s="5"/>
      <c r="BB166" s="5"/>
      <c r="BC166" s="19"/>
      <c r="BD166" s="19"/>
      <c r="BE166" s="19"/>
      <c r="BF166" s="19"/>
      <c r="BG166" s="19"/>
      <c r="BH166" s="19"/>
      <c r="BI166" s="19"/>
      <c r="BJ166" s="19"/>
      <c r="BK166" s="13"/>
      <c r="BL166" s="5"/>
      <c r="BM166" s="5"/>
      <c r="BN166" s="19"/>
      <c r="BO166" s="17"/>
      <c r="BP166" s="19"/>
      <c r="BQ166" s="17"/>
      <c r="BR166" s="19"/>
      <c r="BS166" s="13"/>
      <c r="BT166" s="5"/>
      <c r="BU166" s="23"/>
      <c r="BV166" s="23"/>
      <c r="BW166" s="24"/>
      <c r="BX166" s="5"/>
      <c r="BY166" s="5"/>
      <c r="BZ166" s="5"/>
      <c r="CA166" s="24"/>
      <c r="CB166" s="24"/>
      <c r="CC166" s="24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>
        <f t="shared" si="170"/>
        <v>320</v>
      </c>
      <c r="CV166" s="25">
        <f t="shared" si="171"/>
        <v>0</v>
      </c>
      <c r="CW166" s="26"/>
      <c r="CX166" s="5"/>
      <c r="CY166" s="5"/>
    </row>
    <row r="167" spans="1:103" x14ac:dyDescent="0.2">
      <c r="A167" s="27"/>
      <c r="B167" s="28"/>
      <c r="C167" s="29"/>
      <c r="D167" s="30"/>
      <c r="E167" s="31"/>
      <c r="F167" s="32"/>
      <c r="G167" s="33"/>
      <c r="H167" s="34"/>
      <c r="I167" s="34"/>
      <c r="J167" s="35"/>
      <c r="K167" s="36"/>
      <c r="L167" s="37"/>
      <c r="M167" s="38">
        <f>SUM(M166:M166)</f>
        <v>320</v>
      </c>
      <c r="N167" s="38"/>
      <c r="O167" s="39" t="s">
        <v>111</v>
      </c>
      <c r="P167" s="38">
        <f>SUM(P166:P166)</f>
        <v>6.4</v>
      </c>
      <c r="Q167" s="38"/>
      <c r="R167" s="30"/>
      <c r="S167" s="38">
        <f t="shared" ref="S167:AD167" si="274">SUM(S166:S166)</f>
        <v>0</v>
      </c>
      <c r="T167" s="38">
        <f t="shared" si="274"/>
        <v>0</v>
      </c>
      <c r="U167" s="38">
        <f t="shared" si="274"/>
        <v>0</v>
      </c>
      <c r="V167" s="38">
        <f t="shared" si="274"/>
        <v>0</v>
      </c>
      <c r="W167" s="38">
        <f t="shared" si="274"/>
        <v>0</v>
      </c>
      <c r="X167" s="38">
        <f t="shared" si="274"/>
        <v>0</v>
      </c>
      <c r="Y167" s="38">
        <f t="shared" si="274"/>
        <v>0</v>
      </c>
      <c r="Z167" s="38">
        <f t="shared" si="274"/>
        <v>0</v>
      </c>
      <c r="AA167" s="38">
        <f t="shared" si="274"/>
        <v>0</v>
      </c>
      <c r="AB167" s="38">
        <f t="shared" si="274"/>
        <v>0</v>
      </c>
      <c r="AC167" s="38">
        <f t="shared" si="274"/>
        <v>0</v>
      </c>
      <c r="AD167" s="38">
        <f t="shared" si="274"/>
        <v>0</v>
      </c>
      <c r="AE167" s="30"/>
      <c r="AF167" s="38">
        <f>SUM(AF166:AF166)</f>
        <v>0</v>
      </c>
      <c r="AG167" s="30"/>
      <c r="AH167" s="38">
        <f t="shared" ref="AH167:AY167" si="275">SUM(AH166:AH166)</f>
        <v>0</v>
      </c>
      <c r="AI167" s="38">
        <f t="shared" si="275"/>
        <v>0</v>
      </c>
      <c r="AJ167" s="38">
        <f t="shared" si="275"/>
        <v>0</v>
      </c>
      <c r="AK167" s="38">
        <f t="shared" si="275"/>
        <v>0</v>
      </c>
      <c r="AL167" s="38">
        <f t="shared" si="275"/>
        <v>0</v>
      </c>
      <c r="AM167" s="38">
        <f t="shared" si="275"/>
        <v>0</v>
      </c>
      <c r="AN167" s="38">
        <f t="shared" si="275"/>
        <v>0</v>
      </c>
      <c r="AO167" s="38">
        <f t="shared" si="275"/>
        <v>0</v>
      </c>
      <c r="AP167" s="38">
        <f t="shared" si="275"/>
        <v>0</v>
      </c>
      <c r="AQ167" s="38">
        <f t="shared" si="275"/>
        <v>0</v>
      </c>
      <c r="AR167" s="38">
        <f t="shared" si="275"/>
        <v>0</v>
      </c>
      <c r="AS167" s="38">
        <f t="shared" si="275"/>
        <v>0</v>
      </c>
      <c r="AT167" s="38">
        <f t="shared" si="275"/>
        <v>0</v>
      </c>
      <c r="AU167" s="38">
        <f t="shared" si="275"/>
        <v>0</v>
      </c>
      <c r="AV167" s="38">
        <f t="shared" si="275"/>
        <v>0</v>
      </c>
      <c r="AW167" s="38">
        <f t="shared" si="275"/>
        <v>0</v>
      </c>
      <c r="AX167" s="38">
        <f t="shared" si="275"/>
        <v>0</v>
      </c>
      <c r="AY167" s="38">
        <f t="shared" si="275"/>
        <v>0</v>
      </c>
      <c r="AZ167" s="38">
        <f>SUM(AZ166:AZ166)</f>
        <v>326.39999999999998</v>
      </c>
      <c r="BA167" s="30"/>
      <c r="BB167" s="38">
        <f t="shared" ref="BB167:CT167" si="276">SUM(BB166:BB166)</f>
        <v>0</v>
      </c>
      <c r="BC167" s="38">
        <f t="shared" si="276"/>
        <v>0</v>
      </c>
      <c r="BD167" s="38">
        <f t="shared" si="276"/>
        <v>0</v>
      </c>
      <c r="BE167" s="38">
        <f t="shared" si="276"/>
        <v>0</v>
      </c>
      <c r="BF167" s="38">
        <f t="shared" si="276"/>
        <v>0</v>
      </c>
      <c r="BG167" s="38">
        <f t="shared" si="276"/>
        <v>0</v>
      </c>
      <c r="BH167" s="38">
        <f t="shared" si="276"/>
        <v>0</v>
      </c>
      <c r="BI167" s="38">
        <f t="shared" si="276"/>
        <v>0</v>
      </c>
      <c r="BJ167" s="38">
        <f t="shared" si="276"/>
        <v>0</v>
      </c>
      <c r="BK167" s="38">
        <f t="shared" si="276"/>
        <v>0</v>
      </c>
      <c r="BL167" s="38">
        <f t="shared" si="276"/>
        <v>0</v>
      </c>
      <c r="BM167" s="38">
        <f t="shared" si="276"/>
        <v>0</v>
      </c>
      <c r="BN167" s="38">
        <f t="shared" si="276"/>
        <v>0</v>
      </c>
      <c r="BO167" s="38">
        <f t="shared" si="276"/>
        <v>0</v>
      </c>
      <c r="BP167" s="38">
        <f t="shared" si="276"/>
        <v>0</v>
      </c>
      <c r="BQ167" s="38">
        <f t="shared" si="276"/>
        <v>0</v>
      </c>
      <c r="BR167" s="38">
        <f t="shared" si="276"/>
        <v>0</v>
      </c>
      <c r="BS167" s="38">
        <f t="shared" si="276"/>
        <v>0</v>
      </c>
      <c r="BT167" s="38">
        <f t="shared" si="276"/>
        <v>0</v>
      </c>
      <c r="BU167" s="38">
        <f t="shared" si="276"/>
        <v>0</v>
      </c>
      <c r="BV167" s="38">
        <f t="shared" si="276"/>
        <v>0</v>
      </c>
      <c r="BW167" s="38">
        <f t="shared" si="276"/>
        <v>0</v>
      </c>
      <c r="BX167" s="38">
        <f t="shared" si="276"/>
        <v>0</v>
      </c>
      <c r="BY167" s="38">
        <f t="shared" si="276"/>
        <v>0</v>
      </c>
      <c r="BZ167" s="38">
        <f t="shared" si="276"/>
        <v>0</v>
      </c>
      <c r="CA167" s="38">
        <f t="shared" si="276"/>
        <v>0</v>
      </c>
      <c r="CB167" s="38">
        <f t="shared" si="276"/>
        <v>0</v>
      </c>
      <c r="CC167" s="38">
        <f t="shared" si="276"/>
        <v>0</v>
      </c>
      <c r="CD167" s="38">
        <f t="shared" si="276"/>
        <v>0</v>
      </c>
      <c r="CE167" s="38">
        <f t="shared" si="276"/>
        <v>0</v>
      </c>
      <c r="CF167" s="38">
        <f t="shared" si="276"/>
        <v>0</v>
      </c>
      <c r="CG167" s="38">
        <f t="shared" si="276"/>
        <v>0</v>
      </c>
      <c r="CH167" s="38">
        <f t="shared" si="276"/>
        <v>0</v>
      </c>
      <c r="CI167" s="38">
        <f t="shared" si="276"/>
        <v>0</v>
      </c>
      <c r="CJ167" s="38">
        <f t="shared" si="276"/>
        <v>0</v>
      </c>
      <c r="CK167" s="38">
        <f t="shared" si="276"/>
        <v>0</v>
      </c>
      <c r="CL167" s="38">
        <f t="shared" si="276"/>
        <v>0</v>
      </c>
      <c r="CM167" s="38">
        <f t="shared" si="276"/>
        <v>0</v>
      </c>
      <c r="CN167" s="38">
        <f t="shared" si="276"/>
        <v>0</v>
      </c>
      <c r="CO167" s="38">
        <f t="shared" si="276"/>
        <v>0</v>
      </c>
      <c r="CP167" s="38">
        <f t="shared" si="276"/>
        <v>0</v>
      </c>
      <c r="CQ167" s="38">
        <f t="shared" si="276"/>
        <v>0</v>
      </c>
      <c r="CR167" s="38">
        <f t="shared" si="276"/>
        <v>0</v>
      </c>
      <c r="CS167" s="38">
        <f t="shared" si="276"/>
        <v>0</v>
      </c>
      <c r="CT167" s="38">
        <f t="shared" si="276"/>
        <v>0</v>
      </c>
      <c r="CU167" s="17">
        <f t="shared" si="170"/>
        <v>320</v>
      </c>
      <c r="CV167" s="25">
        <f t="shared" si="171"/>
        <v>0</v>
      </c>
      <c r="CW167" s="40"/>
      <c r="CX167" s="30"/>
      <c r="CY167" s="30"/>
    </row>
    <row r="168" spans="1:103" x14ac:dyDescent="0.2">
      <c r="A168" s="2">
        <v>45878</v>
      </c>
      <c r="B168" s="3" t="s">
        <v>283</v>
      </c>
      <c r="C168" s="4" t="s">
        <v>539</v>
      </c>
      <c r="D168" s="5" t="s">
        <v>284</v>
      </c>
      <c r="E168" s="6" t="s">
        <v>285</v>
      </c>
      <c r="F168" s="7" t="s">
        <v>229</v>
      </c>
      <c r="G168" s="8" t="s">
        <v>286</v>
      </c>
      <c r="H168" s="9">
        <v>343</v>
      </c>
      <c r="I168" s="10"/>
      <c r="J168" s="11" t="s">
        <v>310</v>
      </c>
      <c r="K168" s="12">
        <v>1</v>
      </c>
      <c r="L168" s="13">
        <v>600</v>
      </c>
      <c r="M168" s="14">
        <f t="shared" ref="M168" si="277">L168*K168</f>
        <v>600</v>
      </c>
      <c r="N168" s="15"/>
      <c r="O168" s="16" t="s">
        <v>137</v>
      </c>
      <c r="P168" s="17">
        <f>M168*0.02</f>
        <v>12</v>
      </c>
      <c r="Q168" s="18"/>
      <c r="R168" s="5"/>
      <c r="S168" s="19"/>
      <c r="T168" s="19"/>
      <c r="U168" s="19"/>
      <c r="V168" s="19"/>
      <c r="W168" s="17"/>
      <c r="X168" s="20"/>
      <c r="Y168" s="19"/>
      <c r="Z168" s="19"/>
      <c r="AA168" s="19"/>
      <c r="AB168" s="19"/>
      <c r="AC168" s="19"/>
      <c r="AD168" s="19"/>
      <c r="AE168" s="5"/>
      <c r="AF168" s="19"/>
      <c r="AG168" s="5"/>
      <c r="AH168" s="17"/>
      <c r="AI168" s="19"/>
      <c r="AJ168" s="19"/>
      <c r="AK168" s="19"/>
      <c r="AL168" s="19"/>
      <c r="AM168" s="17"/>
      <c r="AN168" s="19"/>
      <c r="AO168" s="19"/>
      <c r="AP168" s="19"/>
      <c r="AQ168" s="19"/>
      <c r="AR168" s="19"/>
      <c r="AS168" s="21"/>
      <c r="AT168" s="5"/>
      <c r="AU168" s="19"/>
      <c r="AV168" s="5"/>
      <c r="AW168" s="22"/>
      <c r="AX168" s="19"/>
      <c r="AY168" s="5"/>
      <c r="AZ168" s="17">
        <f>M168+P168-Q168</f>
        <v>612</v>
      </c>
      <c r="BA168" s="5"/>
      <c r="BB168" s="5"/>
      <c r="BC168" s="19"/>
      <c r="BD168" s="19"/>
      <c r="BE168" s="19"/>
      <c r="BF168" s="19"/>
      <c r="BG168" s="19"/>
      <c r="BH168" s="19"/>
      <c r="BI168" s="19"/>
      <c r="BJ168" s="19"/>
      <c r="BK168" s="13"/>
      <c r="BL168" s="5"/>
      <c r="BM168" s="5"/>
      <c r="BN168" s="19"/>
      <c r="BO168" s="17"/>
      <c r="BP168" s="19"/>
      <c r="BQ168" s="17"/>
      <c r="BR168" s="19"/>
      <c r="BS168" s="13"/>
      <c r="BT168" s="5"/>
      <c r="BU168" s="23"/>
      <c r="BV168" s="23"/>
      <c r="BW168" s="24"/>
      <c r="BX168" s="5"/>
      <c r="BY168" s="5"/>
      <c r="BZ168" s="5"/>
      <c r="CA168" s="24"/>
      <c r="CB168" s="24"/>
      <c r="CC168" s="24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>
        <f t="shared" si="170"/>
        <v>600</v>
      </c>
      <c r="CV168" s="25">
        <f t="shared" si="171"/>
        <v>0</v>
      </c>
      <c r="CW168" s="26"/>
      <c r="CX168" s="5"/>
      <c r="CY168" s="5"/>
    </row>
    <row r="169" spans="1:103" x14ac:dyDescent="0.2">
      <c r="A169" s="27"/>
      <c r="B169" s="28"/>
      <c r="C169" s="29"/>
      <c r="D169" s="30"/>
      <c r="E169" s="31"/>
      <c r="F169" s="32"/>
      <c r="G169" s="33"/>
      <c r="H169" s="34"/>
      <c r="I169" s="34"/>
      <c r="J169" s="35"/>
      <c r="K169" s="36"/>
      <c r="L169" s="37"/>
      <c r="M169" s="38">
        <f>SUM(M168:M168)</f>
        <v>600</v>
      </c>
      <c r="N169" s="38"/>
      <c r="O169" s="39" t="s">
        <v>111</v>
      </c>
      <c r="P169" s="38">
        <f>SUM(P168:P168)</f>
        <v>12</v>
      </c>
      <c r="Q169" s="38"/>
      <c r="R169" s="30"/>
      <c r="S169" s="38">
        <f t="shared" ref="S169:AD169" si="278">SUM(S168:S168)</f>
        <v>0</v>
      </c>
      <c r="T169" s="38">
        <f t="shared" si="278"/>
        <v>0</v>
      </c>
      <c r="U169" s="38">
        <f t="shared" si="278"/>
        <v>0</v>
      </c>
      <c r="V169" s="38">
        <f t="shared" si="278"/>
        <v>0</v>
      </c>
      <c r="W169" s="38">
        <f t="shared" si="278"/>
        <v>0</v>
      </c>
      <c r="X169" s="38">
        <f t="shared" si="278"/>
        <v>0</v>
      </c>
      <c r="Y169" s="38">
        <f t="shared" si="278"/>
        <v>0</v>
      </c>
      <c r="Z169" s="38">
        <f t="shared" si="278"/>
        <v>0</v>
      </c>
      <c r="AA169" s="38">
        <f t="shared" si="278"/>
        <v>0</v>
      </c>
      <c r="AB169" s="38">
        <f t="shared" si="278"/>
        <v>0</v>
      </c>
      <c r="AC169" s="38">
        <f t="shared" si="278"/>
        <v>0</v>
      </c>
      <c r="AD169" s="38">
        <f t="shared" si="278"/>
        <v>0</v>
      </c>
      <c r="AE169" s="30"/>
      <c r="AF169" s="38">
        <f>SUM(AF168:AF168)</f>
        <v>0</v>
      </c>
      <c r="AG169" s="30"/>
      <c r="AH169" s="38">
        <f t="shared" ref="AH169:AY169" si="279">SUM(AH168:AH168)</f>
        <v>0</v>
      </c>
      <c r="AI169" s="38">
        <f t="shared" si="279"/>
        <v>0</v>
      </c>
      <c r="AJ169" s="38">
        <f t="shared" si="279"/>
        <v>0</v>
      </c>
      <c r="AK169" s="38">
        <f t="shared" si="279"/>
        <v>0</v>
      </c>
      <c r="AL169" s="38">
        <f t="shared" si="279"/>
        <v>0</v>
      </c>
      <c r="AM169" s="38">
        <f t="shared" si="279"/>
        <v>0</v>
      </c>
      <c r="AN169" s="38">
        <f t="shared" si="279"/>
        <v>0</v>
      </c>
      <c r="AO169" s="38">
        <f t="shared" si="279"/>
        <v>0</v>
      </c>
      <c r="AP169" s="38">
        <f t="shared" si="279"/>
        <v>0</v>
      </c>
      <c r="AQ169" s="38">
        <f t="shared" si="279"/>
        <v>0</v>
      </c>
      <c r="AR169" s="38">
        <f t="shared" si="279"/>
        <v>0</v>
      </c>
      <c r="AS169" s="38">
        <f t="shared" si="279"/>
        <v>0</v>
      </c>
      <c r="AT169" s="38">
        <f t="shared" si="279"/>
        <v>0</v>
      </c>
      <c r="AU169" s="38">
        <f t="shared" si="279"/>
        <v>0</v>
      </c>
      <c r="AV169" s="38">
        <f t="shared" si="279"/>
        <v>0</v>
      </c>
      <c r="AW169" s="38">
        <f t="shared" si="279"/>
        <v>0</v>
      </c>
      <c r="AX169" s="38">
        <f t="shared" si="279"/>
        <v>0</v>
      </c>
      <c r="AY169" s="38">
        <f t="shared" si="279"/>
        <v>0</v>
      </c>
      <c r="AZ169" s="38">
        <f>SUM(AZ168:AZ168)</f>
        <v>612</v>
      </c>
      <c r="BA169" s="30"/>
      <c r="BB169" s="38">
        <f t="shared" ref="BB169:CT169" si="280">SUM(BB168:BB168)</f>
        <v>0</v>
      </c>
      <c r="BC169" s="38">
        <f t="shared" si="280"/>
        <v>0</v>
      </c>
      <c r="BD169" s="38">
        <f t="shared" si="280"/>
        <v>0</v>
      </c>
      <c r="BE169" s="38">
        <f t="shared" si="280"/>
        <v>0</v>
      </c>
      <c r="BF169" s="38">
        <f t="shared" si="280"/>
        <v>0</v>
      </c>
      <c r="BG169" s="38">
        <f t="shared" si="280"/>
        <v>0</v>
      </c>
      <c r="BH169" s="38">
        <f t="shared" si="280"/>
        <v>0</v>
      </c>
      <c r="BI169" s="38">
        <f t="shared" si="280"/>
        <v>0</v>
      </c>
      <c r="BJ169" s="38">
        <f t="shared" si="280"/>
        <v>0</v>
      </c>
      <c r="BK169" s="38">
        <f t="shared" si="280"/>
        <v>0</v>
      </c>
      <c r="BL169" s="38">
        <f t="shared" si="280"/>
        <v>0</v>
      </c>
      <c r="BM169" s="38">
        <f t="shared" si="280"/>
        <v>0</v>
      </c>
      <c r="BN169" s="38">
        <f t="shared" si="280"/>
        <v>0</v>
      </c>
      <c r="BO169" s="38">
        <f t="shared" si="280"/>
        <v>0</v>
      </c>
      <c r="BP169" s="38">
        <f t="shared" si="280"/>
        <v>0</v>
      </c>
      <c r="BQ169" s="38">
        <f t="shared" si="280"/>
        <v>0</v>
      </c>
      <c r="BR169" s="38">
        <f t="shared" si="280"/>
        <v>0</v>
      </c>
      <c r="BS169" s="38">
        <f t="shared" si="280"/>
        <v>0</v>
      </c>
      <c r="BT169" s="38">
        <f t="shared" si="280"/>
        <v>0</v>
      </c>
      <c r="BU169" s="38">
        <f t="shared" si="280"/>
        <v>0</v>
      </c>
      <c r="BV169" s="38">
        <f t="shared" si="280"/>
        <v>0</v>
      </c>
      <c r="BW169" s="38">
        <f t="shared" si="280"/>
        <v>0</v>
      </c>
      <c r="BX169" s="38">
        <f t="shared" si="280"/>
        <v>0</v>
      </c>
      <c r="BY169" s="38">
        <f t="shared" si="280"/>
        <v>0</v>
      </c>
      <c r="BZ169" s="38">
        <f t="shared" si="280"/>
        <v>0</v>
      </c>
      <c r="CA169" s="38">
        <f t="shared" si="280"/>
        <v>0</v>
      </c>
      <c r="CB169" s="38">
        <f t="shared" si="280"/>
        <v>0</v>
      </c>
      <c r="CC169" s="38">
        <f t="shared" si="280"/>
        <v>0</v>
      </c>
      <c r="CD169" s="38">
        <f t="shared" si="280"/>
        <v>0</v>
      </c>
      <c r="CE169" s="38">
        <f t="shared" si="280"/>
        <v>0</v>
      </c>
      <c r="CF169" s="38">
        <f t="shared" si="280"/>
        <v>0</v>
      </c>
      <c r="CG169" s="38">
        <f t="shared" si="280"/>
        <v>0</v>
      </c>
      <c r="CH169" s="38">
        <f t="shared" si="280"/>
        <v>0</v>
      </c>
      <c r="CI169" s="38">
        <f t="shared" si="280"/>
        <v>0</v>
      </c>
      <c r="CJ169" s="38">
        <f t="shared" si="280"/>
        <v>0</v>
      </c>
      <c r="CK169" s="38">
        <f t="shared" si="280"/>
        <v>0</v>
      </c>
      <c r="CL169" s="38">
        <f t="shared" si="280"/>
        <v>0</v>
      </c>
      <c r="CM169" s="38">
        <f t="shared" si="280"/>
        <v>0</v>
      </c>
      <c r="CN169" s="38">
        <f t="shared" si="280"/>
        <v>0</v>
      </c>
      <c r="CO169" s="38">
        <f t="shared" si="280"/>
        <v>0</v>
      </c>
      <c r="CP169" s="38">
        <f t="shared" si="280"/>
        <v>0</v>
      </c>
      <c r="CQ169" s="38">
        <f t="shared" si="280"/>
        <v>0</v>
      </c>
      <c r="CR169" s="38">
        <f t="shared" si="280"/>
        <v>0</v>
      </c>
      <c r="CS169" s="38">
        <f t="shared" si="280"/>
        <v>0</v>
      </c>
      <c r="CT169" s="38">
        <f t="shared" si="280"/>
        <v>0</v>
      </c>
      <c r="CU169" s="17">
        <f t="shared" si="170"/>
        <v>600</v>
      </c>
      <c r="CV169" s="25">
        <f t="shared" si="171"/>
        <v>0</v>
      </c>
      <c r="CW169" s="40"/>
      <c r="CX169" s="30"/>
      <c r="CY169" s="30"/>
    </row>
    <row r="170" spans="1:103" x14ac:dyDescent="0.2">
      <c r="A170" s="2">
        <v>45877</v>
      </c>
      <c r="B170" s="3" t="s">
        <v>283</v>
      </c>
      <c r="C170" s="4" t="s">
        <v>540</v>
      </c>
      <c r="D170" s="5" t="s">
        <v>284</v>
      </c>
      <c r="E170" s="6" t="s">
        <v>285</v>
      </c>
      <c r="F170" s="7" t="s">
        <v>229</v>
      </c>
      <c r="G170" s="8" t="s">
        <v>286</v>
      </c>
      <c r="H170" s="9">
        <v>337</v>
      </c>
      <c r="I170" s="10"/>
      <c r="J170" s="11" t="s">
        <v>312</v>
      </c>
      <c r="K170" s="12">
        <v>1</v>
      </c>
      <c r="L170" s="13">
        <v>320</v>
      </c>
      <c r="M170" s="14">
        <f t="shared" ref="M170" si="281">L170*K170</f>
        <v>320</v>
      </c>
      <c r="N170" s="15"/>
      <c r="O170" s="16" t="s">
        <v>137</v>
      </c>
      <c r="P170" s="17">
        <f>M170*0.02</f>
        <v>6.4</v>
      </c>
      <c r="Q170" s="18"/>
      <c r="R170" s="5"/>
      <c r="S170" s="19"/>
      <c r="T170" s="19"/>
      <c r="U170" s="19"/>
      <c r="V170" s="19"/>
      <c r="W170" s="17"/>
      <c r="X170" s="20"/>
      <c r="Y170" s="19"/>
      <c r="Z170" s="19"/>
      <c r="AA170" s="19"/>
      <c r="AB170" s="19"/>
      <c r="AC170" s="19"/>
      <c r="AD170" s="19"/>
      <c r="AE170" s="5"/>
      <c r="AF170" s="19"/>
      <c r="AG170" s="5"/>
      <c r="AH170" s="17"/>
      <c r="AI170" s="19"/>
      <c r="AJ170" s="19"/>
      <c r="AK170" s="19"/>
      <c r="AL170" s="19"/>
      <c r="AM170" s="17"/>
      <c r="AN170" s="19"/>
      <c r="AO170" s="19"/>
      <c r="AP170" s="19"/>
      <c r="AQ170" s="19"/>
      <c r="AR170" s="19"/>
      <c r="AS170" s="21"/>
      <c r="AT170" s="5"/>
      <c r="AU170" s="19"/>
      <c r="AV170" s="5"/>
      <c r="AW170" s="22"/>
      <c r="AX170" s="19"/>
      <c r="AY170" s="5"/>
      <c r="AZ170" s="17">
        <f>M170+P170-Q170</f>
        <v>326.39999999999998</v>
      </c>
      <c r="BA170" s="5"/>
      <c r="BB170" s="5"/>
      <c r="BC170" s="19"/>
      <c r="BD170" s="19"/>
      <c r="BE170" s="19"/>
      <c r="BF170" s="19"/>
      <c r="BG170" s="19"/>
      <c r="BH170" s="19"/>
      <c r="BI170" s="19"/>
      <c r="BJ170" s="19"/>
      <c r="BK170" s="13"/>
      <c r="BL170" s="5"/>
      <c r="BM170" s="5"/>
      <c r="BN170" s="19"/>
      <c r="BO170" s="17"/>
      <c r="BP170" s="19"/>
      <c r="BQ170" s="17"/>
      <c r="BR170" s="19"/>
      <c r="BS170" s="13"/>
      <c r="BT170" s="5"/>
      <c r="BU170" s="23"/>
      <c r="BV170" s="23"/>
      <c r="BW170" s="24"/>
      <c r="BX170" s="5"/>
      <c r="BY170" s="5"/>
      <c r="BZ170" s="5"/>
      <c r="CA170" s="24"/>
      <c r="CB170" s="24"/>
      <c r="CC170" s="24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>
        <f t="shared" si="170"/>
        <v>320</v>
      </c>
      <c r="CV170" s="25">
        <f t="shared" si="171"/>
        <v>0</v>
      </c>
      <c r="CW170" s="26"/>
      <c r="CX170" s="5"/>
      <c r="CY170" s="5"/>
    </row>
    <row r="171" spans="1:103" x14ac:dyDescent="0.2">
      <c r="A171" s="27"/>
      <c r="B171" s="28"/>
      <c r="C171" s="29"/>
      <c r="D171" s="30"/>
      <c r="E171" s="31"/>
      <c r="F171" s="32"/>
      <c r="G171" s="33"/>
      <c r="H171" s="34"/>
      <c r="I171" s="34"/>
      <c r="J171" s="35"/>
      <c r="K171" s="36"/>
      <c r="L171" s="37"/>
      <c r="M171" s="38">
        <f>SUM(M170:M170)</f>
        <v>320</v>
      </c>
      <c r="N171" s="38"/>
      <c r="O171" s="39" t="s">
        <v>111</v>
      </c>
      <c r="P171" s="38">
        <f>SUM(P170:P170)</f>
        <v>6.4</v>
      </c>
      <c r="Q171" s="38"/>
      <c r="R171" s="30"/>
      <c r="S171" s="38">
        <f t="shared" ref="S171:AD171" si="282">SUM(S170:S170)</f>
        <v>0</v>
      </c>
      <c r="T171" s="38">
        <f t="shared" si="282"/>
        <v>0</v>
      </c>
      <c r="U171" s="38">
        <f t="shared" si="282"/>
        <v>0</v>
      </c>
      <c r="V171" s="38">
        <f t="shared" si="282"/>
        <v>0</v>
      </c>
      <c r="W171" s="38">
        <f t="shared" si="282"/>
        <v>0</v>
      </c>
      <c r="X171" s="38">
        <f t="shared" si="282"/>
        <v>0</v>
      </c>
      <c r="Y171" s="38">
        <f t="shared" si="282"/>
        <v>0</v>
      </c>
      <c r="Z171" s="38">
        <f t="shared" si="282"/>
        <v>0</v>
      </c>
      <c r="AA171" s="38">
        <f t="shared" si="282"/>
        <v>0</v>
      </c>
      <c r="AB171" s="38">
        <f t="shared" si="282"/>
        <v>0</v>
      </c>
      <c r="AC171" s="38">
        <f t="shared" si="282"/>
        <v>0</v>
      </c>
      <c r="AD171" s="38">
        <f t="shared" si="282"/>
        <v>0</v>
      </c>
      <c r="AE171" s="30"/>
      <c r="AF171" s="38">
        <f>SUM(AF170:AF170)</f>
        <v>0</v>
      </c>
      <c r="AG171" s="30"/>
      <c r="AH171" s="38">
        <f t="shared" ref="AH171:AY171" si="283">SUM(AH170:AH170)</f>
        <v>0</v>
      </c>
      <c r="AI171" s="38">
        <f t="shared" si="283"/>
        <v>0</v>
      </c>
      <c r="AJ171" s="38">
        <f t="shared" si="283"/>
        <v>0</v>
      </c>
      <c r="AK171" s="38">
        <f t="shared" si="283"/>
        <v>0</v>
      </c>
      <c r="AL171" s="38">
        <f t="shared" si="283"/>
        <v>0</v>
      </c>
      <c r="AM171" s="38">
        <f t="shared" si="283"/>
        <v>0</v>
      </c>
      <c r="AN171" s="38">
        <f t="shared" si="283"/>
        <v>0</v>
      </c>
      <c r="AO171" s="38">
        <f t="shared" si="283"/>
        <v>0</v>
      </c>
      <c r="AP171" s="38">
        <f t="shared" si="283"/>
        <v>0</v>
      </c>
      <c r="AQ171" s="38">
        <f t="shared" si="283"/>
        <v>0</v>
      </c>
      <c r="AR171" s="38">
        <f t="shared" si="283"/>
        <v>0</v>
      </c>
      <c r="AS171" s="38">
        <f t="shared" si="283"/>
        <v>0</v>
      </c>
      <c r="AT171" s="38">
        <f t="shared" si="283"/>
        <v>0</v>
      </c>
      <c r="AU171" s="38">
        <f t="shared" si="283"/>
        <v>0</v>
      </c>
      <c r="AV171" s="38">
        <f t="shared" si="283"/>
        <v>0</v>
      </c>
      <c r="AW171" s="38">
        <f t="shared" si="283"/>
        <v>0</v>
      </c>
      <c r="AX171" s="38">
        <f t="shared" si="283"/>
        <v>0</v>
      </c>
      <c r="AY171" s="38">
        <f t="shared" si="283"/>
        <v>0</v>
      </c>
      <c r="AZ171" s="38">
        <f>SUM(AZ170:AZ170)</f>
        <v>326.39999999999998</v>
      </c>
      <c r="BA171" s="30"/>
      <c r="BB171" s="38">
        <f t="shared" ref="BB171:CT171" si="284">SUM(BB170:BB170)</f>
        <v>0</v>
      </c>
      <c r="BC171" s="38">
        <f t="shared" si="284"/>
        <v>0</v>
      </c>
      <c r="BD171" s="38">
        <f t="shared" si="284"/>
        <v>0</v>
      </c>
      <c r="BE171" s="38">
        <f t="shared" si="284"/>
        <v>0</v>
      </c>
      <c r="BF171" s="38">
        <f t="shared" si="284"/>
        <v>0</v>
      </c>
      <c r="BG171" s="38">
        <f t="shared" si="284"/>
        <v>0</v>
      </c>
      <c r="BH171" s="38">
        <f t="shared" si="284"/>
        <v>0</v>
      </c>
      <c r="BI171" s="38">
        <f t="shared" si="284"/>
        <v>0</v>
      </c>
      <c r="BJ171" s="38">
        <f t="shared" si="284"/>
        <v>0</v>
      </c>
      <c r="BK171" s="38">
        <f t="shared" si="284"/>
        <v>0</v>
      </c>
      <c r="BL171" s="38">
        <f t="shared" si="284"/>
        <v>0</v>
      </c>
      <c r="BM171" s="38">
        <f t="shared" si="284"/>
        <v>0</v>
      </c>
      <c r="BN171" s="38">
        <f t="shared" si="284"/>
        <v>0</v>
      </c>
      <c r="BO171" s="38">
        <f t="shared" si="284"/>
        <v>0</v>
      </c>
      <c r="BP171" s="38">
        <f t="shared" si="284"/>
        <v>0</v>
      </c>
      <c r="BQ171" s="38">
        <f t="shared" si="284"/>
        <v>0</v>
      </c>
      <c r="BR171" s="38">
        <f t="shared" si="284"/>
        <v>0</v>
      </c>
      <c r="BS171" s="38">
        <f t="shared" si="284"/>
        <v>0</v>
      </c>
      <c r="BT171" s="38">
        <f t="shared" si="284"/>
        <v>0</v>
      </c>
      <c r="BU171" s="38">
        <f t="shared" si="284"/>
        <v>0</v>
      </c>
      <c r="BV171" s="38">
        <f t="shared" si="284"/>
        <v>0</v>
      </c>
      <c r="BW171" s="38">
        <f t="shared" si="284"/>
        <v>0</v>
      </c>
      <c r="BX171" s="38">
        <f t="shared" si="284"/>
        <v>0</v>
      </c>
      <c r="BY171" s="38">
        <f t="shared" si="284"/>
        <v>0</v>
      </c>
      <c r="BZ171" s="38">
        <f t="shared" si="284"/>
        <v>0</v>
      </c>
      <c r="CA171" s="38">
        <f t="shared" si="284"/>
        <v>0</v>
      </c>
      <c r="CB171" s="38">
        <f t="shared" si="284"/>
        <v>0</v>
      </c>
      <c r="CC171" s="38">
        <f t="shared" si="284"/>
        <v>0</v>
      </c>
      <c r="CD171" s="38">
        <f t="shared" si="284"/>
        <v>0</v>
      </c>
      <c r="CE171" s="38">
        <f t="shared" si="284"/>
        <v>0</v>
      </c>
      <c r="CF171" s="38">
        <f t="shared" si="284"/>
        <v>0</v>
      </c>
      <c r="CG171" s="38">
        <f t="shared" si="284"/>
        <v>0</v>
      </c>
      <c r="CH171" s="38">
        <f t="shared" si="284"/>
        <v>0</v>
      </c>
      <c r="CI171" s="38">
        <f t="shared" si="284"/>
        <v>0</v>
      </c>
      <c r="CJ171" s="38">
        <f t="shared" si="284"/>
        <v>0</v>
      </c>
      <c r="CK171" s="38">
        <f t="shared" si="284"/>
        <v>0</v>
      </c>
      <c r="CL171" s="38">
        <f t="shared" si="284"/>
        <v>0</v>
      </c>
      <c r="CM171" s="38">
        <f t="shared" si="284"/>
        <v>0</v>
      </c>
      <c r="CN171" s="38">
        <f t="shared" si="284"/>
        <v>0</v>
      </c>
      <c r="CO171" s="38">
        <f t="shared" si="284"/>
        <v>0</v>
      </c>
      <c r="CP171" s="38">
        <f t="shared" si="284"/>
        <v>0</v>
      </c>
      <c r="CQ171" s="38">
        <f t="shared" si="284"/>
        <v>0</v>
      </c>
      <c r="CR171" s="38">
        <f t="shared" si="284"/>
        <v>0</v>
      </c>
      <c r="CS171" s="38">
        <f t="shared" si="284"/>
        <v>0</v>
      </c>
      <c r="CT171" s="38">
        <f t="shared" si="284"/>
        <v>0</v>
      </c>
      <c r="CU171" s="17">
        <f t="shared" si="170"/>
        <v>320</v>
      </c>
      <c r="CV171" s="25">
        <f t="shared" si="171"/>
        <v>0</v>
      </c>
      <c r="CW171" s="40"/>
      <c r="CX171" s="30"/>
      <c r="CY171" s="30"/>
    </row>
    <row r="172" spans="1:103" x14ac:dyDescent="0.2">
      <c r="A172" s="2">
        <v>45873</v>
      </c>
      <c r="B172" s="3" t="s">
        <v>283</v>
      </c>
      <c r="C172" s="4" t="s">
        <v>541</v>
      </c>
      <c r="D172" s="5" t="s">
        <v>284</v>
      </c>
      <c r="E172" s="6" t="s">
        <v>285</v>
      </c>
      <c r="F172" s="7" t="s">
        <v>229</v>
      </c>
      <c r="G172" s="8" t="s">
        <v>286</v>
      </c>
      <c r="H172" s="9">
        <v>321</v>
      </c>
      <c r="I172" s="10"/>
      <c r="J172" s="11" t="s">
        <v>310</v>
      </c>
      <c r="K172" s="12">
        <v>1</v>
      </c>
      <c r="L172" s="13">
        <v>350</v>
      </c>
      <c r="M172" s="14">
        <f t="shared" ref="M172" si="285">L172*K172</f>
        <v>350</v>
      </c>
      <c r="N172" s="15"/>
      <c r="O172" s="16" t="s">
        <v>137</v>
      </c>
      <c r="P172" s="17">
        <f>M172*0.02</f>
        <v>7</v>
      </c>
      <c r="Q172" s="18"/>
      <c r="R172" s="5"/>
      <c r="S172" s="19"/>
      <c r="T172" s="19"/>
      <c r="U172" s="19"/>
      <c r="V172" s="19"/>
      <c r="W172" s="17"/>
      <c r="X172" s="20"/>
      <c r="Y172" s="19"/>
      <c r="Z172" s="19"/>
      <c r="AA172" s="19"/>
      <c r="AB172" s="19"/>
      <c r="AC172" s="19"/>
      <c r="AD172" s="19"/>
      <c r="AE172" s="5"/>
      <c r="AF172" s="19"/>
      <c r="AG172" s="5"/>
      <c r="AH172" s="17"/>
      <c r="AI172" s="19"/>
      <c r="AJ172" s="19"/>
      <c r="AK172" s="19"/>
      <c r="AL172" s="19"/>
      <c r="AM172" s="17"/>
      <c r="AN172" s="19"/>
      <c r="AO172" s="19"/>
      <c r="AP172" s="19"/>
      <c r="AQ172" s="19"/>
      <c r="AR172" s="19"/>
      <c r="AS172" s="21"/>
      <c r="AT172" s="5"/>
      <c r="AU172" s="19"/>
      <c r="AV172" s="5"/>
      <c r="AW172" s="22"/>
      <c r="AX172" s="19"/>
      <c r="AY172" s="5"/>
      <c r="AZ172" s="17">
        <f>M172+P172-Q172</f>
        <v>357</v>
      </c>
      <c r="BA172" s="5"/>
      <c r="BB172" s="5"/>
      <c r="BC172" s="19"/>
      <c r="BD172" s="19"/>
      <c r="BE172" s="19"/>
      <c r="BF172" s="19"/>
      <c r="BG172" s="19"/>
      <c r="BH172" s="19"/>
      <c r="BI172" s="19"/>
      <c r="BJ172" s="19"/>
      <c r="BK172" s="13"/>
      <c r="BL172" s="5"/>
      <c r="BM172" s="5"/>
      <c r="BN172" s="19"/>
      <c r="BO172" s="17"/>
      <c r="BP172" s="19"/>
      <c r="BQ172" s="17"/>
      <c r="BR172" s="19"/>
      <c r="BS172" s="13"/>
      <c r="BT172" s="5"/>
      <c r="BU172" s="23"/>
      <c r="BV172" s="23"/>
      <c r="BW172" s="24"/>
      <c r="BX172" s="5"/>
      <c r="BY172" s="5"/>
      <c r="BZ172" s="5"/>
      <c r="CA172" s="24"/>
      <c r="CB172" s="24"/>
      <c r="CC172" s="24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>
        <f t="shared" si="170"/>
        <v>350</v>
      </c>
      <c r="CV172" s="25">
        <f t="shared" si="171"/>
        <v>0</v>
      </c>
      <c r="CW172" s="26"/>
      <c r="CX172" s="5"/>
      <c r="CY172" s="5"/>
    </row>
    <row r="173" spans="1:103" x14ac:dyDescent="0.2">
      <c r="A173" s="27"/>
      <c r="B173" s="28"/>
      <c r="C173" s="29"/>
      <c r="D173" s="30"/>
      <c r="E173" s="31"/>
      <c r="F173" s="32"/>
      <c r="G173" s="33"/>
      <c r="H173" s="34"/>
      <c r="I173" s="34"/>
      <c r="J173" s="35"/>
      <c r="K173" s="36"/>
      <c r="L173" s="37"/>
      <c r="M173" s="38">
        <f>SUM(M172:M172)</f>
        <v>350</v>
      </c>
      <c r="N173" s="38"/>
      <c r="O173" s="39" t="s">
        <v>137</v>
      </c>
      <c r="P173" s="38">
        <f>SUM(P172:P172)</f>
        <v>7</v>
      </c>
      <c r="Q173" s="38"/>
      <c r="R173" s="30"/>
      <c r="S173" s="38">
        <f t="shared" ref="S173:AD173" si="286">SUM(S172:S172)</f>
        <v>0</v>
      </c>
      <c r="T173" s="38">
        <f t="shared" si="286"/>
        <v>0</v>
      </c>
      <c r="U173" s="38">
        <f t="shared" si="286"/>
        <v>0</v>
      </c>
      <c r="V173" s="38">
        <f t="shared" si="286"/>
        <v>0</v>
      </c>
      <c r="W173" s="38">
        <f t="shared" si="286"/>
        <v>0</v>
      </c>
      <c r="X173" s="38">
        <f t="shared" si="286"/>
        <v>0</v>
      </c>
      <c r="Y173" s="38">
        <f t="shared" si="286"/>
        <v>0</v>
      </c>
      <c r="Z173" s="38">
        <f t="shared" si="286"/>
        <v>0</v>
      </c>
      <c r="AA173" s="38">
        <f t="shared" si="286"/>
        <v>0</v>
      </c>
      <c r="AB173" s="38">
        <f t="shared" si="286"/>
        <v>0</v>
      </c>
      <c r="AC173" s="38">
        <f t="shared" si="286"/>
        <v>0</v>
      </c>
      <c r="AD173" s="38">
        <f t="shared" si="286"/>
        <v>0</v>
      </c>
      <c r="AE173" s="30"/>
      <c r="AF173" s="38">
        <f>SUM(AF172:AF172)</f>
        <v>0</v>
      </c>
      <c r="AG173" s="30"/>
      <c r="AH173" s="38">
        <f t="shared" ref="AH173:AY173" si="287">SUM(AH172:AH172)</f>
        <v>0</v>
      </c>
      <c r="AI173" s="38">
        <f t="shared" si="287"/>
        <v>0</v>
      </c>
      <c r="AJ173" s="38">
        <f t="shared" si="287"/>
        <v>0</v>
      </c>
      <c r="AK173" s="38">
        <f t="shared" si="287"/>
        <v>0</v>
      </c>
      <c r="AL173" s="38">
        <f t="shared" si="287"/>
        <v>0</v>
      </c>
      <c r="AM173" s="38">
        <f t="shared" si="287"/>
        <v>0</v>
      </c>
      <c r="AN173" s="38">
        <f t="shared" si="287"/>
        <v>0</v>
      </c>
      <c r="AO173" s="38">
        <f t="shared" si="287"/>
        <v>0</v>
      </c>
      <c r="AP173" s="38">
        <f t="shared" si="287"/>
        <v>0</v>
      </c>
      <c r="AQ173" s="38">
        <f t="shared" si="287"/>
        <v>0</v>
      </c>
      <c r="AR173" s="38">
        <f t="shared" si="287"/>
        <v>0</v>
      </c>
      <c r="AS173" s="38">
        <f t="shared" si="287"/>
        <v>0</v>
      </c>
      <c r="AT173" s="38">
        <f t="shared" si="287"/>
        <v>0</v>
      </c>
      <c r="AU173" s="38">
        <f t="shared" si="287"/>
        <v>0</v>
      </c>
      <c r="AV173" s="38">
        <f t="shared" si="287"/>
        <v>0</v>
      </c>
      <c r="AW173" s="38">
        <f t="shared" si="287"/>
        <v>0</v>
      </c>
      <c r="AX173" s="38">
        <f t="shared" si="287"/>
        <v>0</v>
      </c>
      <c r="AY173" s="38">
        <f t="shared" si="287"/>
        <v>0</v>
      </c>
      <c r="AZ173" s="38">
        <f>SUM(AZ172:AZ172)</f>
        <v>357</v>
      </c>
      <c r="BA173" s="30"/>
      <c r="BB173" s="38">
        <f t="shared" ref="BB173:CT173" si="288">SUM(BB172:BB172)</f>
        <v>0</v>
      </c>
      <c r="BC173" s="38">
        <f t="shared" si="288"/>
        <v>0</v>
      </c>
      <c r="BD173" s="38">
        <f t="shared" si="288"/>
        <v>0</v>
      </c>
      <c r="BE173" s="38">
        <f t="shared" si="288"/>
        <v>0</v>
      </c>
      <c r="BF173" s="38">
        <f t="shared" si="288"/>
        <v>0</v>
      </c>
      <c r="BG173" s="38">
        <f t="shared" si="288"/>
        <v>0</v>
      </c>
      <c r="BH173" s="38">
        <f t="shared" si="288"/>
        <v>0</v>
      </c>
      <c r="BI173" s="38">
        <f t="shared" si="288"/>
        <v>0</v>
      </c>
      <c r="BJ173" s="38">
        <f t="shared" si="288"/>
        <v>0</v>
      </c>
      <c r="BK173" s="38">
        <f t="shared" si="288"/>
        <v>0</v>
      </c>
      <c r="BL173" s="38">
        <f t="shared" si="288"/>
        <v>0</v>
      </c>
      <c r="BM173" s="38">
        <f t="shared" si="288"/>
        <v>0</v>
      </c>
      <c r="BN173" s="38">
        <f t="shared" si="288"/>
        <v>0</v>
      </c>
      <c r="BO173" s="38">
        <f t="shared" si="288"/>
        <v>0</v>
      </c>
      <c r="BP173" s="38">
        <f t="shared" si="288"/>
        <v>0</v>
      </c>
      <c r="BQ173" s="38">
        <f t="shared" si="288"/>
        <v>0</v>
      </c>
      <c r="BR173" s="38">
        <f t="shared" si="288"/>
        <v>0</v>
      </c>
      <c r="BS173" s="38">
        <f t="shared" si="288"/>
        <v>0</v>
      </c>
      <c r="BT173" s="38">
        <f t="shared" si="288"/>
        <v>0</v>
      </c>
      <c r="BU173" s="38">
        <f t="shared" si="288"/>
        <v>0</v>
      </c>
      <c r="BV173" s="38">
        <f t="shared" si="288"/>
        <v>0</v>
      </c>
      <c r="BW173" s="38">
        <f t="shared" si="288"/>
        <v>0</v>
      </c>
      <c r="BX173" s="38">
        <f t="shared" si="288"/>
        <v>0</v>
      </c>
      <c r="BY173" s="38">
        <f t="shared" si="288"/>
        <v>0</v>
      </c>
      <c r="BZ173" s="38">
        <f t="shared" si="288"/>
        <v>0</v>
      </c>
      <c r="CA173" s="38">
        <f t="shared" si="288"/>
        <v>0</v>
      </c>
      <c r="CB173" s="38">
        <f t="shared" si="288"/>
        <v>0</v>
      </c>
      <c r="CC173" s="38">
        <f t="shared" si="288"/>
        <v>0</v>
      </c>
      <c r="CD173" s="38">
        <f t="shared" si="288"/>
        <v>0</v>
      </c>
      <c r="CE173" s="38">
        <f t="shared" si="288"/>
        <v>0</v>
      </c>
      <c r="CF173" s="38">
        <f t="shared" si="288"/>
        <v>0</v>
      </c>
      <c r="CG173" s="38">
        <f t="shared" si="288"/>
        <v>0</v>
      </c>
      <c r="CH173" s="38">
        <f t="shared" si="288"/>
        <v>0</v>
      </c>
      <c r="CI173" s="38">
        <f t="shared" si="288"/>
        <v>0</v>
      </c>
      <c r="CJ173" s="38">
        <f t="shared" si="288"/>
        <v>0</v>
      </c>
      <c r="CK173" s="38">
        <f t="shared" si="288"/>
        <v>0</v>
      </c>
      <c r="CL173" s="38">
        <f t="shared" si="288"/>
        <v>0</v>
      </c>
      <c r="CM173" s="38">
        <f t="shared" si="288"/>
        <v>0</v>
      </c>
      <c r="CN173" s="38">
        <f t="shared" si="288"/>
        <v>0</v>
      </c>
      <c r="CO173" s="38">
        <f t="shared" si="288"/>
        <v>0</v>
      </c>
      <c r="CP173" s="38">
        <f t="shared" si="288"/>
        <v>0</v>
      </c>
      <c r="CQ173" s="38">
        <f t="shared" si="288"/>
        <v>0</v>
      </c>
      <c r="CR173" s="38">
        <f t="shared" si="288"/>
        <v>0</v>
      </c>
      <c r="CS173" s="38">
        <f t="shared" si="288"/>
        <v>0</v>
      </c>
      <c r="CT173" s="38">
        <f t="shared" si="288"/>
        <v>0</v>
      </c>
      <c r="CU173" s="17">
        <f t="shared" si="170"/>
        <v>350</v>
      </c>
      <c r="CV173" s="25">
        <f t="shared" si="171"/>
        <v>0</v>
      </c>
      <c r="CW173" s="40"/>
      <c r="CX173" s="30"/>
      <c r="CY173" s="30"/>
    </row>
    <row r="174" spans="1:103" x14ac:dyDescent="0.2">
      <c r="A174" s="2">
        <v>45872</v>
      </c>
      <c r="B174" s="3" t="s">
        <v>283</v>
      </c>
      <c r="C174" s="4" t="s">
        <v>542</v>
      </c>
      <c r="D174" s="5" t="s">
        <v>284</v>
      </c>
      <c r="E174" s="6" t="s">
        <v>285</v>
      </c>
      <c r="F174" s="7" t="s">
        <v>229</v>
      </c>
      <c r="G174" s="8" t="s">
        <v>286</v>
      </c>
      <c r="H174" s="9">
        <v>317</v>
      </c>
      <c r="I174" s="10"/>
      <c r="J174" s="11" t="s">
        <v>310</v>
      </c>
      <c r="K174" s="12">
        <v>1</v>
      </c>
      <c r="L174" s="13">
        <v>350</v>
      </c>
      <c r="M174" s="14">
        <f t="shared" ref="M174" si="289">L174*K174</f>
        <v>350</v>
      </c>
      <c r="N174" s="15"/>
      <c r="O174" s="16" t="s">
        <v>137</v>
      </c>
      <c r="P174" s="17">
        <f>M174*0.02</f>
        <v>7</v>
      </c>
      <c r="Q174" s="18"/>
      <c r="R174" s="5"/>
      <c r="S174" s="19"/>
      <c r="T174" s="19"/>
      <c r="U174" s="19"/>
      <c r="V174" s="19"/>
      <c r="W174" s="17"/>
      <c r="X174" s="20"/>
      <c r="Y174" s="19"/>
      <c r="Z174" s="19"/>
      <c r="AA174" s="19"/>
      <c r="AB174" s="19"/>
      <c r="AC174" s="19"/>
      <c r="AD174" s="19"/>
      <c r="AE174" s="5"/>
      <c r="AF174" s="19"/>
      <c r="AG174" s="5"/>
      <c r="AH174" s="17"/>
      <c r="AI174" s="19"/>
      <c r="AJ174" s="19"/>
      <c r="AK174" s="19"/>
      <c r="AL174" s="19"/>
      <c r="AM174" s="17"/>
      <c r="AN174" s="19"/>
      <c r="AO174" s="19"/>
      <c r="AP174" s="19"/>
      <c r="AQ174" s="19"/>
      <c r="AR174" s="19"/>
      <c r="AS174" s="21"/>
      <c r="AT174" s="5"/>
      <c r="AU174" s="19"/>
      <c r="AV174" s="5"/>
      <c r="AW174" s="22"/>
      <c r="AX174" s="19"/>
      <c r="AY174" s="5"/>
      <c r="AZ174" s="17">
        <f>M174+P174-Q174</f>
        <v>357</v>
      </c>
      <c r="BA174" s="5"/>
      <c r="BB174" s="5"/>
      <c r="BC174" s="19"/>
      <c r="BD174" s="19"/>
      <c r="BE174" s="19"/>
      <c r="BF174" s="19"/>
      <c r="BG174" s="19"/>
      <c r="BH174" s="19"/>
      <c r="BI174" s="19"/>
      <c r="BJ174" s="19"/>
      <c r="BK174" s="13"/>
      <c r="BL174" s="5"/>
      <c r="BM174" s="5"/>
      <c r="BN174" s="19"/>
      <c r="BO174" s="17"/>
      <c r="BP174" s="19"/>
      <c r="BQ174" s="17"/>
      <c r="BR174" s="19"/>
      <c r="BS174" s="13"/>
      <c r="BT174" s="5"/>
      <c r="BU174" s="23"/>
      <c r="BV174" s="23"/>
      <c r="BW174" s="24"/>
      <c r="BX174" s="5"/>
      <c r="BY174" s="5"/>
      <c r="BZ174" s="5"/>
      <c r="CA174" s="24"/>
      <c r="CB174" s="24"/>
      <c r="CC174" s="24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>
        <f t="shared" si="170"/>
        <v>350</v>
      </c>
      <c r="CV174" s="25">
        <f t="shared" si="171"/>
        <v>0</v>
      </c>
      <c r="CW174" s="26"/>
      <c r="CX174" s="5"/>
      <c r="CY174" s="5"/>
    </row>
    <row r="175" spans="1:103" x14ac:dyDescent="0.2">
      <c r="A175" s="27"/>
      <c r="B175" s="28"/>
      <c r="C175" s="29"/>
      <c r="D175" s="30"/>
      <c r="E175" s="31"/>
      <c r="F175" s="32"/>
      <c r="G175" s="33"/>
      <c r="H175" s="34"/>
      <c r="I175" s="34"/>
      <c r="J175" s="35"/>
      <c r="K175" s="36"/>
      <c r="L175" s="37"/>
      <c r="M175" s="38">
        <f>SUM(M174:M174)</f>
        <v>350</v>
      </c>
      <c r="N175" s="38"/>
      <c r="O175" s="39" t="s">
        <v>137</v>
      </c>
      <c r="P175" s="38">
        <f>SUM(P174:P174)</f>
        <v>7</v>
      </c>
      <c r="Q175" s="38"/>
      <c r="R175" s="30"/>
      <c r="S175" s="38">
        <f t="shared" ref="S175:AD175" si="290">SUM(S174:S174)</f>
        <v>0</v>
      </c>
      <c r="T175" s="38">
        <f t="shared" si="290"/>
        <v>0</v>
      </c>
      <c r="U175" s="38">
        <f t="shared" si="290"/>
        <v>0</v>
      </c>
      <c r="V175" s="38">
        <f t="shared" si="290"/>
        <v>0</v>
      </c>
      <c r="W175" s="38">
        <f t="shared" si="290"/>
        <v>0</v>
      </c>
      <c r="X175" s="38">
        <f t="shared" si="290"/>
        <v>0</v>
      </c>
      <c r="Y175" s="38">
        <f t="shared" si="290"/>
        <v>0</v>
      </c>
      <c r="Z175" s="38">
        <f t="shared" si="290"/>
        <v>0</v>
      </c>
      <c r="AA175" s="38">
        <f t="shared" si="290"/>
        <v>0</v>
      </c>
      <c r="AB175" s="38">
        <f t="shared" si="290"/>
        <v>0</v>
      </c>
      <c r="AC175" s="38">
        <f t="shared" si="290"/>
        <v>0</v>
      </c>
      <c r="AD175" s="38">
        <f t="shared" si="290"/>
        <v>0</v>
      </c>
      <c r="AE175" s="30"/>
      <c r="AF175" s="38">
        <f>SUM(AF174:AF174)</f>
        <v>0</v>
      </c>
      <c r="AG175" s="30"/>
      <c r="AH175" s="38">
        <f t="shared" ref="AH175:AY175" si="291">SUM(AH174:AH174)</f>
        <v>0</v>
      </c>
      <c r="AI175" s="38">
        <f t="shared" si="291"/>
        <v>0</v>
      </c>
      <c r="AJ175" s="38">
        <f t="shared" si="291"/>
        <v>0</v>
      </c>
      <c r="AK175" s="38">
        <f t="shared" si="291"/>
        <v>0</v>
      </c>
      <c r="AL175" s="38">
        <f t="shared" si="291"/>
        <v>0</v>
      </c>
      <c r="AM175" s="38">
        <f t="shared" si="291"/>
        <v>0</v>
      </c>
      <c r="AN175" s="38">
        <f t="shared" si="291"/>
        <v>0</v>
      </c>
      <c r="AO175" s="38">
        <f t="shared" si="291"/>
        <v>0</v>
      </c>
      <c r="AP175" s="38">
        <f t="shared" si="291"/>
        <v>0</v>
      </c>
      <c r="AQ175" s="38">
        <f t="shared" si="291"/>
        <v>0</v>
      </c>
      <c r="AR175" s="38">
        <f t="shared" si="291"/>
        <v>0</v>
      </c>
      <c r="AS175" s="38">
        <f t="shared" si="291"/>
        <v>0</v>
      </c>
      <c r="AT175" s="38">
        <f t="shared" si="291"/>
        <v>0</v>
      </c>
      <c r="AU175" s="38">
        <f t="shared" si="291"/>
        <v>0</v>
      </c>
      <c r="AV175" s="38">
        <f t="shared" si="291"/>
        <v>0</v>
      </c>
      <c r="AW175" s="38">
        <f t="shared" si="291"/>
        <v>0</v>
      </c>
      <c r="AX175" s="38">
        <f t="shared" si="291"/>
        <v>0</v>
      </c>
      <c r="AY175" s="38">
        <f t="shared" si="291"/>
        <v>0</v>
      </c>
      <c r="AZ175" s="38">
        <f>SUM(AZ174:AZ174)</f>
        <v>357</v>
      </c>
      <c r="BA175" s="30"/>
      <c r="BB175" s="38">
        <f t="shared" ref="BB175:CT175" si="292">SUM(BB174:BB174)</f>
        <v>0</v>
      </c>
      <c r="BC175" s="38">
        <f t="shared" si="292"/>
        <v>0</v>
      </c>
      <c r="BD175" s="38">
        <f t="shared" si="292"/>
        <v>0</v>
      </c>
      <c r="BE175" s="38">
        <f t="shared" si="292"/>
        <v>0</v>
      </c>
      <c r="BF175" s="38">
        <f t="shared" si="292"/>
        <v>0</v>
      </c>
      <c r="BG175" s="38">
        <f t="shared" si="292"/>
        <v>0</v>
      </c>
      <c r="BH175" s="38">
        <f t="shared" si="292"/>
        <v>0</v>
      </c>
      <c r="BI175" s="38">
        <f t="shared" si="292"/>
        <v>0</v>
      </c>
      <c r="BJ175" s="38">
        <f t="shared" si="292"/>
        <v>0</v>
      </c>
      <c r="BK175" s="38">
        <f t="shared" si="292"/>
        <v>0</v>
      </c>
      <c r="BL175" s="38">
        <f t="shared" si="292"/>
        <v>0</v>
      </c>
      <c r="BM175" s="38">
        <f t="shared" si="292"/>
        <v>0</v>
      </c>
      <c r="BN175" s="38">
        <f t="shared" si="292"/>
        <v>0</v>
      </c>
      <c r="BO175" s="38">
        <f t="shared" si="292"/>
        <v>0</v>
      </c>
      <c r="BP175" s="38">
        <f t="shared" si="292"/>
        <v>0</v>
      </c>
      <c r="BQ175" s="38">
        <f t="shared" si="292"/>
        <v>0</v>
      </c>
      <c r="BR175" s="38">
        <f t="shared" si="292"/>
        <v>0</v>
      </c>
      <c r="BS175" s="38">
        <f t="shared" si="292"/>
        <v>0</v>
      </c>
      <c r="BT175" s="38">
        <f t="shared" si="292"/>
        <v>0</v>
      </c>
      <c r="BU175" s="38">
        <f t="shared" si="292"/>
        <v>0</v>
      </c>
      <c r="BV175" s="38">
        <f t="shared" si="292"/>
        <v>0</v>
      </c>
      <c r="BW175" s="38">
        <f t="shared" si="292"/>
        <v>0</v>
      </c>
      <c r="BX175" s="38">
        <f t="shared" si="292"/>
        <v>0</v>
      </c>
      <c r="BY175" s="38">
        <f t="shared" si="292"/>
        <v>0</v>
      </c>
      <c r="BZ175" s="38">
        <f t="shared" si="292"/>
        <v>0</v>
      </c>
      <c r="CA175" s="38">
        <f t="shared" si="292"/>
        <v>0</v>
      </c>
      <c r="CB175" s="38">
        <f t="shared" si="292"/>
        <v>0</v>
      </c>
      <c r="CC175" s="38">
        <f t="shared" si="292"/>
        <v>0</v>
      </c>
      <c r="CD175" s="38">
        <f t="shared" si="292"/>
        <v>0</v>
      </c>
      <c r="CE175" s="38">
        <f t="shared" si="292"/>
        <v>0</v>
      </c>
      <c r="CF175" s="38">
        <f t="shared" si="292"/>
        <v>0</v>
      </c>
      <c r="CG175" s="38">
        <f t="shared" si="292"/>
        <v>0</v>
      </c>
      <c r="CH175" s="38">
        <f t="shared" si="292"/>
        <v>0</v>
      </c>
      <c r="CI175" s="38">
        <f t="shared" si="292"/>
        <v>0</v>
      </c>
      <c r="CJ175" s="38">
        <f t="shared" si="292"/>
        <v>0</v>
      </c>
      <c r="CK175" s="38">
        <f t="shared" si="292"/>
        <v>0</v>
      </c>
      <c r="CL175" s="38">
        <f t="shared" si="292"/>
        <v>0</v>
      </c>
      <c r="CM175" s="38">
        <f t="shared" si="292"/>
        <v>0</v>
      </c>
      <c r="CN175" s="38">
        <f t="shared" si="292"/>
        <v>0</v>
      </c>
      <c r="CO175" s="38">
        <f t="shared" si="292"/>
        <v>0</v>
      </c>
      <c r="CP175" s="38">
        <f t="shared" si="292"/>
        <v>0</v>
      </c>
      <c r="CQ175" s="38">
        <f t="shared" si="292"/>
        <v>0</v>
      </c>
      <c r="CR175" s="38">
        <f t="shared" si="292"/>
        <v>0</v>
      </c>
      <c r="CS175" s="38">
        <f t="shared" si="292"/>
        <v>0</v>
      </c>
      <c r="CT175" s="38">
        <f t="shared" si="292"/>
        <v>0</v>
      </c>
      <c r="CU175" s="17">
        <f t="shared" ref="CU175:CU233" si="293">SUM(Q175:CT175)-P175</f>
        <v>350</v>
      </c>
      <c r="CV175" s="25">
        <f t="shared" ref="CV175:CV233" si="294">CU175-M175</f>
        <v>0</v>
      </c>
      <c r="CW175" s="40"/>
      <c r="CX175" s="30"/>
      <c r="CY175" s="30"/>
    </row>
    <row r="176" spans="1:103" x14ac:dyDescent="0.2">
      <c r="A176" s="2">
        <v>45880</v>
      </c>
      <c r="B176" s="3" t="s">
        <v>283</v>
      </c>
      <c r="C176" s="4" t="s">
        <v>543</v>
      </c>
      <c r="D176" s="5" t="s">
        <v>284</v>
      </c>
      <c r="E176" s="6" t="s">
        <v>285</v>
      </c>
      <c r="F176" s="7" t="s">
        <v>229</v>
      </c>
      <c r="G176" s="8" t="s">
        <v>286</v>
      </c>
      <c r="H176" s="9">
        <v>34185</v>
      </c>
      <c r="I176" s="10"/>
      <c r="J176" s="11" t="s">
        <v>310</v>
      </c>
      <c r="K176" s="12">
        <v>1</v>
      </c>
      <c r="L176" s="13">
        <v>250</v>
      </c>
      <c r="M176" s="14">
        <f t="shared" ref="M176" si="295">L176*K176</f>
        <v>250</v>
      </c>
      <c r="N176" s="15"/>
      <c r="O176" s="16" t="s">
        <v>137</v>
      </c>
      <c r="P176" s="17">
        <f>M176*0.02</f>
        <v>5</v>
      </c>
      <c r="Q176" s="18"/>
      <c r="R176" s="5"/>
      <c r="S176" s="19"/>
      <c r="T176" s="19"/>
      <c r="U176" s="19"/>
      <c r="V176" s="19"/>
      <c r="W176" s="17"/>
      <c r="X176" s="20"/>
      <c r="Y176" s="19"/>
      <c r="Z176" s="19"/>
      <c r="AA176" s="19"/>
      <c r="AB176" s="19"/>
      <c r="AC176" s="19"/>
      <c r="AD176" s="19"/>
      <c r="AE176" s="5"/>
      <c r="AF176" s="19"/>
      <c r="AG176" s="5"/>
      <c r="AH176" s="17"/>
      <c r="AI176" s="19"/>
      <c r="AJ176" s="19"/>
      <c r="AK176" s="19"/>
      <c r="AL176" s="19"/>
      <c r="AM176" s="17"/>
      <c r="AN176" s="19"/>
      <c r="AO176" s="19"/>
      <c r="AP176" s="19"/>
      <c r="AQ176" s="19"/>
      <c r="AR176" s="19"/>
      <c r="AS176" s="21"/>
      <c r="AT176" s="5"/>
      <c r="AU176" s="19"/>
      <c r="AV176" s="5"/>
      <c r="AW176" s="22"/>
      <c r="AX176" s="19"/>
      <c r="AY176" s="5"/>
      <c r="AZ176" s="17">
        <f>M176+P176-Q176</f>
        <v>255</v>
      </c>
      <c r="BA176" s="5"/>
      <c r="BB176" s="5"/>
      <c r="BC176" s="19"/>
      <c r="BD176" s="19"/>
      <c r="BE176" s="19"/>
      <c r="BF176" s="19"/>
      <c r="BG176" s="19"/>
      <c r="BH176" s="19"/>
      <c r="BI176" s="19"/>
      <c r="BJ176" s="19"/>
      <c r="BK176" s="13"/>
      <c r="BL176" s="5"/>
      <c r="BM176" s="5"/>
      <c r="BN176" s="19"/>
      <c r="BO176" s="17"/>
      <c r="BP176" s="19"/>
      <c r="BQ176" s="17"/>
      <c r="BR176" s="19"/>
      <c r="BS176" s="13"/>
      <c r="BT176" s="5"/>
      <c r="BU176" s="23"/>
      <c r="BV176" s="23"/>
      <c r="BW176" s="24"/>
      <c r="BX176" s="5"/>
      <c r="BY176" s="5"/>
      <c r="BZ176" s="5"/>
      <c r="CA176" s="24"/>
      <c r="CB176" s="24"/>
      <c r="CC176" s="24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>
        <f t="shared" si="293"/>
        <v>250</v>
      </c>
      <c r="CV176" s="25">
        <f t="shared" si="294"/>
        <v>0</v>
      </c>
      <c r="CW176" s="26"/>
      <c r="CX176" s="5"/>
      <c r="CY176" s="5"/>
    </row>
    <row r="177" spans="1:103" x14ac:dyDescent="0.2">
      <c r="A177" s="27"/>
      <c r="B177" s="28"/>
      <c r="C177" s="29"/>
      <c r="D177" s="30"/>
      <c r="E177" s="31"/>
      <c r="F177" s="32"/>
      <c r="G177" s="33"/>
      <c r="H177" s="34"/>
      <c r="I177" s="34"/>
      <c r="J177" s="35"/>
      <c r="K177" s="36"/>
      <c r="L177" s="37"/>
      <c r="M177" s="38">
        <f>SUM(M176:M176)</f>
        <v>250</v>
      </c>
      <c r="N177" s="38"/>
      <c r="O177" s="39" t="s">
        <v>137</v>
      </c>
      <c r="P177" s="38">
        <f>SUM(P176:P176)</f>
        <v>5</v>
      </c>
      <c r="Q177" s="38"/>
      <c r="R177" s="30"/>
      <c r="S177" s="38">
        <f t="shared" ref="S177:AD177" si="296">SUM(S176:S176)</f>
        <v>0</v>
      </c>
      <c r="T177" s="38">
        <f t="shared" si="296"/>
        <v>0</v>
      </c>
      <c r="U177" s="38">
        <f t="shared" si="296"/>
        <v>0</v>
      </c>
      <c r="V177" s="38">
        <f t="shared" si="296"/>
        <v>0</v>
      </c>
      <c r="W177" s="38">
        <f t="shared" si="296"/>
        <v>0</v>
      </c>
      <c r="X177" s="38">
        <f t="shared" si="296"/>
        <v>0</v>
      </c>
      <c r="Y177" s="38">
        <f t="shared" si="296"/>
        <v>0</v>
      </c>
      <c r="Z177" s="38">
        <f t="shared" si="296"/>
        <v>0</v>
      </c>
      <c r="AA177" s="38">
        <f t="shared" si="296"/>
        <v>0</v>
      </c>
      <c r="AB177" s="38">
        <f t="shared" si="296"/>
        <v>0</v>
      </c>
      <c r="AC177" s="38">
        <f t="shared" si="296"/>
        <v>0</v>
      </c>
      <c r="AD177" s="38">
        <f t="shared" si="296"/>
        <v>0</v>
      </c>
      <c r="AE177" s="30"/>
      <c r="AF177" s="38">
        <f>SUM(AF176:AF176)</f>
        <v>0</v>
      </c>
      <c r="AG177" s="30"/>
      <c r="AH177" s="38">
        <f t="shared" ref="AH177:AY177" si="297">SUM(AH176:AH176)</f>
        <v>0</v>
      </c>
      <c r="AI177" s="38">
        <f t="shared" si="297"/>
        <v>0</v>
      </c>
      <c r="AJ177" s="38">
        <f t="shared" si="297"/>
        <v>0</v>
      </c>
      <c r="AK177" s="38">
        <f t="shared" si="297"/>
        <v>0</v>
      </c>
      <c r="AL177" s="38">
        <f t="shared" si="297"/>
        <v>0</v>
      </c>
      <c r="AM177" s="38">
        <f t="shared" si="297"/>
        <v>0</v>
      </c>
      <c r="AN177" s="38">
        <f t="shared" si="297"/>
        <v>0</v>
      </c>
      <c r="AO177" s="38">
        <f t="shared" si="297"/>
        <v>0</v>
      </c>
      <c r="AP177" s="38">
        <f t="shared" si="297"/>
        <v>0</v>
      </c>
      <c r="AQ177" s="38">
        <f t="shared" si="297"/>
        <v>0</v>
      </c>
      <c r="AR177" s="38">
        <f t="shared" si="297"/>
        <v>0</v>
      </c>
      <c r="AS177" s="38">
        <f t="shared" si="297"/>
        <v>0</v>
      </c>
      <c r="AT177" s="38">
        <f t="shared" si="297"/>
        <v>0</v>
      </c>
      <c r="AU177" s="38">
        <f t="shared" si="297"/>
        <v>0</v>
      </c>
      <c r="AV177" s="38">
        <f t="shared" si="297"/>
        <v>0</v>
      </c>
      <c r="AW177" s="38">
        <f t="shared" si="297"/>
        <v>0</v>
      </c>
      <c r="AX177" s="38">
        <f t="shared" si="297"/>
        <v>0</v>
      </c>
      <c r="AY177" s="38">
        <f t="shared" si="297"/>
        <v>0</v>
      </c>
      <c r="AZ177" s="38">
        <f>SUM(AZ176:AZ176)</f>
        <v>255</v>
      </c>
      <c r="BA177" s="30"/>
      <c r="BB177" s="38">
        <f t="shared" ref="BB177:CT177" si="298">SUM(BB176:BB176)</f>
        <v>0</v>
      </c>
      <c r="BC177" s="38">
        <f t="shared" si="298"/>
        <v>0</v>
      </c>
      <c r="BD177" s="38">
        <f t="shared" si="298"/>
        <v>0</v>
      </c>
      <c r="BE177" s="38">
        <f t="shared" si="298"/>
        <v>0</v>
      </c>
      <c r="BF177" s="38">
        <f t="shared" si="298"/>
        <v>0</v>
      </c>
      <c r="BG177" s="38">
        <f t="shared" si="298"/>
        <v>0</v>
      </c>
      <c r="BH177" s="38">
        <f t="shared" si="298"/>
        <v>0</v>
      </c>
      <c r="BI177" s="38">
        <f t="shared" si="298"/>
        <v>0</v>
      </c>
      <c r="BJ177" s="38">
        <f t="shared" si="298"/>
        <v>0</v>
      </c>
      <c r="BK177" s="38">
        <f t="shared" si="298"/>
        <v>0</v>
      </c>
      <c r="BL177" s="38">
        <f t="shared" si="298"/>
        <v>0</v>
      </c>
      <c r="BM177" s="38">
        <f t="shared" si="298"/>
        <v>0</v>
      </c>
      <c r="BN177" s="38">
        <f t="shared" si="298"/>
        <v>0</v>
      </c>
      <c r="BO177" s="38">
        <f t="shared" si="298"/>
        <v>0</v>
      </c>
      <c r="BP177" s="38">
        <f t="shared" si="298"/>
        <v>0</v>
      </c>
      <c r="BQ177" s="38">
        <f t="shared" si="298"/>
        <v>0</v>
      </c>
      <c r="BR177" s="38">
        <f t="shared" si="298"/>
        <v>0</v>
      </c>
      <c r="BS177" s="38">
        <f t="shared" si="298"/>
        <v>0</v>
      </c>
      <c r="BT177" s="38">
        <f t="shared" si="298"/>
        <v>0</v>
      </c>
      <c r="BU177" s="38">
        <f t="shared" si="298"/>
        <v>0</v>
      </c>
      <c r="BV177" s="38">
        <f t="shared" si="298"/>
        <v>0</v>
      </c>
      <c r="BW177" s="38">
        <f t="shared" si="298"/>
        <v>0</v>
      </c>
      <c r="BX177" s="38">
        <f t="shared" si="298"/>
        <v>0</v>
      </c>
      <c r="BY177" s="38">
        <f t="shared" si="298"/>
        <v>0</v>
      </c>
      <c r="BZ177" s="38">
        <f t="shared" si="298"/>
        <v>0</v>
      </c>
      <c r="CA177" s="38">
        <f t="shared" si="298"/>
        <v>0</v>
      </c>
      <c r="CB177" s="38">
        <f t="shared" si="298"/>
        <v>0</v>
      </c>
      <c r="CC177" s="38">
        <f t="shared" si="298"/>
        <v>0</v>
      </c>
      <c r="CD177" s="38">
        <f t="shared" si="298"/>
        <v>0</v>
      </c>
      <c r="CE177" s="38">
        <f t="shared" si="298"/>
        <v>0</v>
      </c>
      <c r="CF177" s="38">
        <f t="shared" si="298"/>
        <v>0</v>
      </c>
      <c r="CG177" s="38">
        <f t="shared" si="298"/>
        <v>0</v>
      </c>
      <c r="CH177" s="38">
        <f t="shared" si="298"/>
        <v>0</v>
      </c>
      <c r="CI177" s="38">
        <f t="shared" si="298"/>
        <v>0</v>
      </c>
      <c r="CJ177" s="38">
        <f t="shared" si="298"/>
        <v>0</v>
      </c>
      <c r="CK177" s="38">
        <f t="shared" si="298"/>
        <v>0</v>
      </c>
      <c r="CL177" s="38">
        <f t="shared" si="298"/>
        <v>0</v>
      </c>
      <c r="CM177" s="38">
        <f t="shared" si="298"/>
        <v>0</v>
      </c>
      <c r="CN177" s="38">
        <f t="shared" si="298"/>
        <v>0</v>
      </c>
      <c r="CO177" s="38">
        <f t="shared" si="298"/>
        <v>0</v>
      </c>
      <c r="CP177" s="38">
        <f t="shared" si="298"/>
        <v>0</v>
      </c>
      <c r="CQ177" s="38">
        <f t="shared" si="298"/>
        <v>0</v>
      </c>
      <c r="CR177" s="38">
        <f t="shared" si="298"/>
        <v>0</v>
      </c>
      <c r="CS177" s="38">
        <f t="shared" si="298"/>
        <v>0</v>
      </c>
      <c r="CT177" s="38">
        <f t="shared" si="298"/>
        <v>0</v>
      </c>
      <c r="CU177" s="17">
        <f t="shared" si="293"/>
        <v>250</v>
      </c>
      <c r="CV177" s="25">
        <f t="shared" si="294"/>
        <v>0</v>
      </c>
      <c r="CW177" s="40"/>
      <c r="CX177" s="30"/>
      <c r="CY177" s="30"/>
    </row>
    <row r="178" spans="1:103" x14ac:dyDescent="0.2">
      <c r="A178" s="2">
        <v>45877</v>
      </c>
      <c r="B178" s="3" t="s">
        <v>283</v>
      </c>
      <c r="C178" s="4" t="s">
        <v>544</v>
      </c>
      <c r="D178" s="5" t="s">
        <v>284</v>
      </c>
      <c r="E178" s="6" t="s">
        <v>285</v>
      </c>
      <c r="F178" s="7" t="s">
        <v>229</v>
      </c>
      <c r="G178" s="8" t="s">
        <v>286</v>
      </c>
      <c r="H178" s="9">
        <v>4100</v>
      </c>
      <c r="I178" s="10"/>
      <c r="J178" s="11" t="s">
        <v>313</v>
      </c>
      <c r="K178" s="12">
        <v>1</v>
      </c>
      <c r="L178" s="13">
        <v>320</v>
      </c>
      <c r="M178" s="14">
        <f t="shared" ref="M178" si="299">L178*K178</f>
        <v>320</v>
      </c>
      <c r="N178" s="15"/>
      <c r="O178" s="16" t="s">
        <v>137</v>
      </c>
      <c r="P178" s="17">
        <f>M178*0.02</f>
        <v>6.4</v>
      </c>
      <c r="Q178" s="18"/>
      <c r="R178" s="5"/>
      <c r="S178" s="19"/>
      <c r="T178" s="19"/>
      <c r="U178" s="19"/>
      <c r="V178" s="19"/>
      <c r="W178" s="17"/>
      <c r="X178" s="20"/>
      <c r="Y178" s="19"/>
      <c r="Z178" s="19"/>
      <c r="AA178" s="19"/>
      <c r="AB178" s="19"/>
      <c r="AC178" s="19"/>
      <c r="AD178" s="19"/>
      <c r="AE178" s="5"/>
      <c r="AF178" s="19"/>
      <c r="AG178" s="5"/>
      <c r="AH178" s="17"/>
      <c r="AI178" s="19"/>
      <c r="AJ178" s="19"/>
      <c r="AK178" s="19"/>
      <c r="AL178" s="19"/>
      <c r="AM178" s="17"/>
      <c r="AN178" s="19"/>
      <c r="AO178" s="19"/>
      <c r="AP178" s="19"/>
      <c r="AQ178" s="19"/>
      <c r="AR178" s="19"/>
      <c r="AS178" s="21"/>
      <c r="AT178" s="5"/>
      <c r="AU178" s="19"/>
      <c r="AV178" s="5"/>
      <c r="AW178" s="22"/>
      <c r="AX178" s="19"/>
      <c r="AY178" s="5"/>
      <c r="AZ178" s="17">
        <f>M178+P178-Q178</f>
        <v>326.39999999999998</v>
      </c>
      <c r="BA178" s="5"/>
      <c r="BB178" s="5"/>
      <c r="BC178" s="19"/>
      <c r="BD178" s="19"/>
      <c r="BE178" s="19"/>
      <c r="BF178" s="19"/>
      <c r="BG178" s="19"/>
      <c r="BH178" s="19"/>
      <c r="BI178" s="19"/>
      <c r="BJ178" s="19"/>
      <c r="BK178" s="13"/>
      <c r="BL178" s="5"/>
      <c r="BM178" s="5"/>
      <c r="BN178" s="19"/>
      <c r="BO178" s="17"/>
      <c r="BP178" s="19"/>
      <c r="BQ178" s="17"/>
      <c r="BR178" s="19"/>
      <c r="BS178" s="13"/>
      <c r="BT178" s="5"/>
      <c r="BU178" s="23"/>
      <c r="BV178" s="23"/>
      <c r="BW178" s="24"/>
      <c r="BX178" s="5"/>
      <c r="BY178" s="5"/>
      <c r="BZ178" s="5"/>
      <c r="CA178" s="24"/>
      <c r="CB178" s="24"/>
      <c r="CC178" s="24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>
        <f t="shared" si="293"/>
        <v>320</v>
      </c>
      <c r="CV178" s="25">
        <f t="shared" si="294"/>
        <v>0</v>
      </c>
      <c r="CW178" s="26"/>
      <c r="CX178" s="5"/>
      <c r="CY178" s="5"/>
    </row>
    <row r="179" spans="1:103" x14ac:dyDescent="0.2">
      <c r="A179" s="161"/>
      <c r="B179" s="162"/>
      <c r="C179" s="163"/>
      <c r="D179" s="164"/>
      <c r="E179" s="165"/>
      <c r="F179" s="166"/>
      <c r="G179" s="167"/>
      <c r="H179" s="168"/>
      <c r="I179" s="168"/>
      <c r="J179" s="169"/>
      <c r="K179" s="170"/>
      <c r="L179" s="171"/>
      <c r="M179" s="172">
        <f>SUM(M178:M178)</f>
        <v>320</v>
      </c>
      <c r="N179" s="172">
        <f>M179+M177+M175+M173+M171+M169+M167+M165+M163+M161+M159+M157+M155</f>
        <v>4860</v>
      </c>
      <c r="O179" s="173" t="s">
        <v>111</v>
      </c>
      <c r="P179" s="172">
        <f>SUM(P178:P178)</f>
        <v>6.4</v>
      </c>
      <c r="Q179" s="172"/>
      <c r="R179" s="164"/>
      <c r="S179" s="172">
        <f t="shared" ref="S179:AD179" si="300">SUM(S178:S178)</f>
        <v>0</v>
      </c>
      <c r="T179" s="172">
        <f t="shared" si="300"/>
        <v>0</v>
      </c>
      <c r="U179" s="172">
        <f t="shared" si="300"/>
        <v>0</v>
      </c>
      <c r="V179" s="172">
        <f t="shared" si="300"/>
        <v>0</v>
      </c>
      <c r="W179" s="172">
        <f t="shared" si="300"/>
        <v>0</v>
      </c>
      <c r="X179" s="172">
        <f t="shared" si="300"/>
        <v>0</v>
      </c>
      <c r="Y179" s="172">
        <f t="shared" si="300"/>
        <v>0</v>
      </c>
      <c r="Z179" s="172">
        <f t="shared" si="300"/>
        <v>0</v>
      </c>
      <c r="AA179" s="172">
        <f t="shared" si="300"/>
        <v>0</v>
      </c>
      <c r="AB179" s="172">
        <f t="shared" si="300"/>
        <v>0</v>
      </c>
      <c r="AC179" s="172">
        <f t="shared" si="300"/>
        <v>0</v>
      </c>
      <c r="AD179" s="172">
        <f t="shared" si="300"/>
        <v>0</v>
      </c>
      <c r="AE179" s="164"/>
      <c r="AF179" s="172">
        <f>SUM(AF178:AF178)</f>
        <v>0</v>
      </c>
      <c r="AG179" s="164"/>
      <c r="AH179" s="172">
        <f t="shared" ref="AH179:AY179" si="301">SUM(AH178:AH178)</f>
        <v>0</v>
      </c>
      <c r="AI179" s="172">
        <f t="shared" si="301"/>
        <v>0</v>
      </c>
      <c r="AJ179" s="172">
        <f t="shared" si="301"/>
        <v>0</v>
      </c>
      <c r="AK179" s="172">
        <f t="shared" si="301"/>
        <v>0</v>
      </c>
      <c r="AL179" s="172">
        <f t="shared" si="301"/>
        <v>0</v>
      </c>
      <c r="AM179" s="172">
        <f t="shared" si="301"/>
        <v>0</v>
      </c>
      <c r="AN179" s="172">
        <f t="shared" si="301"/>
        <v>0</v>
      </c>
      <c r="AO179" s="172">
        <f t="shared" si="301"/>
        <v>0</v>
      </c>
      <c r="AP179" s="172">
        <f t="shared" si="301"/>
        <v>0</v>
      </c>
      <c r="AQ179" s="172">
        <f t="shared" si="301"/>
        <v>0</v>
      </c>
      <c r="AR179" s="172">
        <f t="shared" si="301"/>
        <v>0</v>
      </c>
      <c r="AS179" s="172">
        <f t="shared" si="301"/>
        <v>0</v>
      </c>
      <c r="AT179" s="172">
        <f t="shared" si="301"/>
        <v>0</v>
      </c>
      <c r="AU179" s="172">
        <f t="shared" si="301"/>
        <v>0</v>
      </c>
      <c r="AV179" s="172">
        <f t="shared" si="301"/>
        <v>0</v>
      </c>
      <c r="AW179" s="172">
        <f t="shared" si="301"/>
        <v>0</v>
      </c>
      <c r="AX179" s="172">
        <f t="shared" si="301"/>
        <v>0</v>
      </c>
      <c r="AY179" s="172">
        <f t="shared" si="301"/>
        <v>0</v>
      </c>
      <c r="AZ179" s="172">
        <f>SUM(AZ178:AZ178)</f>
        <v>326.39999999999998</v>
      </c>
      <c r="BA179" s="164"/>
      <c r="BB179" s="172">
        <f t="shared" ref="BB179:CT179" si="302">SUM(BB178:BB178)</f>
        <v>0</v>
      </c>
      <c r="BC179" s="172">
        <f t="shared" si="302"/>
        <v>0</v>
      </c>
      <c r="BD179" s="172">
        <f t="shared" si="302"/>
        <v>0</v>
      </c>
      <c r="BE179" s="172">
        <f t="shared" si="302"/>
        <v>0</v>
      </c>
      <c r="BF179" s="172">
        <f t="shared" si="302"/>
        <v>0</v>
      </c>
      <c r="BG179" s="172">
        <f t="shared" si="302"/>
        <v>0</v>
      </c>
      <c r="BH179" s="172">
        <f t="shared" si="302"/>
        <v>0</v>
      </c>
      <c r="BI179" s="172">
        <f t="shared" si="302"/>
        <v>0</v>
      </c>
      <c r="BJ179" s="172">
        <f t="shared" si="302"/>
        <v>0</v>
      </c>
      <c r="BK179" s="172">
        <f t="shared" si="302"/>
        <v>0</v>
      </c>
      <c r="BL179" s="172">
        <f t="shared" si="302"/>
        <v>0</v>
      </c>
      <c r="BM179" s="172">
        <f t="shared" si="302"/>
        <v>0</v>
      </c>
      <c r="BN179" s="172">
        <f t="shared" si="302"/>
        <v>0</v>
      </c>
      <c r="BO179" s="172">
        <f t="shared" si="302"/>
        <v>0</v>
      </c>
      <c r="BP179" s="172">
        <f t="shared" si="302"/>
        <v>0</v>
      </c>
      <c r="BQ179" s="172">
        <f t="shared" si="302"/>
        <v>0</v>
      </c>
      <c r="BR179" s="172">
        <f t="shared" si="302"/>
        <v>0</v>
      </c>
      <c r="BS179" s="172">
        <f t="shared" si="302"/>
        <v>0</v>
      </c>
      <c r="BT179" s="172">
        <f t="shared" si="302"/>
        <v>0</v>
      </c>
      <c r="BU179" s="172">
        <f t="shared" si="302"/>
        <v>0</v>
      </c>
      <c r="BV179" s="172">
        <f t="shared" si="302"/>
        <v>0</v>
      </c>
      <c r="BW179" s="172">
        <f t="shared" si="302"/>
        <v>0</v>
      </c>
      <c r="BX179" s="172">
        <f t="shared" si="302"/>
        <v>0</v>
      </c>
      <c r="BY179" s="172">
        <f t="shared" si="302"/>
        <v>0</v>
      </c>
      <c r="BZ179" s="172">
        <f t="shared" si="302"/>
        <v>0</v>
      </c>
      <c r="CA179" s="172">
        <f t="shared" si="302"/>
        <v>0</v>
      </c>
      <c r="CB179" s="172">
        <f t="shared" si="302"/>
        <v>0</v>
      </c>
      <c r="CC179" s="172">
        <f t="shared" si="302"/>
        <v>0</v>
      </c>
      <c r="CD179" s="172">
        <f t="shared" si="302"/>
        <v>0</v>
      </c>
      <c r="CE179" s="172">
        <f t="shared" si="302"/>
        <v>0</v>
      </c>
      <c r="CF179" s="172">
        <f t="shared" si="302"/>
        <v>0</v>
      </c>
      <c r="CG179" s="172">
        <f t="shared" si="302"/>
        <v>0</v>
      </c>
      <c r="CH179" s="172">
        <f t="shared" si="302"/>
        <v>0</v>
      </c>
      <c r="CI179" s="172">
        <f t="shared" si="302"/>
        <v>0</v>
      </c>
      <c r="CJ179" s="172">
        <f t="shared" si="302"/>
        <v>0</v>
      </c>
      <c r="CK179" s="172">
        <f t="shared" si="302"/>
        <v>0</v>
      </c>
      <c r="CL179" s="172">
        <f t="shared" si="302"/>
        <v>0</v>
      </c>
      <c r="CM179" s="172">
        <f t="shared" si="302"/>
        <v>0</v>
      </c>
      <c r="CN179" s="172">
        <f t="shared" si="302"/>
        <v>0</v>
      </c>
      <c r="CO179" s="172">
        <f t="shared" si="302"/>
        <v>0</v>
      </c>
      <c r="CP179" s="172">
        <f t="shared" si="302"/>
        <v>0</v>
      </c>
      <c r="CQ179" s="172">
        <f t="shared" si="302"/>
        <v>0</v>
      </c>
      <c r="CR179" s="172">
        <f t="shared" si="302"/>
        <v>0</v>
      </c>
      <c r="CS179" s="172">
        <f t="shared" si="302"/>
        <v>0</v>
      </c>
      <c r="CT179" s="172">
        <f t="shared" si="302"/>
        <v>0</v>
      </c>
      <c r="CU179" s="17">
        <f t="shared" si="293"/>
        <v>320</v>
      </c>
      <c r="CV179" s="25">
        <f t="shared" si="294"/>
        <v>0</v>
      </c>
      <c r="CW179" s="176"/>
      <c r="CX179" s="164"/>
      <c r="CY179" s="164"/>
    </row>
    <row r="180" spans="1:103" x14ac:dyDescent="0.2">
      <c r="A180" s="2">
        <v>45882</v>
      </c>
      <c r="B180" s="3" t="s">
        <v>414</v>
      </c>
      <c r="C180" s="4" t="s">
        <v>545</v>
      </c>
      <c r="D180" s="5" t="s">
        <v>122</v>
      </c>
      <c r="E180" s="6" t="s">
        <v>370</v>
      </c>
      <c r="F180" s="7" t="s">
        <v>336</v>
      </c>
      <c r="G180" s="8" t="s">
        <v>199</v>
      </c>
      <c r="H180" s="9" t="s">
        <v>415</v>
      </c>
      <c r="I180" s="10" t="s">
        <v>416</v>
      </c>
      <c r="J180" s="11" t="s">
        <v>417</v>
      </c>
      <c r="K180" s="12">
        <v>1</v>
      </c>
      <c r="L180" s="13">
        <v>728</v>
      </c>
      <c r="M180" s="14">
        <f t="shared" ref="M180:M182" si="303">L180*K180</f>
        <v>728</v>
      </c>
      <c r="N180" s="15"/>
      <c r="O180" s="16" t="s">
        <v>111</v>
      </c>
      <c r="P180" s="17">
        <f>M180/1.12*0.01</f>
        <v>6.4999999999999991</v>
      </c>
      <c r="Q180" s="18">
        <f>M180/1.12*0.12</f>
        <v>77.999999999999986</v>
      </c>
      <c r="R180" s="17">
        <f>M180+P180-Q180</f>
        <v>656.5</v>
      </c>
      <c r="S180" s="19"/>
      <c r="T180" s="19"/>
      <c r="U180" s="19"/>
      <c r="V180" s="19"/>
      <c r="W180" s="17"/>
      <c r="X180" s="20"/>
      <c r="Y180" s="19"/>
      <c r="Z180" s="19"/>
      <c r="AA180" s="19"/>
      <c r="AB180" s="19"/>
      <c r="AC180" s="19"/>
      <c r="AD180" s="19"/>
      <c r="AE180" s="5"/>
      <c r="AF180" s="19"/>
      <c r="AG180" s="5"/>
      <c r="AH180" s="17"/>
      <c r="AI180" s="19"/>
      <c r="AJ180" s="19"/>
      <c r="AK180" s="19"/>
      <c r="AL180" s="19"/>
      <c r="AM180" s="17"/>
      <c r="AN180" s="19"/>
      <c r="AO180" s="19"/>
      <c r="AP180" s="19"/>
      <c r="AQ180" s="19"/>
      <c r="AR180" s="19"/>
      <c r="AS180" s="21"/>
      <c r="AT180" s="5"/>
      <c r="AU180" s="19"/>
      <c r="AV180" s="5"/>
      <c r="AW180" s="22"/>
      <c r="AX180" s="19"/>
      <c r="AY180" s="5"/>
      <c r="AZ180" s="19"/>
      <c r="BA180" s="5"/>
      <c r="BB180" s="5"/>
      <c r="BC180" s="19"/>
      <c r="BD180" s="19"/>
      <c r="BE180" s="19"/>
      <c r="BF180" s="19"/>
      <c r="BG180" s="19"/>
      <c r="BH180" s="19"/>
      <c r="BI180" s="19"/>
      <c r="BJ180" s="19"/>
      <c r="BK180" s="13"/>
      <c r="BL180" s="5"/>
      <c r="BM180" s="5"/>
      <c r="BN180" s="19"/>
      <c r="BO180" s="17"/>
      <c r="BP180" s="19"/>
      <c r="BQ180" s="17"/>
      <c r="BR180" s="19"/>
      <c r="BS180" s="13"/>
      <c r="BT180" s="5"/>
      <c r="BU180" s="23"/>
      <c r="BV180" s="23"/>
      <c r="BW180" s="24"/>
      <c r="BX180" s="5"/>
      <c r="BY180" s="5"/>
      <c r="BZ180" s="5"/>
      <c r="CA180" s="24"/>
      <c r="CB180" s="24"/>
      <c r="CC180" s="24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>
        <f t="shared" si="293"/>
        <v>728</v>
      </c>
      <c r="CV180" s="25">
        <f t="shared" si="294"/>
        <v>0</v>
      </c>
      <c r="CW180" s="26"/>
      <c r="CX180" s="5"/>
      <c r="CY180" s="5"/>
    </row>
    <row r="181" spans="1:103" x14ac:dyDescent="0.2">
      <c r="A181" s="2"/>
      <c r="B181" s="3"/>
      <c r="C181" s="4"/>
      <c r="D181" s="5"/>
      <c r="E181" s="6"/>
      <c r="F181" s="7"/>
      <c r="G181" s="8"/>
      <c r="H181" s="9"/>
      <c r="I181" s="10"/>
      <c r="J181" s="11" t="s">
        <v>418</v>
      </c>
      <c r="K181" s="12">
        <v>0.53</v>
      </c>
      <c r="L181" s="13">
        <v>590</v>
      </c>
      <c r="M181" s="14">
        <f t="shared" si="303"/>
        <v>312.7</v>
      </c>
      <c r="N181" s="15"/>
      <c r="O181" s="16" t="s">
        <v>111</v>
      </c>
      <c r="P181" s="17">
        <f t="shared" ref="P181:P182" si="304">M181/1.12*0.01</f>
        <v>2.7919642857142857</v>
      </c>
      <c r="Q181" s="18"/>
      <c r="R181" s="17">
        <f t="shared" ref="R181:R182" si="305">M181+P181-Q181</f>
        <v>315.49196428571429</v>
      </c>
      <c r="S181" s="19"/>
      <c r="T181" s="19"/>
      <c r="U181" s="19"/>
      <c r="V181" s="19"/>
      <c r="W181" s="17"/>
      <c r="X181" s="20"/>
      <c r="Y181" s="19"/>
      <c r="Z181" s="19"/>
      <c r="AA181" s="19"/>
      <c r="AB181" s="19"/>
      <c r="AC181" s="19"/>
      <c r="AD181" s="19"/>
      <c r="AE181" s="5"/>
      <c r="AF181" s="19"/>
      <c r="AG181" s="5"/>
      <c r="AH181" s="17"/>
      <c r="AI181" s="19"/>
      <c r="AJ181" s="19"/>
      <c r="AK181" s="19"/>
      <c r="AL181" s="19"/>
      <c r="AM181" s="17"/>
      <c r="AN181" s="19"/>
      <c r="AO181" s="19"/>
      <c r="AP181" s="19"/>
      <c r="AQ181" s="19"/>
      <c r="AR181" s="19"/>
      <c r="AS181" s="21"/>
      <c r="AT181" s="5"/>
      <c r="AU181" s="19"/>
      <c r="AV181" s="5"/>
      <c r="AW181" s="22"/>
      <c r="AX181" s="19"/>
      <c r="AY181" s="5"/>
      <c r="AZ181" s="19"/>
      <c r="BA181" s="5"/>
      <c r="BB181" s="5"/>
      <c r="BC181" s="19"/>
      <c r="BD181" s="19"/>
      <c r="BE181" s="19"/>
      <c r="BF181" s="19"/>
      <c r="BG181" s="19"/>
      <c r="BH181" s="19"/>
      <c r="BI181" s="19"/>
      <c r="BJ181" s="19"/>
      <c r="BK181" s="13"/>
      <c r="BL181" s="5"/>
      <c r="BM181" s="5"/>
      <c r="BN181" s="19"/>
      <c r="BO181" s="17"/>
      <c r="BP181" s="19"/>
      <c r="BQ181" s="17"/>
      <c r="BR181" s="19"/>
      <c r="BS181" s="13"/>
      <c r="BT181" s="5"/>
      <c r="BU181" s="23"/>
      <c r="BV181" s="23"/>
      <c r="BW181" s="24"/>
      <c r="BX181" s="5"/>
      <c r="BY181" s="5"/>
      <c r="BZ181" s="5"/>
      <c r="CA181" s="24"/>
      <c r="CB181" s="24"/>
      <c r="CC181" s="24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>
        <f t="shared" si="293"/>
        <v>312.7</v>
      </c>
      <c r="CV181" s="25">
        <f t="shared" si="294"/>
        <v>0</v>
      </c>
      <c r="CW181" s="26"/>
      <c r="CX181" s="5"/>
      <c r="CY181" s="5"/>
    </row>
    <row r="182" spans="1:103" x14ac:dyDescent="0.2">
      <c r="A182" s="2"/>
      <c r="B182" s="3"/>
      <c r="C182" s="4"/>
      <c r="D182" s="5"/>
      <c r="E182" s="6"/>
      <c r="F182" s="7"/>
      <c r="G182" s="8"/>
      <c r="H182" s="9"/>
      <c r="I182" s="10"/>
      <c r="J182" s="11" t="s">
        <v>419</v>
      </c>
      <c r="K182" s="12">
        <v>0.51500000000000001</v>
      </c>
      <c r="L182" s="13">
        <v>550</v>
      </c>
      <c r="M182" s="14">
        <f t="shared" si="303"/>
        <v>283.25</v>
      </c>
      <c r="N182" s="15"/>
      <c r="O182" s="16" t="s">
        <v>111</v>
      </c>
      <c r="P182" s="17">
        <f t="shared" si="304"/>
        <v>2.5290178571428572</v>
      </c>
      <c r="Q182" s="18"/>
      <c r="R182" s="17">
        <f t="shared" si="305"/>
        <v>285.77901785714283</v>
      </c>
      <c r="S182" s="19"/>
      <c r="T182" s="19"/>
      <c r="U182" s="19"/>
      <c r="V182" s="19"/>
      <c r="W182" s="17"/>
      <c r="X182" s="20"/>
      <c r="Y182" s="19"/>
      <c r="Z182" s="19"/>
      <c r="AA182" s="19"/>
      <c r="AB182" s="19"/>
      <c r="AC182" s="19"/>
      <c r="AD182" s="19"/>
      <c r="AE182" s="5"/>
      <c r="AF182" s="19"/>
      <c r="AG182" s="5"/>
      <c r="AH182" s="17"/>
      <c r="AI182" s="19"/>
      <c r="AJ182" s="19"/>
      <c r="AK182" s="19"/>
      <c r="AL182" s="19"/>
      <c r="AM182" s="17"/>
      <c r="AN182" s="19"/>
      <c r="AO182" s="19"/>
      <c r="AP182" s="19"/>
      <c r="AQ182" s="19"/>
      <c r="AR182" s="19"/>
      <c r="AS182" s="21"/>
      <c r="AT182" s="5"/>
      <c r="AU182" s="19"/>
      <c r="AV182" s="5"/>
      <c r="AW182" s="22"/>
      <c r="AX182" s="19"/>
      <c r="AY182" s="5"/>
      <c r="AZ182" s="19"/>
      <c r="BA182" s="5"/>
      <c r="BB182" s="5"/>
      <c r="BC182" s="19"/>
      <c r="BD182" s="19"/>
      <c r="BE182" s="19"/>
      <c r="BF182" s="19"/>
      <c r="BG182" s="19"/>
      <c r="BH182" s="19"/>
      <c r="BI182" s="19"/>
      <c r="BJ182" s="19"/>
      <c r="BK182" s="13"/>
      <c r="BL182" s="5"/>
      <c r="BM182" s="5"/>
      <c r="BN182" s="19"/>
      <c r="BO182" s="17"/>
      <c r="BP182" s="19"/>
      <c r="BQ182" s="17"/>
      <c r="BR182" s="19"/>
      <c r="BS182" s="13"/>
      <c r="BT182" s="5"/>
      <c r="BU182" s="23"/>
      <c r="BV182" s="23"/>
      <c r="BW182" s="24"/>
      <c r="BX182" s="5"/>
      <c r="BY182" s="5"/>
      <c r="BZ182" s="5"/>
      <c r="CA182" s="24"/>
      <c r="CB182" s="24"/>
      <c r="CC182" s="24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>
        <f t="shared" si="293"/>
        <v>283.25</v>
      </c>
      <c r="CV182" s="25">
        <f t="shared" si="294"/>
        <v>0</v>
      </c>
      <c r="CW182" s="26"/>
      <c r="CX182" s="5"/>
      <c r="CY182" s="5"/>
    </row>
    <row r="183" spans="1:103" x14ac:dyDescent="0.2">
      <c r="A183" s="27"/>
      <c r="B183" s="28"/>
      <c r="C183" s="29"/>
      <c r="D183" s="30"/>
      <c r="E183" s="31"/>
      <c r="F183" s="32"/>
      <c r="G183" s="33"/>
      <c r="H183" s="34"/>
      <c r="I183" s="34"/>
      <c r="J183" s="35"/>
      <c r="K183" s="36"/>
      <c r="L183" s="37"/>
      <c r="M183" s="38">
        <f>SUM(M180:M182)</f>
        <v>1323.95</v>
      </c>
      <c r="N183" s="38"/>
      <c r="O183" s="39" t="s">
        <v>111</v>
      </c>
      <c r="P183" s="38">
        <f>SUM(P180:P182)</f>
        <v>11.820982142857142</v>
      </c>
      <c r="Q183" s="38">
        <f>SUM(Q180:Q182)</f>
        <v>77.999999999999986</v>
      </c>
      <c r="R183" s="38">
        <f>SUM(R180:R182)</f>
        <v>1257.7709821428571</v>
      </c>
      <c r="S183" s="38">
        <f t="shared" ref="S183:AD183" si="306">SUM(S180:S180)</f>
        <v>0</v>
      </c>
      <c r="T183" s="38">
        <f t="shared" si="306"/>
        <v>0</v>
      </c>
      <c r="U183" s="38">
        <f t="shared" si="306"/>
        <v>0</v>
      </c>
      <c r="V183" s="38">
        <f t="shared" si="306"/>
        <v>0</v>
      </c>
      <c r="W183" s="38">
        <f t="shared" si="306"/>
        <v>0</v>
      </c>
      <c r="X183" s="38">
        <f t="shared" si="306"/>
        <v>0</v>
      </c>
      <c r="Y183" s="38">
        <f t="shared" si="306"/>
        <v>0</v>
      </c>
      <c r="Z183" s="38">
        <f t="shared" si="306"/>
        <v>0</v>
      </c>
      <c r="AA183" s="38">
        <f t="shared" si="306"/>
        <v>0</v>
      </c>
      <c r="AB183" s="38">
        <f t="shared" si="306"/>
        <v>0</v>
      </c>
      <c r="AC183" s="38">
        <f t="shared" si="306"/>
        <v>0</v>
      </c>
      <c r="AD183" s="38">
        <f t="shared" si="306"/>
        <v>0</v>
      </c>
      <c r="AE183" s="30"/>
      <c r="AF183" s="38">
        <f>SUM(AF180:AF180)</f>
        <v>0</v>
      </c>
      <c r="AG183" s="30"/>
      <c r="AH183" s="38">
        <f t="shared" ref="AH183:AZ183" si="307">SUM(AH180:AH180)</f>
        <v>0</v>
      </c>
      <c r="AI183" s="38">
        <f t="shared" si="307"/>
        <v>0</v>
      </c>
      <c r="AJ183" s="38">
        <f t="shared" si="307"/>
        <v>0</v>
      </c>
      <c r="AK183" s="38">
        <f t="shared" si="307"/>
        <v>0</v>
      </c>
      <c r="AL183" s="38">
        <f t="shared" si="307"/>
        <v>0</v>
      </c>
      <c r="AM183" s="38">
        <f t="shared" si="307"/>
        <v>0</v>
      </c>
      <c r="AN183" s="38">
        <f t="shared" si="307"/>
        <v>0</v>
      </c>
      <c r="AO183" s="38">
        <f t="shared" si="307"/>
        <v>0</v>
      </c>
      <c r="AP183" s="38">
        <f t="shared" si="307"/>
        <v>0</v>
      </c>
      <c r="AQ183" s="38">
        <f t="shared" si="307"/>
        <v>0</v>
      </c>
      <c r="AR183" s="38">
        <f t="shared" si="307"/>
        <v>0</v>
      </c>
      <c r="AS183" s="38">
        <f t="shared" si="307"/>
        <v>0</v>
      </c>
      <c r="AT183" s="38">
        <f t="shared" si="307"/>
        <v>0</v>
      </c>
      <c r="AU183" s="38">
        <f t="shared" si="307"/>
        <v>0</v>
      </c>
      <c r="AV183" s="38">
        <f t="shared" si="307"/>
        <v>0</v>
      </c>
      <c r="AW183" s="38">
        <f t="shared" si="307"/>
        <v>0</v>
      </c>
      <c r="AX183" s="38">
        <f t="shared" si="307"/>
        <v>0</v>
      </c>
      <c r="AY183" s="38">
        <f t="shared" si="307"/>
        <v>0</v>
      </c>
      <c r="AZ183" s="38">
        <f t="shared" si="307"/>
        <v>0</v>
      </c>
      <c r="BA183" s="30"/>
      <c r="BB183" s="38">
        <f t="shared" ref="BB183:CT183" si="308">SUM(BB180:BB180)</f>
        <v>0</v>
      </c>
      <c r="BC183" s="38">
        <f t="shared" si="308"/>
        <v>0</v>
      </c>
      <c r="BD183" s="38">
        <f t="shared" si="308"/>
        <v>0</v>
      </c>
      <c r="BE183" s="38">
        <f t="shared" si="308"/>
        <v>0</v>
      </c>
      <c r="BF183" s="38">
        <f t="shared" si="308"/>
        <v>0</v>
      </c>
      <c r="BG183" s="38">
        <f t="shared" si="308"/>
        <v>0</v>
      </c>
      <c r="BH183" s="38">
        <f t="shared" si="308"/>
        <v>0</v>
      </c>
      <c r="BI183" s="38">
        <f t="shared" si="308"/>
        <v>0</v>
      </c>
      <c r="BJ183" s="38">
        <f t="shared" si="308"/>
        <v>0</v>
      </c>
      <c r="BK183" s="38">
        <f t="shared" si="308"/>
        <v>0</v>
      </c>
      <c r="BL183" s="38">
        <f t="shared" si="308"/>
        <v>0</v>
      </c>
      <c r="BM183" s="38">
        <f t="shared" si="308"/>
        <v>0</v>
      </c>
      <c r="BN183" s="38">
        <f t="shared" si="308"/>
        <v>0</v>
      </c>
      <c r="BO183" s="38">
        <f t="shared" si="308"/>
        <v>0</v>
      </c>
      <c r="BP183" s="38">
        <f t="shared" si="308"/>
        <v>0</v>
      </c>
      <c r="BQ183" s="38">
        <f t="shared" si="308"/>
        <v>0</v>
      </c>
      <c r="BR183" s="38">
        <f t="shared" si="308"/>
        <v>0</v>
      </c>
      <c r="BS183" s="38">
        <f t="shared" si="308"/>
        <v>0</v>
      </c>
      <c r="BT183" s="38">
        <f t="shared" si="308"/>
        <v>0</v>
      </c>
      <c r="BU183" s="38">
        <f t="shared" si="308"/>
        <v>0</v>
      </c>
      <c r="BV183" s="38">
        <f t="shared" si="308"/>
        <v>0</v>
      </c>
      <c r="BW183" s="38">
        <f t="shared" si="308"/>
        <v>0</v>
      </c>
      <c r="BX183" s="38">
        <f t="shared" si="308"/>
        <v>0</v>
      </c>
      <c r="BY183" s="38">
        <f t="shared" si="308"/>
        <v>0</v>
      </c>
      <c r="BZ183" s="38">
        <f t="shared" si="308"/>
        <v>0</v>
      </c>
      <c r="CA183" s="38">
        <f t="shared" si="308"/>
        <v>0</v>
      </c>
      <c r="CB183" s="38">
        <f t="shared" si="308"/>
        <v>0</v>
      </c>
      <c r="CC183" s="38">
        <f t="shared" si="308"/>
        <v>0</v>
      </c>
      <c r="CD183" s="38">
        <f t="shared" si="308"/>
        <v>0</v>
      </c>
      <c r="CE183" s="38">
        <f t="shared" si="308"/>
        <v>0</v>
      </c>
      <c r="CF183" s="38">
        <f t="shared" si="308"/>
        <v>0</v>
      </c>
      <c r="CG183" s="38">
        <f t="shared" si="308"/>
        <v>0</v>
      </c>
      <c r="CH183" s="38">
        <f t="shared" si="308"/>
        <v>0</v>
      </c>
      <c r="CI183" s="38">
        <f t="shared" si="308"/>
        <v>0</v>
      </c>
      <c r="CJ183" s="38">
        <f t="shared" si="308"/>
        <v>0</v>
      </c>
      <c r="CK183" s="38">
        <f t="shared" si="308"/>
        <v>0</v>
      </c>
      <c r="CL183" s="38">
        <f t="shared" si="308"/>
        <v>0</v>
      </c>
      <c r="CM183" s="38">
        <f t="shared" si="308"/>
        <v>0</v>
      </c>
      <c r="CN183" s="38">
        <f t="shared" si="308"/>
        <v>0</v>
      </c>
      <c r="CO183" s="38">
        <f t="shared" si="308"/>
        <v>0</v>
      </c>
      <c r="CP183" s="38">
        <f t="shared" si="308"/>
        <v>0</v>
      </c>
      <c r="CQ183" s="38">
        <f t="shared" si="308"/>
        <v>0</v>
      </c>
      <c r="CR183" s="38">
        <f t="shared" si="308"/>
        <v>0</v>
      </c>
      <c r="CS183" s="38">
        <f t="shared" si="308"/>
        <v>0</v>
      </c>
      <c r="CT183" s="38">
        <f t="shared" si="308"/>
        <v>0</v>
      </c>
      <c r="CU183" s="17">
        <f t="shared" si="293"/>
        <v>1323.9499999999998</v>
      </c>
      <c r="CV183" s="25">
        <f t="shared" si="294"/>
        <v>0</v>
      </c>
      <c r="CW183" s="40"/>
      <c r="CX183" s="30"/>
      <c r="CY183" s="30"/>
    </row>
    <row r="184" spans="1:103" x14ac:dyDescent="0.2">
      <c r="A184" s="2">
        <v>45882</v>
      </c>
      <c r="B184" s="3" t="s">
        <v>414</v>
      </c>
      <c r="C184" s="4" t="s">
        <v>546</v>
      </c>
      <c r="D184" s="5" t="s">
        <v>122</v>
      </c>
      <c r="E184" s="6" t="s">
        <v>420</v>
      </c>
      <c r="F184" s="7" t="s">
        <v>229</v>
      </c>
      <c r="G184" s="8" t="s">
        <v>421</v>
      </c>
      <c r="H184" s="9">
        <v>50213</v>
      </c>
      <c r="I184" s="10" t="s">
        <v>422</v>
      </c>
      <c r="J184" s="11" t="s">
        <v>423</v>
      </c>
      <c r="K184" s="12">
        <v>7</v>
      </c>
      <c r="L184" s="13">
        <v>160</v>
      </c>
      <c r="M184" s="14">
        <f t="shared" ref="M184" si="309">L184*K184</f>
        <v>1120</v>
      </c>
      <c r="N184" s="15"/>
      <c r="O184" s="16" t="s">
        <v>111</v>
      </c>
      <c r="P184" s="17">
        <f>M184/1.12*0.01</f>
        <v>9.9999999999999982</v>
      </c>
      <c r="Q184" s="18">
        <f>M184/1.12*0.12</f>
        <v>119.99999999999999</v>
      </c>
      <c r="R184" s="17">
        <f>M184+P184-Q184</f>
        <v>1010</v>
      </c>
      <c r="S184" s="19"/>
      <c r="T184" s="19"/>
      <c r="U184" s="19"/>
      <c r="V184" s="19"/>
      <c r="W184" s="17"/>
      <c r="X184" s="20"/>
      <c r="Y184" s="19"/>
      <c r="Z184" s="19"/>
      <c r="AA184" s="19"/>
      <c r="AB184" s="19"/>
      <c r="AC184" s="19"/>
      <c r="AD184" s="19"/>
      <c r="AE184" s="5"/>
      <c r="AF184" s="19"/>
      <c r="AG184" s="5"/>
      <c r="AH184" s="17"/>
      <c r="AI184" s="19"/>
      <c r="AJ184" s="19"/>
      <c r="AK184" s="19"/>
      <c r="AL184" s="19"/>
      <c r="AM184" s="17"/>
      <c r="AN184" s="19"/>
      <c r="AO184" s="19"/>
      <c r="AP184" s="19"/>
      <c r="AQ184" s="19"/>
      <c r="AR184" s="19"/>
      <c r="AS184" s="21"/>
      <c r="AT184" s="5"/>
      <c r="AU184" s="19"/>
      <c r="AV184" s="5"/>
      <c r="AW184" s="22"/>
      <c r="AX184" s="19"/>
      <c r="AY184" s="5"/>
      <c r="AZ184" s="19"/>
      <c r="BA184" s="5"/>
      <c r="BB184" s="5"/>
      <c r="BC184" s="19"/>
      <c r="BD184" s="19"/>
      <c r="BE184" s="19"/>
      <c r="BF184" s="19"/>
      <c r="BG184" s="19"/>
      <c r="BH184" s="19"/>
      <c r="BI184" s="19"/>
      <c r="BJ184" s="19"/>
      <c r="BK184" s="13"/>
      <c r="BL184" s="5"/>
      <c r="BM184" s="5"/>
      <c r="BN184" s="19"/>
      <c r="BO184" s="17"/>
      <c r="BP184" s="19"/>
      <c r="BQ184" s="17"/>
      <c r="BR184" s="19"/>
      <c r="BS184" s="13"/>
      <c r="BT184" s="5"/>
      <c r="BU184" s="23"/>
      <c r="BV184" s="23"/>
      <c r="BW184" s="24"/>
      <c r="BX184" s="5"/>
      <c r="BY184" s="5"/>
      <c r="BZ184" s="5"/>
      <c r="CA184" s="24"/>
      <c r="CB184" s="24"/>
      <c r="CC184" s="24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>
        <f t="shared" si="293"/>
        <v>1120</v>
      </c>
      <c r="CV184" s="25">
        <f t="shared" si="294"/>
        <v>0</v>
      </c>
      <c r="CW184" s="26"/>
      <c r="CX184" s="5"/>
      <c r="CY184" s="5"/>
    </row>
    <row r="185" spans="1:103" x14ac:dyDescent="0.2">
      <c r="A185" s="27"/>
      <c r="B185" s="28"/>
      <c r="C185" s="29"/>
      <c r="D185" s="30"/>
      <c r="E185" s="31"/>
      <c r="F185" s="32"/>
      <c r="G185" s="33"/>
      <c r="H185" s="34"/>
      <c r="I185" s="34"/>
      <c r="J185" s="35"/>
      <c r="K185" s="36"/>
      <c r="L185" s="37"/>
      <c r="M185" s="38">
        <f>SUM(M184:M184)</f>
        <v>1120</v>
      </c>
      <c r="N185" s="38"/>
      <c r="O185" s="39" t="s">
        <v>111</v>
      </c>
      <c r="P185" s="38">
        <f>SUM(P184:P184)</f>
        <v>9.9999999999999982</v>
      </c>
      <c r="Q185" s="38">
        <f>SUM(Q184:Q184)</f>
        <v>119.99999999999999</v>
      </c>
      <c r="R185" s="38">
        <f>SUM(R184:R184)</f>
        <v>1010</v>
      </c>
      <c r="S185" s="38">
        <f t="shared" ref="S185:AD185" si="310">SUM(S184:S184)</f>
        <v>0</v>
      </c>
      <c r="T185" s="38">
        <f t="shared" si="310"/>
        <v>0</v>
      </c>
      <c r="U185" s="38">
        <f t="shared" si="310"/>
        <v>0</v>
      </c>
      <c r="V185" s="38">
        <f t="shared" si="310"/>
        <v>0</v>
      </c>
      <c r="W185" s="38">
        <f t="shared" si="310"/>
        <v>0</v>
      </c>
      <c r="X185" s="38">
        <f t="shared" si="310"/>
        <v>0</v>
      </c>
      <c r="Y185" s="38">
        <f t="shared" si="310"/>
        <v>0</v>
      </c>
      <c r="Z185" s="38">
        <f t="shared" si="310"/>
        <v>0</v>
      </c>
      <c r="AA185" s="38">
        <f t="shared" si="310"/>
        <v>0</v>
      </c>
      <c r="AB185" s="38">
        <f t="shared" si="310"/>
        <v>0</v>
      </c>
      <c r="AC185" s="38">
        <f t="shared" si="310"/>
        <v>0</v>
      </c>
      <c r="AD185" s="38">
        <f t="shared" si="310"/>
        <v>0</v>
      </c>
      <c r="AE185" s="30"/>
      <c r="AF185" s="38">
        <f>SUM(AF184:AF184)</f>
        <v>0</v>
      </c>
      <c r="AG185" s="30"/>
      <c r="AH185" s="38">
        <f t="shared" ref="AH185:AZ185" si="311">SUM(AH184:AH184)</f>
        <v>0</v>
      </c>
      <c r="AI185" s="38">
        <f t="shared" si="311"/>
        <v>0</v>
      </c>
      <c r="AJ185" s="38">
        <f t="shared" si="311"/>
        <v>0</v>
      </c>
      <c r="AK185" s="38">
        <f t="shared" si="311"/>
        <v>0</v>
      </c>
      <c r="AL185" s="38">
        <f t="shared" si="311"/>
        <v>0</v>
      </c>
      <c r="AM185" s="38">
        <f t="shared" si="311"/>
        <v>0</v>
      </c>
      <c r="AN185" s="38">
        <f t="shared" si="311"/>
        <v>0</v>
      </c>
      <c r="AO185" s="38">
        <f t="shared" si="311"/>
        <v>0</v>
      </c>
      <c r="AP185" s="38">
        <f t="shared" si="311"/>
        <v>0</v>
      </c>
      <c r="AQ185" s="38">
        <f t="shared" si="311"/>
        <v>0</v>
      </c>
      <c r="AR185" s="38">
        <f t="shared" si="311"/>
        <v>0</v>
      </c>
      <c r="AS185" s="38">
        <f t="shared" si="311"/>
        <v>0</v>
      </c>
      <c r="AT185" s="38">
        <f t="shared" si="311"/>
        <v>0</v>
      </c>
      <c r="AU185" s="38">
        <f t="shared" si="311"/>
        <v>0</v>
      </c>
      <c r="AV185" s="38">
        <f t="shared" si="311"/>
        <v>0</v>
      </c>
      <c r="AW185" s="38">
        <f t="shared" si="311"/>
        <v>0</v>
      </c>
      <c r="AX185" s="38">
        <f t="shared" si="311"/>
        <v>0</v>
      </c>
      <c r="AY185" s="38">
        <f t="shared" si="311"/>
        <v>0</v>
      </c>
      <c r="AZ185" s="38">
        <f t="shared" si="311"/>
        <v>0</v>
      </c>
      <c r="BA185" s="30"/>
      <c r="BB185" s="38">
        <f t="shared" ref="BB185:CT185" si="312">SUM(BB184:BB184)</f>
        <v>0</v>
      </c>
      <c r="BC185" s="38">
        <f t="shared" si="312"/>
        <v>0</v>
      </c>
      <c r="BD185" s="38">
        <f t="shared" si="312"/>
        <v>0</v>
      </c>
      <c r="BE185" s="38">
        <f t="shared" si="312"/>
        <v>0</v>
      </c>
      <c r="BF185" s="38">
        <f t="shared" si="312"/>
        <v>0</v>
      </c>
      <c r="BG185" s="38">
        <f t="shared" si="312"/>
        <v>0</v>
      </c>
      <c r="BH185" s="38">
        <f t="shared" si="312"/>
        <v>0</v>
      </c>
      <c r="BI185" s="38">
        <f t="shared" si="312"/>
        <v>0</v>
      </c>
      <c r="BJ185" s="38">
        <f t="shared" si="312"/>
        <v>0</v>
      </c>
      <c r="BK185" s="38">
        <f t="shared" si="312"/>
        <v>0</v>
      </c>
      <c r="BL185" s="38">
        <f t="shared" si="312"/>
        <v>0</v>
      </c>
      <c r="BM185" s="38">
        <f t="shared" si="312"/>
        <v>0</v>
      </c>
      <c r="BN185" s="38">
        <f t="shared" si="312"/>
        <v>0</v>
      </c>
      <c r="BO185" s="38">
        <f t="shared" si="312"/>
        <v>0</v>
      </c>
      <c r="BP185" s="38">
        <f t="shared" si="312"/>
        <v>0</v>
      </c>
      <c r="BQ185" s="38">
        <f t="shared" si="312"/>
        <v>0</v>
      </c>
      <c r="BR185" s="38">
        <f t="shared" si="312"/>
        <v>0</v>
      </c>
      <c r="BS185" s="38">
        <f t="shared" si="312"/>
        <v>0</v>
      </c>
      <c r="BT185" s="38">
        <f t="shared" si="312"/>
        <v>0</v>
      </c>
      <c r="BU185" s="38">
        <f t="shared" si="312"/>
        <v>0</v>
      </c>
      <c r="BV185" s="38">
        <f t="shared" si="312"/>
        <v>0</v>
      </c>
      <c r="BW185" s="38">
        <f t="shared" si="312"/>
        <v>0</v>
      </c>
      <c r="BX185" s="38">
        <f t="shared" si="312"/>
        <v>0</v>
      </c>
      <c r="BY185" s="38">
        <f t="shared" si="312"/>
        <v>0</v>
      </c>
      <c r="BZ185" s="38">
        <f t="shared" si="312"/>
        <v>0</v>
      </c>
      <c r="CA185" s="38">
        <f t="shared" si="312"/>
        <v>0</v>
      </c>
      <c r="CB185" s="38">
        <f t="shared" si="312"/>
        <v>0</v>
      </c>
      <c r="CC185" s="38">
        <f t="shared" si="312"/>
        <v>0</v>
      </c>
      <c r="CD185" s="38">
        <f t="shared" si="312"/>
        <v>0</v>
      </c>
      <c r="CE185" s="38">
        <f t="shared" si="312"/>
        <v>0</v>
      </c>
      <c r="CF185" s="38">
        <f t="shared" si="312"/>
        <v>0</v>
      </c>
      <c r="CG185" s="38">
        <f t="shared" si="312"/>
        <v>0</v>
      </c>
      <c r="CH185" s="38">
        <f t="shared" si="312"/>
        <v>0</v>
      </c>
      <c r="CI185" s="38">
        <f t="shared" si="312"/>
        <v>0</v>
      </c>
      <c r="CJ185" s="38">
        <f t="shared" si="312"/>
        <v>0</v>
      </c>
      <c r="CK185" s="38">
        <f t="shared" si="312"/>
        <v>0</v>
      </c>
      <c r="CL185" s="38">
        <f t="shared" si="312"/>
        <v>0</v>
      </c>
      <c r="CM185" s="38">
        <f t="shared" si="312"/>
        <v>0</v>
      </c>
      <c r="CN185" s="38">
        <f t="shared" si="312"/>
        <v>0</v>
      </c>
      <c r="CO185" s="38">
        <f t="shared" si="312"/>
        <v>0</v>
      </c>
      <c r="CP185" s="38">
        <f t="shared" si="312"/>
        <v>0</v>
      </c>
      <c r="CQ185" s="38">
        <f t="shared" si="312"/>
        <v>0</v>
      </c>
      <c r="CR185" s="38">
        <f t="shared" si="312"/>
        <v>0</v>
      </c>
      <c r="CS185" s="38">
        <f t="shared" si="312"/>
        <v>0</v>
      </c>
      <c r="CT185" s="38">
        <f t="shared" si="312"/>
        <v>0</v>
      </c>
      <c r="CU185" s="17">
        <f t="shared" si="293"/>
        <v>1120</v>
      </c>
      <c r="CV185" s="25">
        <f t="shared" si="294"/>
        <v>0</v>
      </c>
      <c r="CW185" s="40"/>
      <c r="CX185" s="30"/>
      <c r="CY185" s="30"/>
    </row>
    <row r="186" spans="1:103" x14ac:dyDescent="0.2">
      <c r="A186" s="2">
        <v>45882</v>
      </c>
      <c r="B186" s="3" t="s">
        <v>414</v>
      </c>
      <c r="C186" s="4" t="s">
        <v>547</v>
      </c>
      <c r="D186" s="5" t="s">
        <v>122</v>
      </c>
      <c r="E186" s="6" t="s">
        <v>152</v>
      </c>
      <c r="F186" s="7" t="s">
        <v>229</v>
      </c>
      <c r="G186" s="8" t="s">
        <v>154</v>
      </c>
      <c r="H186" s="9" t="s">
        <v>424</v>
      </c>
      <c r="I186" s="10" t="s">
        <v>425</v>
      </c>
      <c r="J186" s="11" t="s">
        <v>426</v>
      </c>
      <c r="K186" s="12">
        <v>10</v>
      </c>
      <c r="L186" s="13">
        <v>48</v>
      </c>
      <c r="M186" s="14">
        <f t="shared" ref="M186:M195" si="313">L186*K186</f>
        <v>480</v>
      </c>
      <c r="N186" s="15"/>
      <c r="O186" s="16" t="s">
        <v>111</v>
      </c>
      <c r="P186" s="17">
        <f>M186/1.12*0.01</f>
        <v>4.2857142857142856</v>
      </c>
      <c r="Q186" s="18">
        <f>M186/1.12*0.12</f>
        <v>51.428571428571423</v>
      </c>
      <c r="R186" s="17">
        <f>M186+P186-Q186</f>
        <v>432.85714285714283</v>
      </c>
      <c r="S186" s="19"/>
      <c r="T186" s="19"/>
      <c r="U186" s="19"/>
      <c r="V186" s="19"/>
      <c r="W186" s="17"/>
      <c r="X186" s="20"/>
      <c r="Y186" s="19"/>
      <c r="Z186" s="19"/>
      <c r="AA186" s="19"/>
      <c r="AB186" s="19"/>
      <c r="AC186" s="19"/>
      <c r="AD186" s="19"/>
      <c r="AE186" s="5"/>
      <c r="AF186" s="19"/>
      <c r="AG186" s="5"/>
      <c r="AH186" s="17"/>
      <c r="AI186" s="19"/>
      <c r="AJ186" s="19"/>
      <c r="AK186" s="19"/>
      <c r="AL186" s="19"/>
      <c r="AM186" s="17"/>
      <c r="AN186" s="19"/>
      <c r="AO186" s="19"/>
      <c r="AP186" s="19"/>
      <c r="AQ186" s="19"/>
      <c r="AR186" s="19"/>
      <c r="AS186" s="21"/>
      <c r="AT186" s="5"/>
      <c r="AU186" s="19"/>
      <c r="AV186" s="5"/>
      <c r="AW186" s="22"/>
      <c r="AX186" s="19"/>
      <c r="AY186" s="5"/>
      <c r="AZ186" s="19"/>
      <c r="BA186" s="5"/>
      <c r="BB186" s="5"/>
      <c r="BC186" s="19"/>
      <c r="BD186" s="19"/>
      <c r="BE186" s="19"/>
      <c r="BF186" s="19"/>
      <c r="BG186" s="19"/>
      <c r="BH186" s="19"/>
      <c r="BI186" s="19"/>
      <c r="BJ186" s="19"/>
      <c r="BK186" s="13"/>
      <c r="BL186" s="5"/>
      <c r="BM186" s="5"/>
      <c r="BN186" s="19"/>
      <c r="BO186" s="17"/>
      <c r="BP186" s="19"/>
      <c r="BQ186" s="17"/>
      <c r="BR186" s="19"/>
      <c r="BS186" s="13"/>
      <c r="BT186" s="5"/>
      <c r="BU186" s="23"/>
      <c r="BV186" s="23"/>
      <c r="BW186" s="24"/>
      <c r="BX186" s="5"/>
      <c r="BY186" s="5"/>
      <c r="BZ186" s="5"/>
      <c r="CA186" s="24"/>
      <c r="CB186" s="24"/>
      <c r="CC186" s="24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>
        <f t="shared" si="293"/>
        <v>480</v>
      </c>
      <c r="CV186" s="25">
        <f t="shared" si="294"/>
        <v>0</v>
      </c>
      <c r="CW186" s="26"/>
      <c r="CX186" s="5"/>
      <c r="CY186" s="5"/>
    </row>
    <row r="187" spans="1:103" x14ac:dyDescent="0.2">
      <c r="A187" s="2"/>
      <c r="B187" s="3"/>
      <c r="C187" s="4"/>
      <c r="D187" s="5"/>
      <c r="E187" s="6"/>
      <c r="F187" s="7"/>
      <c r="G187" s="8"/>
      <c r="H187" s="9"/>
      <c r="I187" s="10"/>
      <c r="J187" s="11" t="s">
        <v>427</v>
      </c>
      <c r="K187" s="12">
        <v>5</v>
      </c>
      <c r="L187" s="13">
        <v>84.5</v>
      </c>
      <c r="M187" s="14">
        <f t="shared" si="313"/>
        <v>422.5</v>
      </c>
      <c r="N187" s="15"/>
      <c r="O187" s="16" t="s">
        <v>111</v>
      </c>
      <c r="P187" s="17">
        <f t="shared" ref="P187:P195" si="314">M187/1.12*0.01</f>
        <v>3.7723214285714284</v>
      </c>
      <c r="Q187" s="18">
        <f t="shared" ref="Q187:Q194" si="315">M187/1.12*0.12</f>
        <v>45.267857142857139</v>
      </c>
      <c r="R187" s="17">
        <f t="shared" ref="R187:R195" si="316">M187+P187-Q187</f>
        <v>381.00446428571433</v>
      </c>
      <c r="S187" s="19"/>
      <c r="T187" s="19"/>
      <c r="U187" s="19"/>
      <c r="V187" s="19"/>
      <c r="W187" s="17"/>
      <c r="X187" s="20"/>
      <c r="Y187" s="19"/>
      <c r="Z187" s="19"/>
      <c r="AA187" s="19"/>
      <c r="AB187" s="19"/>
      <c r="AC187" s="19"/>
      <c r="AD187" s="19"/>
      <c r="AE187" s="5"/>
      <c r="AF187" s="19"/>
      <c r="AG187" s="5"/>
      <c r="AH187" s="17"/>
      <c r="AI187" s="19"/>
      <c r="AJ187" s="19"/>
      <c r="AK187" s="19"/>
      <c r="AL187" s="19"/>
      <c r="AM187" s="17"/>
      <c r="AN187" s="19"/>
      <c r="AO187" s="19"/>
      <c r="AP187" s="19"/>
      <c r="AQ187" s="19"/>
      <c r="AR187" s="19"/>
      <c r="AS187" s="21"/>
      <c r="AT187" s="5"/>
      <c r="AU187" s="19"/>
      <c r="AV187" s="5"/>
      <c r="AW187" s="22"/>
      <c r="AX187" s="19"/>
      <c r="AY187" s="5"/>
      <c r="AZ187" s="19"/>
      <c r="BA187" s="5"/>
      <c r="BB187" s="5"/>
      <c r="BC187" s="19"/>
      <c r="BD187" s="19"/>
      <c r="BE187" s="19"/>
      <c r="BF187" s="19"/>
      <c r="BG187" s="19"/>
      <c r="BH187" s="19"/>
      <c r="BI187" s="19"/>
      <c r="BJ187" s="19"/>
      <c r="BK187" s="13"/>
      <c r="BL187" s="5"/>
      <c r="BM187" s="5"/>
      <c r="BN187" s="19"/>
      <c r="BO187" s="17"/>
      <c r="BP187" s="19"/>
      <c r="BQ187" s="17"/>
      <c r="BR187" s="19"/>
      <c r="BS187" s="13"/>
      <c r="BT187" s="5"/>
      <c r="BU187" s="23"/>
      <c r="BV187" s="23"/>
      <c r="BW187" s="24"/>
      <c r="BX187" s="5"/>
      <c r="BY187" s="5"/>
      <c r="BZ187" s="5"/>
      <c r="CA187" s="24"/>
      <c r="CB187" s="24"/>
      <c r="CC187" s="24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>
        <f t="shared" si="293"/>
        <v>422.5</v>
      </c>
      <c r="CV187" s="25">
        <f t="shared" si="294"/>
        <v>0</v>
      </c>
      <c r="CW187" s="26"/>
      <c r="CX187" s="5"/>
      <c r="CY187" s="5"/>
    </row>
    <row r="188" spans="1:103" x14ac:dyDescent="0.2">
      <c r="A188" s="2"/>
      <c r="B188" s="3"/>
      <c r="C188" s="4"/>
      <c r="D188" s="5"/>
      <c r="E188" s="6"/>
      <c r="F188" s="7"/>
      <c r="G188" s="8"/>
      <c r="H188" s="9"/>
      <c r="I188" s="10"/>
      <c r="J188" s="11" t="s">
        <v>428</v>
      </c>
      <c r="K188" s="12">
        <v>4</v>
      </c>
      <c r="L188" s="13">
        <v>225</v>
      </c>
      <c r="M188" s="14">
        <f t="shared" si="313"/>
        <v>900</v>
      </c>
      <c r="N188" s="15"/>
      <c r="O188" s="16" t="s">
        <v>111</v>
      </c>
      <c r="P188" s="17">
        <f t="shared" si="314"/>
        <v>8.0357142857142847</v>
      </c>
      <c r="Q188" s="18">
        <f t="shared" si="315"/>
        <v>96.428571428571416</v>
      </c>
      <c r="R188" s="17">
        <f t="shared" si="316"/>
        <v>811.60714285714289</v>
      </c>
      <c r="S188" s="19"/>
      <c r="T188" s="19"/>
      <c r="U188" s="19"/>
      <c r="V188" s="19"/>
      <c r="W188" s="17"/>
      <c r="X188" s="20"/>
      <c r="Y188" s="19"/>
      <c r="Z188" s="19"/>
      <c r="AA188" s="19"/>
      <c r="AB188" s="19"/>
      <c r="AC188" s="19"/>
      <c r="AD188" s="19"/>
      <c r="AE188" s="5"/>
      <c r="AF188" s="19"/>
      <c r="AG188" s="5"/>
      <c r="AH188" s="17"/>
      <c r="AI188" s="19"/>
      <c r="AJ188" s="19"/>
      <c r="AK188" s="19"/>
      <c r="AL188" s="19"/>
      <c r="AM188" s="17"/>
      <c r="AN188" s="19"/>
      <c r="AO188" s="19"/>
      <c r="AP188" s="19"/>
      <c r="AQ188" s="19"/>
      <c r="AR188" s="19"/>
      <c r="AS188" s="21"/>
      <c r="AT188" s="5"/>
      <c r="AU188" s="19"/>
      <c r="AV188" s="5"/>
      <c r="AW188" s="22"/>
      <c r="AX188" s="19"/>
      <c r="AY188" s="5"/>
      <c r="AZ188" s="19"/>
      <c r="BA188" s="5"/>
      <c r="BB188" s="5"/>
      <c r="BC188" s="19"/>
      <c r="BD188" s="19"/>
      <c r="BE188" s="19"/>
      <c r="BF188" s="19"/>
      <c r="BG188" s="19"/>
      <c r="BH188" s="19"/>
      <c r="BI188" s="19"/>
      <c r="BJ188" s="19"/>
      <c r="BK188" s="13"/>
      <c r="BL188" s="5"/>
      <c r="BM188" s="5"/>
      <c r="BN188" s="19"/>
      <c r="BO188" s="17"/>
      <c r="BP188" s="19"/>
      <c r="BQ188" s="17"/>
      <c r="BR188" s="19"/>
      <c r="BS188" s="13"/>
      <c r="BT188" s="5"/>
      <c r="BU188" s="23"/>
      <c r="BV188" s="23"/>
      <c r="BW188" s="24"/>
      <c r="BX188" s="5"/>
      <c r="BY188" s="5"/>
      <c r="BZ188" s="5"/>
      <c r="CA188" s="24"/>
      <c r="CB188" s="24"/>
      <c r="CC188" s="24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>
        <f t="shared" si="293"/>
        <v>900</v>
      </c>
      <c r="CV188" s="25">
        <f t="shared" si="294"/>
        <v>0</v>
      </c>
      <c r="CW188" s="26"/>
      <c r="CX188" s="5"/>
      <c r="CY188" s="5"/>
    </row>
    <row r="189" spans="1:103" x14ac:dyDescent="0.2">
      <c r="A189" s="2"/>
      <c r="B189" s="3"/>
      <c r="C189" s="4"/>
      <c r="D189" s="5"/>
      <c r="E189" s="6"/>
      <c r="F189" s="7"/>
      <c r="G189" s="8"/>
      <c r="H189" s="9"/>
      <c r="I189" s="10"/>
      <c r="J189" s="11" t="s">
        <v>429</v>
      </c>
      <c r="K189" s="12">
        <v>20</v>
      </c>
      <c r="L189" s="13">
        <v>32</v>
      </c>
      <c r="M189" s="14">
        <f t="shared" si="313"/>
        <v>640</v>
      </c>
      <c r="N189" s="15"/>
      <c r="O189" s="16" t="s">
        <v>111</v>
      </c>
      <c r="P189" s="17">
        <f t="shared" si="314"/>
        <v>5.7142857142857135</v>
      </c>
      <c r="Q189" s="18">
        <f t="shared" si="315"/>
        <v>68.571428571428555</v>
      </c>
      <c r="R189" s="17">
        <f t="shared" si="316"/>
        <v>577.14285714285711</v>
      </c>
      <c r="S189" s="19"/>
      <c r="T189" s="19"/>
      <c r="U189" s="19"/>
      <c r="V189" s="19"/>
      <c r="W189" s="17"/>
      <c r="X189" s="20"/>
      <c r="Y189" s="19"/>
      <c r="Z189" s="19"/>
      <c r="AA189" s="19"/>
      <c r="AB189" s="19"/>
      <c r="AC189" s="19"/>
      <c r="AD189" s="19"/>
      <c r="AE189" s="5"/>
      <c r="AF189" s="19"/>
      <c r="AG189" s="5"/>
      <c r="AH189" s="17"/>
      <c r="AI189" s="19"/>
      <c r="AJ189" s="19"/>
      <c r="AK189" s="19"/>
      <c r="AL189" s="19"/>
      <c r="AM189" s="17"/>
      <c r="AN189" s="19"/>
      <c r="AO189" s="19"/>
      <c r="AP189" s="19"/>
      <c r="AQ189" s="19"/>
      <c r="AR189" s="19"/>
      <c r="AS189" s="21"/>
      <c r="AT189" s="5"/>
      <c r="AU189" s="19"/>
      <c r="AV189" s="5"/>
      <c r="AW189" s="22"/>
      <c r="AX189" s="19"/>
      <c r="AY189" s="5"/>
      <c r="AZ189" s="19"/>
      <c r="BA189" s="5"/>
      <c r="BB189" s="5"/>
      <c r="BC189" s="19"/>
      <c r="BD189" s="19"/>
      <c r="BE189" s="19"/>
      <c r="BF189" s="19"/>
      <c r="BG189" s="19"/>
      <c r="BH189" s="19"/>
      <c r="BI189" s="19"/>
      <c r="BJ189" s="19"/>
      <c r="BK189" s="13"/>
      <c r="BL189" s="5"/>
      <c r="BM189" s="5"/>
      <c r="BN189" s="19"/>
      <c r="BO189" s="17"/>
      <c r="BP189" s="19"/>
      <c r="BQ189" s="17"/>
      <c r="BR189" s="19"/>
      <c r="BS189" s="13"/>
      <c r="BT189" s="5"/>
      <c r="BU189" s="23"/>
      <c r="BV189" s="23"/>
      <c r="BW189" s="24"/>
      <c r="BX189" s="5"/>
      <c r="BY189" s="5"/>
      <c r="BZ189" s="5"/>
      <c r="CA189" s="24"/>
      <c r="CB189" s="24"/>
      <c r="CC189" s="24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>
        <f t="shared" si="293"/>
        <v>640</v>
      </c>
      <c r="CV189" s="25">
        <f t="shared" si="294"/>
        <v>0</v>
      </c>
      <c r="CW189" s="26"/>
      <c r="CX189" s="5"/>
      <c r="CY189" s="5"/>
    </row>
    <row r="190" spans="1:103" x14ac:dyDescent="0.2">
      <c r="A190" s="2"/>
      <c r="B190" s="3"/>
      <c r="C190" s="4"/>
      <c r="D190" s="5"/>
      <c r="E190" s="6"/>
      <c r="F190" s="7"/>
      <c r="G190" s="8"/>
      <c r="H190" s="9"/>
      <c r="I190" s="10"/>
      <c r="J190" s="11" t="s">
        <v>430</v>
      </c>
      <c r="K190" s="12">
        <v>2</v>
      </c>
      <c r="L190" s="13">
        <v>71</v>
      </c>
      <c r="M190" s="14">
        <f t="shared" si="313"/>
        <v>142</v>
      </c>
      <c r="N190" s="15"/>
      <c r="O190" s="16" t="s">
        <v>111</v>
      </c>
      <c r="P190" s="17">
        <f t="shared" si="314"/>
        <v>1.2678571428571428</v>
      </c>
      <c r="Q190" s="18">
        <f t="shared" si="315"/>
        <v>15.214285714285714</v>
      </c>
      <c r="R190" s="17">
        <f t="shared" si="316"/>
        <v>128.05357142857142</v>
      </c>
      <c r="S190" s="19"/>
      <c r="T190" s="19"/>
      <c r="U190" s="19"/>
      <c r="V190" s="19"/>
      <c r="W190" s="17"/>
      <c r="X190" s="20"/>
      <c r="Y190" s="19"/>
      <c r="Z190" s="19"/>
      <c r="AA190" s="19"/>
      <c r="AB190" s="19"/>
      <c r="AC190" s="19"/>
      <c r="AD190" s="19"/>
      <c r="AE190" s="5"/>
      <c r="AF190" s="19"/>
      <c r="AG190" s="5"/>
      <c r="AH190" s="17"/>
      <c r="AI190" s="19"/>
      <c r="AJ190" s="19"/>
      <c r="AK190" s="19"/>
      <c r="AL190" s="19"/>
      <c r="AM190" s="17"/>
      <c r="AN190" s="19"/>
      <c r="AO190" s="19"/>
      <c r="AP190" s="19"/>
      <c r="AQ190" s="19"/>
      <c r="AR190" s="19"/>
      <c r="AS190" s="21"/>
      <c r="AT190" s="5"/>
      <c r="AU190" s="19"/>
      <c r="AV190" s="5"/>
      <c r="AW190" s="22"/>
      <c r="AX190" s="19"/>
      <c r="AY190" s="5"/>
      <c r="AZ190" s="19"/>
      <c r="BA190" s="5"/>
      <c r="BB190" s="5"/>
      <c r="BC190" s="19"/>
      <c r="BD190" s="19"/>
      <c r="BE190" s="19"/>
      <c r="BF190" s="19"/>
      <c r="BG190" s="19"/>
      <c r="BH190" s="19"/>
      <c r="BI190" s="19"/>
      <c r="BJ190" s="19"/>
      <c r="BK190" s="13"/>
      <c r="BL190" s="5"/>
      <c r="BM190" s="5"/>
      <c r="BN190" s="19"/>
      <c r="BO190" s="17"/>
      <c r="BP190" s="19"/>
      <c r="BQ190" s="17"/>
      <c r="BR190" s="19"/>
      <c r="BS190" s="13"/>
      <c r="BT190" s="5"/>
      <c r="BU190" s="23"/>
      <c r="BV190" s="23"/>
      <c r="BW190" s="24"/>
      <c r="BX190" s="5"/>
      <c r="BY190" s="5"/>
      <c r="BZ190" s="5"/>
      <c r="CA190" s="24"/>
      <c r="CB190" s="24"/>
      <c r="CC190" s="24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>
        <f t="shared" si="293"/>
        <v>142</v>
      </c>
      <c r="CV190" s="25">
        <f t="shared" si="294"/>
        <v>0</v>
      </c>
      <c r="CW190" s="26"/>
      <c r="CX190" s="5"/>
      <c r="CY190" s="5"/>
    </row>
    <row r="191" spans="1:103" x14ac:dyDescent="0.2">
      <c r="A191" s="2"/>
      <c r="B191" s="3"/>
      <c r="C191" s="4"/>
      <c r="D191" s="5"/>
      <c r="E191" s="6"/>
      <c r="F191" s="7"/>
      <c r="G191" s="8"/>
      <c r="H191" s="9"/>
      <c r="I191" s="10"/>
      <c r="J191" s="11" t="s">
        <v>431</v>
      </c>
      <c r="K191" s="12">
        <v>1</v>
      </c>
      <c r="L191" s="13">
        <v>63.5</v>
      </c>
      <c r="M191" s="14">
        <f t="shared" si="313"/>
        <v>63.5</v>
      </c>
      <c r="N191" s="15"/>
      <c r="O191" s="16" t="s">
        <v>111</v>
      </c>
      <c r="P191" s="17">
        <f t="shared" si="314"/>
        <v>0.5669642857142857</v>
      </c>
      <c r="Q191" s="18">
        <f t="shared" si="315"/>
        <v>6.8035714285714279</v>
      </c>
      <c r="R191" s="17">
        <f t="shared" si="316"/>
        <v>57.263392857142861</v>
      </c>
      <c r="S191" s="19"/>
      <c r="T191" s="19"/>
      <c r="U191" s="19"/>
      <c r="V191" s="19"/>
      <c r="W191" s="17"/>
      <c r="X191" s="20"/>
      <c r="Y191" s="19"/>
      <c r="Z191" s="19"/>
      <c r="AA191" s="19"/>
      <c r="AB191" s="19"/>
      <c r="AC191" s="19"/>
      <c r="AD191" s="19"/>
      <c r="AE191" s="5"/>
      <c r="AF191" s="19"/>
      <c r="AG191" s="5"/>
      <c r="AH191" s="17"/>
      <c r="AI191" s="19"/>
      <c r="AJ191" s="19"/>
      <c r="AK191" s="19"/>
      <c r="AL191" s="19"/>
      <c r="AM191" s="17"/>
      <c r="AN191" s="19"/>
      <c r="AO191" s="19"/>
      <c r="AP191" s="19"/>
      <c r="AQ191" s="19"/>
      <c r="AR191" s="19"/>
      <c r="AS191" s="21"/>
      <c r="AT191" s="5"/>
      <c r="AU191" s="19"/>
      <c r="AV191" s="5"/>
      <c r="AW191" s="22"/>
      <c r="AX191" s="19"/>
      <c r="AY191" s="5"/>
      <c r="AZ191" s="19"/>
      <c r="BA191" s="5"/>
      <c r="BB191" s="5"/>
      <c r="BC191" s="19"/>
      <c r="BD191" s="19"/>
      <c r="BE191" s="19"/>
      <c r="BF191" s="19"/>
      <c r="BG191" s="19"/>
      <c r="BH191" s="19"/>
      <c r="BI191" s="19"/>
      <c r="BJ191" s="19"/>
      <c r="BK191" s="13"/>
      <c r="BL191" s="5"/>
      <c r="BM191" s="5"/>
      <c r="BN191" s="19"/>
      <c r="BO191" s="17"/>
      <c r="BP191" s="19"/>
      <c r="BQ191" s="17"/>
      <c r="BR191" s="19"/>
      <c r="BS191" s="13"/>
      <c r="BT191" s="5"/>
      <c r="BU191" s="23"/>
      <c r="BV191" s="23"/>
      <c r="BW191" s="24"/>
      <c r="BX191" s="5"/>
      <c r="BY191" s="5"/>
      <c r="BZ191" s="5"/>
      <c r="CA191" s="24"/>
      <c r="CB191" s="24"/>
      <c r="CC191" s="24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>
        <f t="shared" si="293"/>
        <v>63.500000000000007</v>
      </c>
      <c r="CV191" s="25">
        <f t="shared" si="294"/>
        <v>0</v>
      </c>
      <c r="CW191" s="26"/>
      <c r="CX191" s="5"/>
      <c r="CY191" s="5"/>
    </row>
    <row r="192" spans="1:103" x14ac:dyDescent="0.2">
      <c r="A192" s="2"/>
      <c r="B192" s="3"/>
      <c r="C192" s="4"/>
      <c r="D192" s="5"/>
      <c r="E192" s="6"/>
      <c r="F192" s="7"/>
      <c r="G192" s="8"/>
      <c r="H192" s="9"/>
      <c r="I192" s="10"/>
      <c r="J192" s="11" t="s">
        <v>432</v>
      </c>
      <c r="K192" s="12">
        <v>30</v>
      </c>
      <c r="L192" s="13">
        <v>53</v>
      </c>
      <c r="M192" s="14">
        <f t="shared" si="313"/>
        <v>1590</v>
      </c>
      <c r="N192" s="15"/>
      <c r="O192" s="16" t="s">
        <v>111</v>
      </c>
      <c r="P192" s="17">
        <f t="shared" si="314"/>
        <v>14.196428571428571</v>
      </c>
      <c r="Q192" s="18">
        <f t="shared" si="315"/>
        <v>170.35714285714283</v>
      </c>
      <c r="R192" s="17">
        <f t="shared" si="316"/>
        <v>1433.8392857142858</v>
      </c>
      <c r="S192" s="19"/>
      <c r="T192" s="19"/>
      <c r="U192" s="19"/>
      <c r="V192" s="19"/>
      <c r="W192" s="17"/>
      <c r="X192" s="20"/>
      <c r="Y192" s="19"/>
      <c r="Z192" s="19"/>
      <c r="AA192" s="19"/>
      <c r="AB192" s="19"/>
      <c r="AC192" s="19"/>
      <c r="AD192" s="19"/>
      <c r="AE192" s="5"/>
      <c r="AF192" s="19"/>
      <c r="AG192" s="5"/>
      <c r="AH192" s="17"/>
      <c r="AI192" s="19"/>
      <c r="AJ192" s="19"/>
      <c r="AK192" s="19"/>
      <c r="AL192" s="19"/>
      <c r="AM192" s="17"/>
      <c r="AN192" s="19"/>
      <c r="AO192" s="19"/>
      <c r="AP192" s="19"/>
      <c r="AQ192" s="19"/>
      <c r="AR192" s="19"/>
      <c r="AS192" s="21"/>
      <c r="AT192" s="5"/>
      <c r="AU192" s="19"/>
      <c r="AV192" s="5"/>
      <c r="AW192" s="22"/>
      <c r="AX192" s="19"/>
      <c r="AY192" s="5"/>
      <c r="AZ192" s="19"/>
      <c r="BA192" s="5"/>
      <c r="BB192" s="5"/>
      <c r="BC192" s="19"/>
      <c r="BD192" s="19"/>
      <c r="BE192" s="19"/>
      <c r="BF192" s="19"/>
      <c r="BG192" s="19"/>
      <c r="BH192" s="19"/>
      <c r="BI192" s="19"/>
      <c r="BJ192" s="19"/>
      <c r="BK192" s="13"/>
      <c r="BL192" s="5"/>
      <c r="BM192" s="5"/>
      <c r="BN192" s="19"/>
      <c r="BO192" s="17"/>
      <c r="BP192" s="19"/>
      <c r="BQ192" s="17"/>
      <c r="BR192" s="19"/>
      <c r="BS192" s="13"/>
      <c r="BT192" s="5"/>
      <c r="BU192" s="23"/>
      <c r="BV192" s="23"/>
      <c r="BW192" s="24"/>
      <c r="BX192" s="5"/>
      <c r="BY192" s="5"/>
      <c r="BZ192" s="5"/>
      <c r="CA192" s="24"/>
      <c r="CB192" s="24"/>
      <c r="CC192" s="24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>
        <f t="shared" si="293"/>
        <v>1590</v>
      </c>
      <c r="CV192" s="25">
        <f t="shared" si="294"/>
        <v>0</v>
      </c>
      <c r="CW192" s="26"/>
      <c r="CX192" s="5"/>
      <c r="CY192" s="5"/>
    </row>
    <row r="193" spans="1:103" x14ac:dyDescent="0.2">
      <c r="A193" s="2"/>
      <c r="B193" s="3"/>
      <c r="C193" s="4"/>
      <c r="D193" s="5"/>
      <c r="E193" s="6"/>
      <c r="F193" s="7"/>
      <c r="G193" s="8"/>
      <c r="H193" s="9"/>
      <c r="I193" s="10"/>
      <c r="J193" s="11" t="s">
        <v>433</v>
      </c>
      <c r="K193" s="12">
        <v>1</v>
      </c>
      <c r="L193" s="13">
        <v>625</v>
      </c>
      <c r="M193" s="14">
        <f t="shared" si="313"/>
        <v>625</v>
      </c>
      <c r="N193" s="15"/>
      <c r="O193" s="16" t="s">
        <v>111</v>
      </c>
      <c r="P193" s="17">
        <f t="shared" si="314"/>
        <v>5.5803571428571423</v>
      </c>
      <c r="Q193" s="18">
        <f t="shared" si="315"/>
        <v>66.964285714285708</v>
      </c>
      <c r="R193" s="17">
        <f t="shared" si="316"/>
        <v>563.61607142857144</v>
      </c>
      <c r="S193" s="19"/>
      <c r="T193" s="19"/>
      <c r="U193" s="19"/>
      <c r="V193" s="19"/>
      <c r="W193" s="17"/>
      <c r="X193" s="20"/>
      <c r="Y193" s="19"/>
      <c r="Z193" s="19"/>
      <c r="AA193" s="19"/>
      <c r="AB193" s="19"/>
      <c r="AC193" s="19"/>
      <c r="AD193" s="19"/>
      <c r="AE193" s="5"/>
      <c r="AF193" s="19"/>
      <c r="AG193" s="5"/>
      <c r="AH193" s="17"/>
      <c r="AI193" s="19"/>
      <c r="AJ193" s="19"/>
      <c r="AK193" s="19"/>
      <c r="AL193" s="19"/>
      <c r="AM193" s="17"/>
      <c r="AN193" s="19"/>
      <c r="AO193" s="19"/>
      <c r="AP193" s="19"/>
      <c r="AQ193" s="19"/>
      <c r="AR193" s="19"/>
      <c r="AS193" s="21"/>
      <c r="AT193" s="5"/>
      <c r="AU193" s="19"/>
      <c r="AV193" s="5"/>
      <c r="AW193" s="22"/>
      <c r="AX193" s="19"/>
      <c r="AY193" s="5"/>
      <c r="AZ193" s="19"/>
      <c r="BA193" s="5"/>
      <c r="BB193" s="5"/>
      <c r="BC193" s="19"/>
      <c r="BD193" s="19"/>
      <c r="BE193" s="19"/>
      <c r="BF193" s="19"/>
      <c r="BG193" s="19"/>
      <c r="BH193" s="19"/>
      <c r="BI193" s="19"/>
      <c r="BJ193" s="19"/>
      <c r="BK193" s="13"/>
      <c r="BL193" s="5"/>
      <c r="BM193" s="5"/>
      <c r="BN193" s="19"/>
      <c r="BO193" s="17"/>
      <c r="BP193" s="19"/>
      <c r="BQ193" s="17"/>
      <c r="BR193" s="19"/>
      <c r="BS193" s="13"/>
      <c r="BT193" s="5"/>
      <c r="BU193" s="23"/>
      <c r="BV193" s="23"/>
      <c r="BW193" s="24"/>
      <c r="BX193" s="5"/>
      <c r="BY193" s="5"/>
      <c r="BZ193" s="5"/>
      <c r="CA193" s="24"/>
      <c r="CB193" s="24"/>
      <c r="CC193" s="24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>
        <f t="shared" si="293"/>
        <v>625</v>
      </c>
      <c r="CV193" s="25">
        <f t="shared" si="294"/>
        <v>0</v>
      </c>
      <c r="CW193" s="26"/>
      <c r="CX193" s="5"/>
      <c r="CY193" s="5"/>
    </row>
    <row r="194" spans="1:103" x14ac:dyDescent="0.2">
      <c r="A194" s="2"/>
      <c r="B194" s="3"/>
      <c r="C194" s="4"/>
      <c r="D194" s="5"/>
      <c r="E194" s="6"/>
      <c r="F194" s="7"/>
      <c r="G194" s="8"/>
      <c r="H194" s="9"/>
      <c r="I194" s="10"/>
      <c r="J194" s="11" t="s">
        <v>434</v>
      </c>
      <c r="K194" s="12">
        <v>2</v>
      </c>
      <c r="L194" s="13">
        <v>287.5</v>
      </c>
      <c r="M194" s="14">
        <f t="shared" si="313"/>
        <v>575</v>
      </c>
      <c r="N194" s="15"/>
      <c r="O194" s="16" t="s">
        <v>111</v>
      </c>
      <c r="P194" s="17">
        <f t="shared" si="314"/>
        <v>5.1339285714285712</v>
      </c>
      <c r="Q194" s="18">
        <f t="shared" si="315"/>
        <v>61.607142857142854</v>
      </c>
      <c r="R194" s="17">
        <f t="shared" si="316"/>
        <v>518.52678571428567</v>
      </c>
      <c r="S194" s="19"/>
      <c r="T194" s="19"/>
      <c r="U194" s="19"/>
      <c r="V194" s="19"/>
      <c r="W194" s="17"/>
      <c r="X194" s="20"/>
      <c r="Y194" s="19"/>
      <c r="Z194" s="19"/>
      <c r="AA194" s="19"/>
      <c r="AB194" s="19"/>
      <c r="AC194" s="19"/>
      <c r="AD194" s="19"/>
      <c r="AE194" s="5"/>
      <c r="AF194" s="19"/>
      <c r="AG194" s="5"/>
      <c r="AH194" s="17"/>
      <c r="AI194" s="19"/>
      <c r="AJ194" s="19"/>
      <c r="AK194" s="19"/>
      <c r="AL194" s="19"/>
      <c r="AM194" s="17"/>
      <c r="AN194" s="19"/>
      <c r="AO194" s="19"/>
      <c r="AP194" s="19"/>
      <c r="AQ194" s="19"/>
      <c r="AR194" s="19"/>
      <c r="AS194" s="21"/>
      <c r="AT194" s="5"/>
      <c r="AU194" s="19"/>
      <c r="AV194" s="5"/>
      <c r="AW194" s="22"/>
      <c r="AX194" s="19"/>
      <c r="AY194" s="5"/>
      <c r="AZ194" s="19"/>
      <c r="BA194" s="5"/>
      <c r="BB194" s="5"/>
      <c r="BC194" s="19"/>
      <c r="BD194" s="19"/>
      <c r="BE194" s="19"/>
      <c r="BF194" s="19"/>
      <c r="BG194" s="19"/>
      <c r="BH194" s="19"/>
      <c r="BI194" s="19"/>
      <c r="BJ194" s="19"/>
      <c r="BK194" s="13"/>
      <c r="BL194" s="5"/>
      <c r="BM194" s="5"/>
      <c r="BN194" s="19"/>
      <c r="BO194" s="17"/>
      <c r="BP194" s="19"/>
      <c r="BQ194" s="17"/>
      <c r="BR194" s="19"/>
      <c r="BS194" s="13"/>
      <c r="BT194" s="5"/>
      <c r="BU194" s="23"/>
      <c r="BV194" s="23"/>
      <c r="BW194" s="24"/>
      <c r="BX194" s="5"/>
      <c r="BY194" s="5"/>
      <c r="BZ194" s="5"/>
      <c r="CA194" s="24"/>
      <c r="CB194" s="24"/>
      <c r="CC194" s="24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>
        <f t="shared" si="293"/>
        <v>575</v>
      </c>
      <c r="CV194" s="25">
        <f t="shared" si="294"/>
        <v>0</v>
      </c>
      <c r="CW194" s="26"/>
      <c r="CX194" s="5"/>
      <c r="CY194" s="5"/>
    </row>
    <row r="195" spans="1:103" x14ac:dyDescent="0.2">
      <c r="A195" s="2"/>
      <c r="B195" s="3"/>
      <c r="C195" s="4"/>
      <c r="D195" s="5"/>
      <c r="E195" s="6"/>
      <c r="F195" s="7"/>
      <c r="G195" s="8"/>
      <c r="H195" s="9"/>
      <c r="I195" s="10"/>
      <c r="J195" s="11" t="s">
        <v>435</v>
      </c>
      <c r="K195" s="12">
        <v>1.05</v>
      </c>
      <c r="L195" s="13">
        <v>296</v>
      </c>
      <c r="M195" s="14">
        <f t="shared" si="313"/>
        <v>310.8</v>
      </c>
      <c r="N195" s="15"/>
      <c r="O195" s="16" t="s">
        <v>111</v>
      </c>
      <c r="P195" s="17">
        <f t="shared" si="314"/>
        <v>2.7749999999999999</v>
      </c>
      <c r="Q195" s="18"/>
      <c r="R195" s="17">
        <f t="shared" si="316"/>
        <v>313.57499999999999</v>
      </c>
      <c r="S195" s="19"/>
      <c r="T195" s="19"/>
      <c r="U195" s="19"/>
      <c r="V195" s="19"/>
      <c r="W195" s="17"/>
      <c r="X195" s="20"/>
      <c r="Y195" s="19"/>
      <c r="Z195" s="19"/>
      <c r="AA195" s="19"/>
      <c r="AB195" s="19"/>
      <c r="AC195" s="19"/>
      <c r="AD195" s="19"/>
      <c r="AE195" s="5"/>
      <c r="AF195" s="19"/>
      <c r="AG195" s="5"/>
      <c r="AH195" s="17"/>
      <c r="AI195" s="19"/>
      <c r="AJ195" s="19"/>
      <c r="AK195" s="19"/>
      <c r="AL195" s="19"/>
      <c r="AM195" s="17"/>
      <c r="AN195" s="19"/>
      <c r="AO195" s="19"/>
      <c r="AP195" s="19"/>
      <c r="AQ195" s="19"/>
      <c r="AR195" s="19"/>
      <c r="AS195" s="21"/>
      <c r="AT195" s="5"/>
      <c r="AU195" s="19"/>
      <c r="AV195" s="5"/>
      <c r="AW195" s="22"/>
      <c r="AX195" s="19"/>
      <c r="AY195" s="5"/>
      <c r="AZ195" s="19"/>
      <c r="BA195" s="5"/>
      <c r="BB195" s="5"/>
      <c r="BC195" s="19"/>
      <c r="BD195" s="19"/>
      <c r="BE195" s="19"/>
      <c r="BF195" s="19"/>
      <c r="BG195" s="19"/>
      <c r="BH195" s="19"/>
      <c r="BI195" s="19"/>
      <c r="BJ195" s="19"/>
      <c r="BK195" s="13"/>
      <c r="BL195" s="5"/>
      <c r="BM195" s="5"/>
      <c r="BN195" s="19"/>
      <c r="BO195" s="17"/>
      <c r="BP195" s="19"/>
      <c r="BQ195" s="17"/>
      <c r="BR195" s="19"/>
      <c r="BS195" s="13"/>
      <c r="BT195" s="5"/>
      <c r="BU195" s="23"/>
      <c r="BV195" s="23"/>
      <c r="BW195" s="24"/>
      <c r="BX195" s="5"/>
      <c r="BY195" s="5"/>
      <c r="BZ195" s="5"/>
      <c r="CA195" s="24"/>
      <c r="CB195" s="24"/>
      <c r="CC195" s="24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>
        <f t="shared" si="293"/>
        <v>310.8</v>
      </c>
      <c r="CV195" s="25">
        <f t="shared" si="294"/>
        <v>0</v>
      </c>
      <c r="CW195" s="26"/>
      <c r="CX195" s="5"/>
      <c r="CY195" s="5"/>
    </row>
    <row r="196" spans="1:103" x14ac:dyDescent="0.2">
      <c r="A196" s="27"/>
      <c r="B196" s="28"/>
      <c r="C196" s="29"/>
      <c r="D196" s="30"/>
      <c r="E196" s="31"/>
      <c r="F196" s="32"/>
      <c r="G196" s="33"/>
      <c r="H196" s="34"/>
      <c r="I196" s="34"/>
      <c r="J196" s="35"/>
      <c r="K196" s="36"/>
      <c r="L196" s="37"/>
      <c r="M196" s="38">
        <f>SUM(M186:M195)</f>
        <v>5748.8</v>
      </c>
      <c r="N196" s="38"/>
      <c r="O196" s="39" t="s">
        <v>111</v>
      </c>
      <c r="P196" s="38">
        <f>SUM(P186:P195)</f>
        <v>51.328571428571429</v>
      </c>
      <c r="Q196" s="38">
        <f>SUM(Q186:Q195)</f>
        <v>582.64285714285711</v>
      </c>
      <c r="R196" s="38">
        <f>SUM(R186:R195)</f>
        <v>5217.4857142857136</v>
      </c>
      <c r="S196" s="38">
        <f t="shared" ref="S196:AD196" si="317">SUM(S186:S186)</f>
        <v>0</v>
      </c>
      <c r="T196" s="38">
        <f t="shared" si="317"/>
        <v>0</v>
      </c>
      <c r="U196" s="38">
        <f t="shared" si="317"/>
        <v>0</v>
      </c>
      <c r="V196" s="38">
        <f t="shared" si="317"/>
        <v>0</v>
      </c>
      <c r="W196" s="38">
        <f t="shared" si="317"/>
        <v>0</v>
      </c>
      <c r="X196" s="38">
        <f t="shared" si="317"/>
        <v>0</v>
      </c>
      <c r="Y196" s="38">
        <f t="shared" si="317"/>
        <v>0</v>
      </c>
      <c r="Z196" s="38">
        <f t="shared" si="317"/>
        <v>0</v>
      </c>
      <c r="AA196" s="38">
        <f t="shared" si="317"/>
        <v>0</v>
      </c>
      <c r="AB196" s="38">
        <f t="shared" si="317"/>
        <v>0</v>
      </c>
      <c r="AC196" s="38">
        <f t="shared" si="317"/>
        <v>0</v>
      </c>
      <c r="AD196" s="38">
        <f t="shared" si="317"/>
        <v>0</v>
      </c>
      <c r="AE196" s="30"/>
      <c r="AF196" s="38">
        <f>SUM(AF186:AF186)</f>
        <v>0</v>
      </c>
      <c r="AG196" s="30"/>
      <c r="AH196" s="38">
        <f t="shared" ref="AH196:AZ196" si="318">SUM(AH186:AH186)</f>
        <v>0</v>
      </c>
      <c r="AI196" s="38">
        <f t="shared" si="318"/>
        <v>0</v>
      </c>
      <c r="AJ196" s="38">
        <f t="shared" si="318"/>
        <v>0</v>
      </c>
      <c r="AK196" s="38">
        <f t="shared" si="318"/>
        <v>0</v>
      </c>
      <c r="AL196" s="38">
        <f t="shared" si="318"/>
        <v>0</v>
      </c>
      <c r="AM196" s="38">
        <f t="shared" si="318"/>
        <v>0</v>
      </c>
      <c r="AN196" s="38">
        <f t="shared" si="318"/>
        <v>0</v>
      </c>
      <c r="AO196" s="38">
        <f t="shared" si="318"/>
        <v>0</v>
      </c>
      <c r="AP196" s="38">
        <f t="shared" si="318"/>
        <v>0</v>
      </c>
      <c r="AQ196" s="38">
        <f t="shared" si="318"/>
        <v>0</v>
      </c>
      <c r="AR196" s="38">
        <f t="shared" si="318"/>
        <v>0</v>
      </c>
      <c r="AS196" s="38">
        <f t="shared" si="318"/>
        <v>0</v>
      </c>
      <c r="AT196" s="38">
        <f t="shared" si="318"/>
        <v>0</v>
      </c>
      <c r="AU196" s="38">
        <f t="shared" si="318"/>
        <v>0</v>
      </c>
      <c r="AV196" s="38">
        <f t="shared" si="318"/>
        <v>0</v>
      </c>
      <c r="AW196" s="38">
        <f t="shared" si="318"/>
        <v>0</v>
      </c>
      <c r="AX196" s="38">
        <f t="shared" si="318"/>
        <v>0</v>
      </c>
      <c r="AY196" s="38">
        <f t="shared" si="318"/>
        <v>0</v>
      </c>
      <c r="AZ196" s="38">
        <f t="shared" si="318"/>
        <v>0</v>
      </c>
      <c r="BA196" s="30"/>
      <c r="BB196" s="38">
        <f t="shared" ref="BB196:CT196" si="319">SUM(BB186:BB186)</f>
        <v>0</v>
      </c>
      <c r="BC196" s="38">
        <f t="shared" si="319"/>
        <v>0</v>
      </c>
      <c r="BD196" s="38">
        <f t="shared" si="319"/>
        <v>0</v>
      </c>
      <c r="BE196" s="38">
        <f t="shared" si="319"/>
        <v>0</v>
      </c>
      <c r="BF196" s="38">
        <f t="shared" si="319"/>
        <v>0</v>
      </c>
      <c r="BG196" s="38">
        <f t="shared" si="319"/>
        <v>0</v>
      </c>
      <c r="BH196" s="38">
        <f t="shared" si="319"/>
        <v>0</v>
      </c>
      <c r="BI196" s="38">
        <f t="shared" si="319"/>
        <v>0</v>
      </c>
      <c r="BJ196" s="38">
        <f t="shared" si="319"/>
        <v>0</v>
      </c>
      <c r="BK196" s="38">
        <f t="shared" si="319"/>
        <v>0</v>
      </c>
      <c r="BL196" s="38">
        <f t="shared" si="319"/>
        <v>0</v>
      </c>
      <c r="BM196" s="38">
        <f t="shared" si="319"/>
        <v>0</v>
      </c>
      <c r="BN196" s="38">
        <f t="shared" si="319"/>
        <v>0</v>
      </c>
      <c r="BO196" s="38">
        <f t="shared" si="319"/>
        <v>0</v>
      </c>
      <c r="BP196" s="38">
        <f t="shared" si="319"/>
        <v>0</v>
      </c>
      <c r="BQ196" s="38">
        <f t="shared" si="319"/>
        <v>0</v>
      </c>
      <c r="BR196" s="38">
        <f t="shared" si="319"/>
        <v>0</v>
      </c>
      <c r="BS196" s="38">
        <f t="shared" si="319"/>
        <v>0</v>
      </c>
      <c r="BT196" s="38">
        <f t="shared" si="319"/>
        <v>0</v>
      </c>
      <c r="BU196" s="38">
        <f t="shared" si="319"/>
        <v>0</v>
      </c>
      <c r="BV196" s="38">
        <f t="shared" si="319"/>
        <v>0</v>
      </c>
      <c r="BW196" s="38">
        <f t="shared" si="319"/>
        <v>0</v>
      </c>
      <c r="BX196" s="38">
        <f t="shared" si="319"/>
        <v>0</v>
      </c>
      <c r="BY196" s="38">
        <f t="shared" si="319"/>
        <v>0</v>
      </c>
      <c r="BZ196" s="38">
        <f t="shared" si="319"/>
        <v>0</v>
      </c>
      <c r="CA196" s="38">
        <f t="shared" si="319"/>
        <v>0</v>
      </c>
      <c r="CB196" s="38">
        <f t="shared" si="319"/>
        <v>0</v>
      </c>
      <c r="CC196" s="38">
        <f t="shared" si="319"/>
        <v>0</v>
      </c>
      <c r="CD196" s="38">
        <f t="shared" si="319"/>
        <v>0</v>
      </c>
      <c r="CE196" s="38">
        <f t="shared" si="319"/>
        <v>0</v>
      </c>
      <c r="CF196" s="38">
        <f t="shared" si="319"/>
        <v>0</v>
      </c>
      <c r="CG196" s="38">
        <f t="shared" si="319"/>
        <v>0</v>
      </c>
      <c r="CH196" s="38">
        <f t="shared" si="319"/>
        <v>0</v>
      </c>
      <c r="CI196" s="38">
        <f t="shared" si="319"/>
        <v>0</v>
      </c>
      <c r="CJ196" s="38">
        <f t="shared" si="319"/>
        <v>0</v>
      </c>
      <c r="CK196" s="38">
        <f t="shared" si="319"/>
        <v>0</v>
      </c>
      <c r="CL196" s="38">
        <f t="shared" si="319"/>
        <v>0</v>
      </c>
      <c r="CM196" s="38">
        <f t="shared" si="319"/>
        <v>0</v>
      </c>
      <c r="CN196" s="38">
        <f t="shared" si="319"/>
        <v>0</v>
      </c>
      <c r="CO196" s="38">
        <f t="shared" si="319"/>
        <v>0</v>
      </c>
      <c r="CP196" s="38">
        <f t="shared" si="319"/>
        <v>0</v>
      </c>
      <c r="CQ196" s="38">
        <f t="shared" si="319"/>
        <v>0</v>
      </c>
      <c r="CR196" s="38">
        <f t="shared" si="319"/>
        <v>0</v>
      </c>
      <c r="CS196" s="38">
        <f t="shared" si="319"/>
        <v>0</v>
      </c>
      <c r="CT196" s="38">
        <f t="shared" si="319"/>
        <v>0</v>
      </c>
      <c r="CU196" s="17">
        <f t="shared" si="293"/>
        <v>5748.7999999999993</v>
      </c>
      <c r="CV196" s="25">
        <f t="shared" si="294"/>
        <v>0</v>
      </c>
      <c r="CW196" s="40"/>
      <c r="CX196" s="30"/>
      <c r="CY196" s="30"/>
    </row>
    <row r="197" spans="1:103" x14ac:dyDescent="0.2">
      <c r="A197" s="2">
        <v>45882</v>
      </c>
      <c r="B197" s="3" t="s">
        <v>414</v>
      </c>
      <c r="C197" s="4" t="s">
        <v>548</v>
      </c>
      <c r="D197" s="5" t="s">
        <v>122</v>
      </c>
      <c r="E197" s="6" t="s">
        <v>436</v>
      </c>
      <c r="F197" s="7"/>
      <c r="G197" s="8"/>
      <c r="H197" s="9"/>
      <c r="I197" s="10"/>
      <c r="J197" s="11" t="s">
        <v>437</v>
      </c>
      <c r="K197" s="12">
        <v>1</v>
      </c>
      <c r="L197" s="13">
        <v>140</v>
      </c>
      <c r="M197" s="14">
        <f t="shared" ref="M197" si="320">L197*K197</f>
        <v>140</v>
      </c>
      <c r="N197" s="15"/>
      <c r="O197" s="16" t="s">
        <v>137</v>
      </c>
      <c r="P197" s="17"/>
      <c r="Q197" s="18"/>
      <c r="R197" s="17">
        <f>M197+P197-Q197</f>
        <v>140</v>
      </c>
      <c r="S197" s="19"/>
      <c r="T197" s="19"/>
      <c r="U197" s="19"/>
      <c r="V197" s="19"/>
      <c r="W197" s="17"/>
      <c r="X197" s="20"/>
      <c r="Y197" s="19"/>
      <c r="Z197" s="19"/>
      <c r="AA197" s="19"/>
      <c r="AB197" s="19"/>
      <c r="AC197" s="19"/>
      <c r="AD197" s="19"/>
      <c r="AE197" s="5"/>
      <c r="AF197" s="19"/>
      <c r="AG197" s="5"/>
      <c r="AH197" s="17"/>
      <c r="AI197" s="19"/>
      <c r="AJ197" s="19"/>
      <c r="AK197" s="19"/>
      <c r="AL197" s="19"/>
      <c r="AM197" s="17"/>
      <c r="AN197" s="19"/>
      <c r="AO197" s="19"/>
      <c r="AP197" s="19"/>
      <c r="AQ197" s="19"/>
      <c r="AR197" s="19"/>
      <c r="AS197" s="21"/>
      <c r="AT197" s="5"/>
      <c r="AU197" s="19"/>
      <c r="AV197" s="5"/>
      <c r="AW197" s="22"/>
      <c r="AX197" s="19"/>
      <c r="AY197" s="5"/>
      <c r="AZ197" s="19"/>
      <c r="BA197" s="5"/>
      <c r="BB197" s="5"/>
      <c r="BC197" s="19"/>
      <c r="BD197" s="19"/>
      <c r="BE197" s="19"/>
      <c r="BF197" s="19"/>
      <c r="BG197" s="19"/>
      <c r="BH197" s="19"/>
      <c r="BI197" s="19"/>
      <c r="BJ197" s="19"/>
      <c r="BK197" s="13"/>
      <c r="BL197" s="5"/>
      <c r="BM197" s="5"/>
      <c r="BN197" s="19"/>
      <c r="BO197" s="17"/>
      <c r="BP197" s="19"/>
      <c r="BQ197" s="17"/>
      <c r="BR197" s="19"/>
      <c r="BS197" s="13"/>
      <c r="BT197" s="5"/>
      <c r="BU197" s="23"/>
      <c r="BV197" s="23"/>
      <c r="BW197" s="24"/>
      <c r="BX197" s="5"/>
      <c r="BY197" s="5"/>
      <c r="BZ197" s="5"/>
      <c r="CA197" s="24"/>
      <c r="CB197" s="24"/>
      <c r="CC197" s="24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>
        <f t="shared" si="293"/>
        <v>140</v>
      </c>
      <c r="CV197" s="25">
        <f t="shared" si="294"/>
        <v>0</v>
      </c>
      <c r="CW197" s="26"/>
      <c r="CX197" s="5"/>
      <c r="CY197" s="5"/>
    </row>
    <row r="198" spans="1:103" x14ac:dyDescent="0.2">
      <c r="A198" s="2"/>
      <c r="B198" s="3"/>
      <c r="C198" s="4"/>
      <c r="D198" s="5"/>
      <c r="E198" s="6"/>
      <c r="F198" s="7"/>
      <c r="G198" s="8"/>
      <c r="H198" s="9"/>
      <c r="I198" s="10"/>
      <c r="J198" s="11" t="s">
        <v>437</v>
      </c>
      <c r="K198" s="12">
        <v>6</v>
      </c>
      <c r="L198" s="13">
        <v>11.6666666666666</v>
      </c>
      <c r="M198" s="14">
        <f>L198*K198</f>
        <v>69.999999999999602</v>
      </c>
      <c r="N198" s="15"/>
      <c r="O198" s="16" t="s">
        <v>137</v>
      </c>
      <c r="P198" s="17"/>
      <c r="Q198" s="18"/>
      <c r="R198" s="17">
        <f t="shared" ref="R198" si="321">M198+P198-Q198</f>
        <v>69.999999999999602</v>
      </c>
      <c r="S198" s="19"/>
      <c r="T198" s="19"/>
      <c r="U198" s="19"/>
      <c r="V198" s="19"/>
      <c r="W198" s="17"/>
      <c r="X198" s="20"/>
      <c r="Y198" s="19"/>
      <c r="Z198" s="19"/>
      <c r="AA198" s="19"/>
      <c r="AB198" s="19"/>
      <c r="AC198" s="19"/>
      <c r="AD198" s="19"/>
      <c r="AE198" s="5"/>
      <c r="AF198" s="19"/>
      <c r="AG198" s="5"/>
      <c r="AH198" s="17"/>
      <c r="AI198" s="19"/>
      <c r="AJ198" s="19"/>
      <c r="AK198" s="19"/>
      <c r="AL198" s="19"/>
      <c r="AM198" s="17"/>
      <c r="AN198" s="19"/>
      <c r="AO198" s="19"/>
      <c r="AP198" s="19"/>
      <c r="AQ198" s="19"/>
      <c r="AR198" s="19"/>
      <c r="AS198" s="21"/>
      <c r="AT198" s="5"/>
      <c r="AU198" s="19"/>
      <c r="AV198" s="5"/>
      <c r="AW198" s="22"/>
      <c r="AX198" s="19"/>
      <c r="AY198" s="5"/>
      <c r="AZ198" s="19"/>
      <c r="BA198" s="5"/>
      <c r="BB198" s="5"/>
      <c r="BC198" s="19"/>
      <c r="BD198" s="19"/>
      <c r="BE198" s="19"/>
      <c r="BF198" s="19"/>
      <c r="BG198" s="19"/>
      <c r="BH198" s="19"/>
      <c r="BI198" s="19"/>
      <c r="BJ198" s="19"/>
      <c r="BK198" s="13"/>
      <c r="BL198" s="5"/>
      <c r="BM198" s="5"/>
      <c r="BN198" s="19"/>
      <c r="BO198" s="17"/>
      <c r="BP198" s="19"/>
      <c r="BQ198" s="17"/>
      <c r="BR198" s="19"/>
      <c r="BS198" s="13"/>
      <c r="BT198" s="5"/>
      <c r="BU198" s="23"/>
      <c r="BV198" s="23"/>
      <c r="BW198" s="24"/>
      <c r="BX198" s="5"/>
      <c r="BY198" s="5"/>
      <c r="BZ198" s="5"/>
      <c r="CA198" s="24"/>
      <c r="CB198" s="24"/>
      <c r="CC198" s="24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>
        <f t="shared" si="293"/>
        <v>69.999999999999602</v>
      </c>
      <c r="CV198" s="25">
        <f t="shared" si="294"/>
        <v>0</v>
      </c>
      <c r="CW198" s="26"/>
      <c r="CX198" s="5"/>
      <c r="CY198" s="5"/>
    </row>
    <row r="199" spans="1:103" x14ac:dyDescent="0.2">
      <c r="A199" s="161"/>
      <c r="B199" s="162"/>
      <c r="C199" s="163"/>
      <c r="D199" s="164"/>
      <c r="E199" s="165"/>
      <c r="F199" s="166"/>
      <c r="G199" s="167"/>
      <c r="H199" s="168"/>
      <c r="I199" s="168"/>
      <c r="J199" s="169"/>
      <c r="K199" s="170"/>
      <c r="L199" s="171"/>
      <c r="M199" s="172">
        <f>SUM(M197:M198)</f>
        <v>209.9999999999996</v>
      </c>
      <c r="N199" s="172">
        <f>M199+M196+M185+M183</f>
        <v>8402.75</v>
      </c>
      <c r="O199" s="173" t="s">
        <v>137</v>
      </c>
      <c r="P199" s="172">
        <f>SUM(P197:P198)</f>
        <v>0</v>
      </c>
      <c r="Q199" s="172">
        <f>SUM(Q197:Q198)</f>
        <v>0</v>
      </c>
      <c r="R199" s="172">
        <f>SUM(R197:R198)</f>
        <v>209.9999999999996</v>
      </c>
      <c r="S199" s="172">
        <f t="shared" ref="S199:AD199" si="322">SUM(S197:S197)</f>
        <v>0</v>
      </c>
      <c r="T199" s="172">
        <f t="shared" si="322"/>
        <v>0</v>
      </c>
      <c r="U199" s="172">
        <f t="shared" si="322"/>
        <v>0</v>
      </c>
      <c r="V199" s="172">
        <f t="shared" si="322"/>
        <v>0</v>
      </c>
      <c r="W199" s="172">
        <f t="shared" si="322"/>
        <v>0</v>
      </c>
      <c r="X199" s="172">
        <f t="shared" si="322"/>
        <v>0</v>
      </c>
      <c r="Y199" s="172">
        <f t="shared" si="322"/>
        <v>0</v>
      </c>
      <c r="Z199" s="172">
        <f t="shared" si="322"/>
        <v>0</v>
      </c>
      <c r="AA199" s="172">
        <f t="shared" si="322"/>
        <v>0</v>
      </c>
      <c r="AB199" s="172">
        <f t="shared" si="322"/>
        <v>0</v>
      </c>
      <c r="AC199" s="172">
        <f t="shared" si="322"/>
        <v>0</v>
      </c>
      <c r="AD199" s="172">
        <f t="shared" si="322"/>
        <v>0</v>
      </c>
      <c r="AE199" s="164"/>
      <c r="AF199" s="172">
        <f>SUM(AF197:AF197)</f>
        <v>0</v>
      </c>
      <c r="AG199" s="164"/>
      <c r="AH199" s="172">
        <f t="shared" ref="AH199:AZ199" si="323">SUM(AH197:AH197)</f>
        <v>0</v>
      </c>
      <c r="AI199" s="172">
        <f t="shared" si="323"/>
        <v>0</v>
      </c>
      <c r="AJ199" s="172">
        <f t="shared" si="323"/>
        <v>0</v>
      </c>
      <c r="AK199" s="172">
        <f t="shared" si="323"/>
        <v>0</v>
      </c>
      <c r="AL199" s="172">
        <f t="shared" si="323"/>
        <v>0</v>
      </c>
      <c r="AM199" s="172">
        <f t="shared" si="323"/>
        <v>0</v>
      </c>
      <c r="AN199" s="172">
        <f t="shared" si="323"/>
        <v>0</v>
      </c>
      <c r="AO199" s="172">
        <f t="shared" si="323"/>
        <v>0</v>
      </c>
      <c r="AP199" s="172">
        <f t="shared" si="323"/>
        <v>0</v>
      </c>
      <c r="AQ199" s="172">
        <f t="shared" si="323"/>
        <v>0</v>
      </c>
      <c r="AR199" s="172">
        <f t="shared" si="323"/>
        <v>0</v>
      </c>
      <c r="AS199" s="172">
        <f t="shared" si="323"/>
        <v>0</v>
      </c>
      <c r="AT199" s="172">
        <f t="shared" si="323"/>
        <v>0</v>
      </c>
      <c r="AU199" s="172">
        <f t="shared" si="323"/>
        <v>0</v>
      </c>
      <c r="AV199" s="172">
        <f t="shared" si="323"/>
        <v>0</v>
      </c>
      <c r="AW199" s="172">
        <f t="shared" si="323"/>
        <v>0</v>
      </c>
      <c r="AX199" s="172">
        <f t="shared" si="323"/>
        <v>0</v>
      </c>
      <c r="AY199" s="172">
        <f t="shared" si="323"/>
        <v>0</v>
      </c>
      <c r="AZ199" s="172">
        <f t="shared" si="323"/>
        <v>0</v>
      </c>
      <c r="BA199" s="164"/>
      <c r="BB199" s="172">
        <f t="shared" ref="BB199:CT199" si="324">SUM(BB197:BB197)</f>
        <v>0</v>
      </c>
      <c r="BC199" s="172">
        <f t="shared" si="324"/>
        <v>0</v>
      </c>
      <c r="BD199" s="172">
        <f t="shared" si="324"/>
        <v>0</v>
      </c>
      <c r="BE199" s="172">
        <f t="shared" si="324"/>
        <v>0</v>
      </c>
      <c r="BF199" s="172">
        <f t="shared" si="324"/>
        <v>0</v>
      </c>
      <c r="BG199" s="172">
        <f t="shared" si="324"/>
        <v>0</v>
      </c>
      <c r="BH199" s="172">
        <f t="shared" si="324"/>
        <v>0</v>
      </c>
      <c r="BI199" s="172">
        <f t="shared" si="324"/>
        <v>0</v>
      </c>
      <c r="BJ199" s="172">
        <f t="shared" si="324"/>
        <v>0</v>
      </c>
      <c r="BK199" s="172">
        <f t="shared" si="324"/>
        <v>0</v>
      </c>
      <c r="BL199" s="172">
        <f t="shared" si="324"/>
        <v>0</v>
      </c>
      <c r="BM199" s="172">
        <f t="shared" si="324"/>
        <v>0</v>
      </c>
      <c r="BN199" s="172">
        <f t="shared" si="324"/>
        <v>0</v>
      </c>
      <c r="BO199" s="172">
        <f t="shared" si="324"/>
        <v>0</v>
      </c>
      <c r="BP199" s="172">
        <f t="shared" si="324"/>
        <v>0</v>
      </c>
      <c r="BQ199" s="172">
        <f t="shared" si="324"/>
        <v>0</v>
      </c>
      <c r="BR199" s="172">
        <f t="shared" si="324"/>
        <v>0</v>
      </c>
      <c r="BS199" s="172">
        <f t="shared" si="324"/>
        <v>0</v>
      </c>
      <c r="BT199" s="172">
        <f t="shared" si="324"/>
        <v>0</v>
      </c>
      <c r="BU199" s="172">
        <f t="shared" si="324"/>
        <v>0</v>
      </c>
      <c r="BV199" s="172">
        <f t="shared" si="324"/>
        <v>0</v>
      </c>
      <c r="BW199" s="172">
        <f t="shared" si="324"/>
        <v>0</v>
      </c>
      <c r="BX199" s="172">
        <f t="shared" si="324"/>
        <v>0</v>
      </c>
      <c r="BY199" s="172">
        <f t="shared" si="324"/>
        <v>0</v>
      </c>
      <c r="BZ199" s="172">
        <f t="shared" si="324"/>
        <v>0</v>
      </c>
      <c r="CA199" s="172">
        <f t="shared" si="324"/>
        <v>0</v>
      </c>
      <c r="CB199" s="172">
        <f t="shared" si="324"/>
        <v>0</v>
      </c>
      <c r="CC199" s="172">
        <f t="shared" si="324"/>
        <v>0</v>
      </c>
      <c r="CD199" s="172">
        <f t="shared" si="324"/>
        <v>0</v>
      </c>
      <c r="CE199" s="172">
        <f t="shared" si="324"/>
        <v>0</v>
      </c>
      <c r="CF199" s="172">
        <f t="shared" si="324"/>
        <v>0</v>
      </c>
      <c r="CG199" s="172">
        <f t="shared" si="324"/>
        <v>0</v>
      </c>
      <c r="CH199" s="172">
        <f t="shared" si="324"/>
        <v>0</v>
      </c>
      <c r="CI199" s="172">
        <f t="shared" si="324"/>
        <v>0</v>
      </c>
      <c r="CJ199" s="172">
        <f t="shared" si="324"/>
        <v>0</v>
      </c>
      <c r="CK199" s="172">
        <f t="shared" si="324"/>
        <v>0</v>
      </c>
      <c r="CL199" s="172">
        <f t="shared" si="324"/>
        <v>0</v>
      </c>
      <c r="CM199" s="172">
        <f t="shared" si="324"/>
        <v>0</v>
      </c>
      <c r="CN199" s="172">
        <f t="shared" si="324"/>
        <v>0</v>
      </c>
      <c r="CO199" s="172">
        <f t="shared" si="324"/>
        <v>0</v>
      </c>
      <c r="CP199" s="172">
        <f t="shared" si="324"/>
        <v>0</v>
      </c>
      <c r="CQ199" s="172">
        <f t="shared" si="324"/>
        <v>0</v>
      </c>
      <c r="CR199" s="172">
        <f t="shared" si="324"/>
        <v>0</v>
      </c>
      <c r="CS199" s="172">
        <f t="shared" si="324"/>
        <v>0</v>
      </c>
      <c r="CT199" s="172">
        <f t="shared" si="324"/>
        <v>0</v>
      </c>
      <c r="CU199" s="17">
        <f t="shared" si="293"/>
        <v>209.9999999999996</v>
      </c>
      <c r="CV199" s="25">
        <f t="shared" si="294"/>
        <v>0</v>
      </c>
      <c r="CW199" s="176"/>
      <c r="CX199" s="164"/>
      <c r="CY199" s="164"/>
    </row>
    <row r="200" spans="1:103" x14ac:dyDescent="0.2">
      <c r="A200" s="2">
        <v>45882</v>
      </c>
      <c r="B200" s="3" t="s">
        <v>438</v>
      </c>
      <c r="C200" s="4" t="s">
        <v>549</v>
      </c>
      <c r="D200" s="5" t="s">
        <v>133</v>
      </c>
      <c r="E200" s="6" t="s">
        <v>439</v>
      </c>
      <c r="F200" s="7" t="s">
        <v>229</v>
      </c>
      <c r="G200" s="8" t="s">
        <v>440</v>
      </c>
      <c r="H200" s="9">
        <v>140737</v>
      </c>
      <c r="I200" s="10" t="s">
        <v>441</v>
      </c>
      <c r="J200" s="11" t="s">
        <v>442</v>
      </c>
      <c r="K200" s="12">
        <v>8</v>
      </c>
      <c r="L200" s="13">
        <v>43</v>
      </c>
      <c r="M200" s="14">
        <f t="shared" ref="M200:M203" si="325">L200*K200</f>
        <v>344</v>
      </c>
      <c r="N200" s="15"/>
      <c r="O200" s="16" t="s">
        <v>111</v>
      </c>
      <c r="P200" s="17">
        <f>M200/1.12*0.01</f>
        <v>3.0714285714285712</v>
      </c>
      <c r="Q200" s="18">
        <f>M200/1.12*0.12</f>
        <v>36.857142857142854</v>
      </c>
      <c r="R200" s="5"/>
      <c r="S200" s="19"/>
      <c r="T200" s="19"/>
      <c r="U200" s="19"/>
      <c r="V200" s="19"/>
      <c r="W200" s="17">
        <f>M200+P200-Q200</f>
        <v>310.21428571428572</v>
      </c>
      <c r="X200" s="20"/>
      <c r="Y200" s="19"/>
      <c r="Z200" s="19"/>
      <c r="AA200" s="19"/>
      <c r="AB200" s="19"/>
      <c r="AC200" s="19"/>
      <c r="AD200" s="19"/>
      <c r="AE200" s="5"/>
      <c r="AF200" s="19"/>
      <c r="AG200" s="5"/>
      <c r="AH200" s="17"/>
      <c r="AI200" s="19"/>
      <c r="AJ200" s="19"/>
      <c r="AK200" s="19"/>
      <c r="AL200" s="19"/>
      <c r="AM200" s="17"/>
      <c r="AN200" s="19"/>
      <c r="AO200" s="19"/>
      <c r="AP200" s="19"/>
      <c r="AQ200" s="19"/>
      <c r="AR200" s="19"/>
      <c r="AS200" s="21"/>
      <c r="AT200" s="5"/>
      <c r="AU200" s="19"/>
      <c r="AV200" s="5"/>
      <c r="AW200" s="22"/>
      <c r="AX200" s="19"/>
      <c r="AY200" s="5"/>
      <c r="AZ200" s="19"/>
      <c r="BA200" s="5"/>
      <c r="BB200" s="5"/>
      <c r="BC200" s="19"/>
      <c r="BD200" s="19"/>
      <c r="BE200" s="19"/>
      <c r="BF200" s="19"/>
      <c r="BG200" s="19"/>
      <c r="BH200" s="19"/>
      <c r="BI200" s="19"/>
      <c r="BJ200" s="19"/>
      <c r="BK200" s="13"/>
      <c r="BL200" s="5"/>
      <c r="BM200" s="5"/>
      <c r="BN200" s="19"/>
      <c r="BO200" s="17"/>
      <c r="BP200" s="19"/>
      <c r="BQ200" s="17"/>
      <c r="BR200" s="19"/>
      <c r="BS200" s="13"/>
      <c r="BT200" s="5"/>
      <c r="BU200" s="23"/>
      <c r="BV200" s="23"/>
      <c r="BW200" s="24"/>
      <c r="BX200" s="5"/>
      <c r="BY200" s="5"/>
      <c r="BZ200" s="5"/>
      <c r="CA200" s="24"/>
      <c r="CB200" s="24"/>
      <c r="CC200" s="24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>
        <f t="shared" si="293"/>
        <v>344</v>
      </c>
      <c r="CV200" s="25">
        <f t="shared" si="294"/>
        <v>0</v>
      </c>
      <c r="CW200" s="26"/>
      <c r="CX200" s="5"/>
      <c r="CY200" s="5"/>
    </row>
    <row r="201" spans="1:103" x14ac:dyDescent="0.2">
      <c r="A201" s="2"/>
      <c r="B201" s="3"/>
      <c r="C201" s="4"/>
      <c r="D201" s="5"/>
      <c r="E201" s="6"/>
      <c r="F201" s="7"/>
      <c r="G201" s="8"/>
      <c r="H201" s="9"/>
      <c r="I201" s="10"/>
      <c r="J201" s="11" t="s">
        <v>443</v>
      </c>
      <c r="K201" s="12">
        <v>1</v>
      </c>
      <c r="L201" s="13">
        <v>363</v>
      </c>
      <c r="M201" s="14">
        <f t="shared" si="325"/>
        <v>363</v>
      </c>
      <c r="N201" s="15"/>
      <c r="O201" s="16" t="s">
        <v>111</v>
      </c>
      <c r="P201" s="17">
        <f t="shared" ref="P201:P203" si="326">M201/1.12*0.01</f>
        <v>3.2410714285714284</v>
      </c>
      <c r="Q201" s="18">
        <f t="shared" ref="Q201:Q203" si="327">M201/1.12*0.12</f>
        <v>38.892857142857139</v>
      </c>
      <c r="R201" s="5"/>
      <c r="S201" s="19"/>
      <c r="T201" s="19"/>
      <c r="U201" s="19"/>
      <c r="V201" s="19"/>
      <c r="W201" s="17">
        <f>M201+P201-Q201</f>
        <v>327.34821428571433</v>
      </c>
      <c r="X201" s="20"/>
      <c r="Y201" s="19"/>
      <c r="Z201" s="19"/>
      <c r="AA201" s="19"/>
      <c r="AB201" s="19"/>
      <c r="AC201" s="19"/>
      <c r="AD201" s="19"/>
      <c r="AE201" s="5"/>
      <c r="AF201" s="19"/>
      <c r="AG201" s="5"/>
      <c r="AH201" s="17"/>
      <c r="AI201" s="19"/>
      <c r="AJ201" s="19"/>
      <c r="AK201" s="19"/>
      <c r="AL201" s="19"/>
      <c r="AM201" s="17"/>
      <c r="AN201" s="19"/>
      <c r="AO201" s="19"/>
      <c r="AP201" s="19"/>
      <c r="AQ201" s="19"/>
      <c r="AR201" s="19"/>
      <c r="AS201" s="21"/>
      <c r="AT201" s="5"/>
      <c r="AU201" s="19"/>
      <c r="AV201" s="5"/>
      <c r="AW201" s="22"/>
      <c r="AX201" s="19"/>
      <c r="AY201" s="5"/>
      <c r="AZ201" s="19"/>
      <c r="BA201" s="5"/>
      <c r="BB201" s="5"/>
      <c r="BC201" s="19"/>
      <c r="BD201" s="19"/>
      <c r="BE201" s="19"/>
      <c r="BF201" s="19"/>
      <c r="BG201" s="19"/>
      <c r="BH201" s="19"/>
      <c r="BI201" s="19"/>
      <c r="BJ201" s="19"/>
      <c r="BK201" s="13"/>
      <c r="BL201" s="5"/>
      <c r="BM201" s="5"/>
      <c r="BN201" s="19"/>
      <c r="BO201" s="17"/>
      <c r="BP201" s="19"/>
      <c r="BQ201" s="17"/>
      <c r="BR201" s="19"/>
      <c r="BS201" s="13"/>
      <c r="BT201" s="5"/>
      <c r="BU201" s="23"/>
      <c r="BV201" s="23"/>
      <c r="BW201" s="24"/>
      <c r="BX201" s="5"/>
      <c r="BY201" s="5"/>
      <c r="BZ201" s="5"/>
      <c r="CA201" s="24"/>
      <c r="CB201" s="24"/>
      <c r="CC201" s="24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>
        <f t="shared" si="293"/>
        <v>363</v>
      </c>
      <c r="CV201" s="25">
        <f t="shared" si="294"/>
        <v>0</v>
      </c>
      <c r="CW201" s="26"/>
      <c r="CX201" s="5"/>
      <c r="CY201" s="5"/>
    </row>
    <row r="202" spans="1:103" x14ac:dyDescent="0.2">
      <c r="A202" s="2"/>
      <c r="B202" s="3"/>
      <c r="C202" s="4"/>
      <c r="D202" s="5"/>
      <c r="E202" s="6"/>
      <c r="F202" s="7"/>
      <c r="G202" s="8"/>
      <c r="H202" s="9"/>
      <c r="I202" s="10"/>
      <c r="J202" s="11" t="s">
        <v>444</v>
      </c>
      <c r="K202" s="12">
        <v>8</v>
      </c>
      <c r="L202" s="13">
        <v>104</v>
      </c>
      <c r="M202" s="14">
        <f t="shared" si="325"/>
        <v>832</v>
      </c>
      <c r="N202" s="15"/>
      <c r="O202" s="16" t="s">
        <v>111</v>
      </c>
      <c r="P202" s="17">
        <f t="shared" si="326"/>
        <v>7.4285714285714279</v>
      </c>
      <c r="Q202" s="18">
        <f t="shared" si="327"/>
        <v>89.142857142857125</v>
      </c>
      <c r="R202" s="5"/>
      <c r="S202" s="19"/>
      <c r="T202" s="19"/>
      <c r="U202" s="19"/>
      <c r="V202" s="19"/>
      <c r="W202" s="17">
        <f>M202+P202-Q202</f>
        <v>750.28571428571433</v>
      </c>
      <c r="X202" s="20"/>
      <c r="Y202" s="19"/>
      <c r="Z202" s="19"/>
      <c r="AA202" s="19"/>
      <c r="AB202" s="19"/>
      <c r="AC202" s="19"/>
      <c r="AD202" s="19"/>
      <c r="AE202" s="5"/>
      <c r="AF202" s="19"/>
      <c r="AG202" s="5"/>
      <c r="AH202" s="17"/>
      <c r="AI202" s="19"/>
      <c r="AJ202" s="19"/>
      <c r="AK202" s="19"/>
      <c r="AL202" s="19"/>
      <c r="AM202" s="17"/>
      <c r="AN202" s="19"/>
      <c r="AO202" s="19"/>
      <c r="AP202" s="19"/>
      <c r="AQ202" s="19"/>
      <c r="AR202" s="19"/>
      <c r="AS202" s="21"/>
      <c r="AT202" s="5"/>
      <c r="AU202" s="19"/>
      <c r="AV202" s="5"/>
      <c r="AW202" s="22"/>
      <c r="AX202" s="19"/>
      <c r="AY202" s="5"/>
      <c r="AZ202" s="19"/>
      <c r="BA202" s="5"/>
      <c r="BB202" s="5"/>
      <c r="BC202" s="19"/>
      <c r="BD202" s="19"/>
      <c r="BE202" s="19"/>
      <c r="BF202" s="19"/>
      <c r="BG202" s="19"/>
      <c r="BH202" s="19"/>
      <c r="BI202" s="19"/>
      <c r="BJ202" s="19"/>
      <c r="BK202" s="13"/>
      <c r="BL202" s="5"/>
      <c r="BM202" s="5"/>
      <c r="BN202" s="19"/>
      <c r="BO202" s="17"/>
      <c r="BP202" s="19"/>
      <c r="BQ202" s="17"/>
      <c r="BR202" s="19"/>
      <c r="BS202" s="13"/>
      <c r="BT202" s="5"/>
      <c r="BU202" s="23"/>
      <c r="BV202" s="23"/>
      <c r="BW202" s="24"/>
      <c r="BX202" s="5"/>
      <c r="BY202" s="5"/>
      <c r="BZ202" s="5"/>
      <c r="CA202" s="24"/>
      <c r="CB202" s="24"/>
      <c r="CC202" s="24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>
        <f t="shared" si="293"/>
        <v>832</v>
      </c>
      <c r="CV202" s="25">
        <f t="shared" si="294"/>
        <v>0</v>
      </c>
      <c r="CW202" s="26"/>
      <c r="CX202" s="5"/>
      <c r="CY202" s="5"/>
    </row>
    <row r="203" spans="1:103" x14ac:dyDescent="0.2">
      <c r="A203" s="2"/>
      <c r="B203" s="3"/>
      <c r="C203" s="4"/>
      <c r="D203" s="5"/>
      <c r="E203" s="6"/>
      <c r="F203" s="7"/>
      <c r="G203" s="8"/>
      <c r="H203" s="9"/>
      <c r="I203" s="10"/>
      <c r="J203" s="11" t="s">
        <v>445</v>
      </c>
      <c r="K203" s="12">
        <v>2</v>
      </c>
      <c r="L203" s="13">
        <v>392</v>
      </c>
      <c r="M203" s="14">
        <f t="shared" si="325"/>
        <v>784</v>
      </c>
      <c r="N203" s="15"/>
      <c r="O203" s="16" t="s">
        <v>111</v>
      </c>
      <c r="P203" s="17">
        <f t="shared" si="326"/>
        <v>6.9999999999999991</v>
      </c>
      <c r="Q203" s="18">
        <f t="shared" si="327"/>
        <v>83.999999999999986</v>
      </c>
      <c r="R203" s="5"/>
      <c r="S203" s="19"/>
      <c r="T203" s="19"/>
      <c r="U203" s="19"/>
      <c r="V203" s="19"/>
      <c r="W203" s="17">
        <f>M203+P203-Q203</f>
        <v>707</v>
      </c>
      <c r="X203" s="20"/>
      <c r="Y203" s="19"/>
      <c r="Z203" s="19"/>
      <c r="AA203" s="19"/>
      <c r="AB203" s="19"/>
      <c r="AC203" s="19"/>
      <c r="AD203" s="19"/>
      <c r="AE203" s="5"/>
      <c r="AF203" s="19"/>
      <c r="AG203" s="5"/>
      <c r="AH203" s="17"/>
      <c r="AI203" s="19"/>
      <c r="AJ203" s="19"/>
      <c r="AK203" s="19"/>
      <c r="AL203" s="19"/>
      <c r="AM203" s="17"/>
      <c r="AN203" s="19"/>
      <c r="AO203" s="19"/>
      <c r="AP203" s="19"/>
      <c r="AQ203" s="19"/>
      <c r="AR203" s="19"/>
      <c r="AS203" s="21"/>
      <c r="AT203" s="5"/>
      <c r="AU203" s="19"/>
      <c r="AV203" s="5"/>
      <c r="AW203" s="22"/>
      <c r="AX203" s="19"/>
      <c r="AY203" s="5"/>
      <c r="AZ203" s="19"/>
      <c r="BA203" s="5"/>
      <c r="BB203" s="5"/>
      <c r="BC203" s="19"/>
      <c r="BD203" s="19"/>
      <c r="BE203" s="19"/>
      <c r="BF203" s="19"/>
      <c r="BG203" s="19"/>
      <c r="BH203" s="19"/>
      <c r="BI203" s="19"/>
      <c r="BJ203" s="19"/>
      <c r="BK203" s="13"/>
      <c r="BL203" s="5"/>
      <c r="BM203" s="5"/>
      <c r="BN203" s="19"/>
      <c r="BO203" s="17"/>
      <c r="BP203" s="19"/>
      <c r="BQ203" s="17"/>
      <c r="BR203" s="19"/>
      <c r="BS203" s="13"/>
      <c r="BT203" s="5"/>
      <c r="BU203" s="23"/>
      <c r="BV203" s="23"/>
      <c r="BW203" s="24"/>
      <c r="BX203" s="5"/>
      <c r="BY203" s="5"/>
      <c r="BZ203" s="5"/>
      <c r="CA203" s="24"/>
      <c r="CB203" s="24"/>
      <c r="CC203" s="24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>
        <f t="shared" si="293"/>
        <v>784</v>
      </c>
      <c r="CV203" s="25">
        <f t="shared" si="294"/>
        <v>0</v>
      </c>
      <c r="CW203" s="26"/>
      <c r="CX203" s="5"/>
      <c r="CY203" s="5"/>
    </row>
    <row r="204" spans="1:103" x14ac:dyDescent="0.2">
      <c r="A204" s="27"/>
      <c r="B204" s="28"/>
      <c r="C204" s="29"/>
      <c r="D204" s="30"/>
      <c r="E204" s="31"/>
      <c r="F204" s="32"/>
      <c r="G204" s="33"/>
      <c r="H204" s="34"/>
      <c r="I204" s="34"/>
      <c r="J204" s="35"/>
      <c r="K204" s="36"/>
      <c r="L204" s="37"/>
      <c r="M204" s="38">
        <f>SUM(M200:M203)</f>
        <v>2323</v>
      </c>
      <c r="N204" s="38"/>
      <c r="O204" s="39" t="s">
        <v>111</v>
      </c>
      <c r="P204" s="38">
        <f>SUM(P200:P203)</f>
        <v>20.741071428571427</v>
      </c>
      <c r="Q204" s="38">
        <f>SUM(Q200:Q203)</f>
        <v>248.89285714285711</v>
      </c>
      <c r="R204" s="30"/>
      <c r="S204" s="38">
        <f t="shared" ref="S204:AD204" si="328">SUM(S200:S200)</f>
        <v>0</v>
      </c>
      <c r="T204" s="38">
        <f t="shared" si="328"/>
        <v>0</v>
      </c>
      <c r="U204" s="38">
        <f t="shared" si="328"/>
        <v>0</v>
      </c>
      <c r="V204" s="38">
        <f t="shared" si="328"/>
        <v>0</v>
      </c>
      <c r="W204" s="38">
        <f>SUM(W200:W203)</f>
        <v>2094.8482142857142</v>
      </c>
      <c r="X204" s="38">
        <f t="shared" si="328"/>
        <v>0</v>
      </c>
      <c r="Y204" s="38">
        <f t="shared" si="328"/>
        <v>0</v>
      </c>
      <c r="Z204" s="38">
        <f t="shared" si="328"/>
        <v>0</v>
      </c>
      <c r="AA204" s="38">
        <f t="shared" si="328"/>
        <v>0</v>
      </c>
      <c r="AB204" s="38">
        <f t="shared" si="328"/>
        <v>0</v>
      </c>
      <c r="AC204" s="38">
        <f t="shared" si="328"/>
        <v>0</v>
      </c>
      <c r="AD204" s="38">
        <f t="shared" si="328"/>
        <v>0</v>
      </c>
      <c r="AE204" s="30"/>
      <c r="AF204" s="38">
        <f>SUM(AF200:AF200)</f>
        <v>0</v>
      </c>
      <c r="AG204" s="30"/>
      <c r="AH204" s="38">
        <f t="shared" ref="AH204:AZ204" si="329">SUM(AH200:AH200)</f>
        <v>0</v>
      </c>
      <c r="AI204" s="38">
        <f t="shared" si="329"/>
        <v>0</v>
      </c>
      <c r="AJ204" s="38">
        <f t="shared" si="329"/>
        <v>0</v>
      </c>
      <c r="AK204" s="38">
        <f t="shared" si="329"/>
        <v>0</v>
      </c>
      <c r="AL204" s="38">
        <f t="shared" si="329"/>
        <v>0</v>
      </c>
      <c r="AM204" s="38">
        <f t="shared" si="329"/>
        <v>0</v>
      </c>
      <c r="AN204" s="38">
        <f t="shared" si="329"/>
        <v>0</v>
      </c>
      <c r="AO204" s="38">
        <f t="shared" si="329"/>
        <v>0</v>
      </c>
      <c r="AP204" s="38">
        <f t="shared" si="329"/>
        <v>0</v>
      </c>
      <c r="AQ204" s="38">
        <f t="shared" si="329"/>
        <v>0</v>
      </c>
      <c r="AR204" s="38">
        <f t="shared" si="329"/>
        <v>0</v>
      </c>
      <c r="AS204" s="38">
        <f t="shared" si="329"/>
        <v>0</v>
      </c>
      <c r="AT204" s="38">
        <f t="shared" si="329"/>
        <v>0</v>
      </c>
      <c r="AU204" s="38">
        <f t="shared" si="329"/>
        <v>0</v>
      </c>
      <c r="AV204" s="38">
        <f t="shared" si="329"/>
        <v>0</v>
      </c>
      <c r="AW204" s="38">
        <f t="shared" si="329"/>
        <v>0</v>
      </c>
      <c r="AX204" s="38">
        <f t="shared" si="329"/>
        <v>0</v>
      </c>
      <c r="AY204" s="38">
        <f t="shared" si="329"/>
        <v>0</v>
      </c>
      <c r="AZ204" s="38">
        <f t="shared" si="329"/>
        <v>0</v>
      </c>
      <c r="BA204" s="30"/>
      <c r="BB204" s="38">
        <f t="shared" ref="BB204:CT204" si="330">SUM(BB200:BB200)</f>
        <v>0</v>
      </c>
      <c r="BC204" s="38">
        <f t="shared" si="330"/>
        <v>0</v>
      </c>
      <c r="BD204" s="38">
        <f t="shared" si="330"/>
        <v>0</v>
      </c>
      <c r="BE204" s="38">
        <f t="shared" si="330"/>
        <v>0</v>
      </c>
      <c r="BF204" s="38">
        <f t="shared" si="330"/>
        <v>0</v>
      </c>
      <c r="BG204" s="38">
        <f t="shared" si="330"/>
        <v>0</v>
      </c>
      <c r="BH204" s="38">
        <f t="shared" si="330"/>
        <v>0</v>
      </c>
      <c r="BI204" s="38">
        <f t="shared" si="330"/>
        <v>0</v>
      </c>
      <c r="BJ204" s="38">
        <f t="shared" si="330"/>
        <v>0</v>
      </c>
      <c r="BK204" s="38">
        <f t="shared" si="330"/>
        <v>0</v>
      </c>
      <c r="BL204" s="38">
        <f t="shared" si="330"/>
        <v>0</v>
      </c>
      <c r="BM204" s="38">
        <f t="shared" si="330"/>
        <v>0</v>
      </c>
      <c r="BN204" s="38">
        <f t="shared" si="330"/>
        <v>0</v>
      </c>
      <c r="BO204" s="38">
        <f t="shared" si="330"/>
        <v>0</v>
      </c>
      <c r="BP204" s="38">
        <f t="shared" si="330"/>
        <v>0</v>
      </c>
      <c r="BQ204" s="38">
        <f t="shared" si="330"/>
        <v>0</v>
      </c>
      <c r="BR204" s="38">
        <f t="shared" si="330"/>
        <v>0</v>
      </c>
      <c r="BS204" s="38">
        <f t="shared" si="330"/>
        <v>0</v>
      </c>
      <c r="BT204" s="38">
        <f t="shared" si="330"/>
        <v>0</v>
      </c>
      <c r="BU204" s="38">
        <f t="shared" si="330"/>
        <v>0</v>
      </c>
      <c r="BV204" s="38">
        <f t="shared" si="330"/>
        <v>0</v>
      </c>
      <c r="BW204" s="38">
        <f t="shared" si="330"/>
        <v>0</v>
      </c>
      <c r="BX204" s="38">
        <f t="shared" si="330"/>
        <v>0</v>
      </c>
      <c r="BY204" s="38">
        <f t="shared" si="330"/>
        <v>0</v>
      </c>
      <c r="BZ204" s="38">
        <f t="shared" si="330"/>
        <v>0</v>
      </c>
      <c r="CA204" s="38">
        <f t="shared" si="330"/>
        <v>0</v>
      </c>
      <c r="CB204" s="38">
        <f t="shared" si="330"/>
        <v>0</v>
      </c>
      <c r="CC204" s="38">
        <f t="shared" si="330"/>
        <v>0</v>
      </c>
      <c r="CD204" s="38">
        <f t="shared" si="330"/>
        <v>0</v>
      </c>
      <c r="CE204" s="38">
        <f t="shared" si="330"/>
        <v>0</v>
      </c>
      <c r="CF204" s="38">
        <f t="shared" si="330"/>
        <v>0</v>
      </c>
      <c r="CG204" s="38">
        <f t="shared" si="330"/>
        <v>0</v>
      </c>
      <c r="CH204" s="38">
        <f t="shared" si="330"/>
        <v>0</v>
      </c>
      <c r="CI204" s="38">
        <f t="shared" si="330"/>
        <v>0</v>
      </c>
      <c r="CJ204" s="38">
        <f t="shared" si="330"/>
        <v>0</v>
      </c>
      <c r="CK204" s="38">
        <f t="shared" si="330"/>
        <v>0</v>
      </c>
      <c r="CL204" s="38">
        <f t="shared" si="330"/>
        <v>0</v>
      </c>
      <c r="CM204" s="38">
        <f t="shared" si="330"/>
        <v>0</v>
      </c>
      <c r="CN204" s="38">
        <f t="shared" si="330"/>
        <v>0</v>
      </c>
      <c r="CO204" s="38">
        <f t="shared" si="330"/>
        <v>0</v>
      </c>
      <c r="CP204" s="38">
        <f t="shared" si="330"/>
        <v>0</v>
      </c>
      <c r="CQ204" s="38">
        <f t="shared" si="330"/>
        <v>0</v>
      </c>
      <c r="CR204" s="38">
        <f t="shared" si="330"/>
        <v>0</v>
      </c>
      <c r="CS204" s="38">
        <f t="shared" si="330"/>
        <v>0</v>
      </c>
      <c r="CT204" s="38">
        <f t="shared" si="330"/>
        <v>0</v>
      </c>
      <c r="CU204" s="17">
        <f t="shared" si="293"/>
        <v>2323</v>
      </c>
      <c r="CV204" s="25">
        <f t="shared" si="294"/>
        <v>0</v>
      </c>
      <c r="CW204" s="40"/>
      <c r="CX204" s="30"/>
      <c r="CY204" s="30"/>
    </row>
    <row r="205" spans="1:103" x14ac:dyDescent="0.2">
      <c r="A205" s="2">
        <v>45882</v>
      </c>
      <c r="B205" s="3" t="s">
        <v>438</v>
      </c>
      <c r="C205" s="4" t="s">
        <v>550</v>
      </c>
      <c r="D205" s="5" t="s">
        <v>133</v>
      </c>
      <c r="E205" s="6" t="s">
        <v>446</v>
      </c>
      <c r="F205" s="7"/>
      <c r="G205" s="8"/>
      <c r="H205" s="9"/>
      <c r="I205" s="10"/>
      <c r="J205" s="11" t="s">
        <v>447</v>
      </c>
      <c r="K205" s="12">
        <v>3</v>
      </c>
      <c r="L205" s="13">
        <v>137</v>
      </c>
      <c r="M205" s="14">
        <f t="shared" ref="M205:M206" si="331">L205*K205</f>
        <v>411</v>
      </c>
      <c r="N205" s="15"/>
      <c r="O205" s="16" t="s">
        <v>137</v>
      </c>
      <c r="P205" s="17"/>
      <c r="Q205" s="18"/>
      <c r="R205" s="17">
        <f>M205+P205-Q205</f>
        <v>411</v>
      </c>
      <c r="S205" s="19"/>
      <c r="T205" s="19"/>
      <c r="U205" s="19"/>
      <c r="V205" s="19"/>
      <c r="W205" s="17"/>
      <c r="X205" s="20"/>
      <c r="Y205" s="19"/>
      <c r="Z205" s="19"/>
      <c r="AA205" s="19"/>
      <c r="AB205" s="19"/>
      <c r="AC205" s="19"/>
      <c r="AD205" s="19"/>
      <c r="AE205" s="5"/>
      <c r="AF205" s="19"/>
      <c r="AG205" s="5"/>
      <c r="AH205" s="17"/>
      <c r="AI205" s="19"/>
      <c r="AJ205" s="19"/>
      <c r="AK205" s="19"/>
      <c r="AL205" s="19"/>
      <c r="AM205" s="17"/>
      <c r="AN205" s="19"/>
      <c r="AO205" s="19"/>
      <c r="AP205" s="19"/>
      <c r="AQ205" s="19"/>
      <c r="AR205" s="19"/>
      <c r="AS205" s="21"/>
      <c r="AT205" s="5"/>
      <c r="AU205" s="19"/>
      <c r="AV205" s="5"/>
      <c r="AW205" s="22"/>
      <c r="AX205" s="19"/>
      <c r="AY205" s="5"/>
      <c r="AZ205" s="19"/>
      <c r="BA205" s="5"/>
      <c r="BB205" s="5"/>
      <c r="BC205" s="19"/>
      <c r="BD205" s="19"/>
      <c r="BE205" s="19"/>
      <c r="BF205" s="19"/>
      <c r="BG205" s="19"/>
      <c r="BH205" s="19"/>
      <c r="BI205" s="19"/>
      <c r="BJ205" s="19"/>
      <c r="BK205" s="13"/>
      <c r="BL205" s="5"/>
      <c r="BM205" s="5"/>
      <c r="BN205" s="19"/>
      <c r="BO205" s="17"/>
      <c r="BP205" s="19"/>
      <c r="BQ205" s="17"/>
      <c r="BR205" s="19"/>
      <c r="BS205" s="13"/>
      <c r="BT205" s="5"/>
      <c r="BU205" s="23"/>
      <c r="BV205" s="23"/>
      <c r="BW205" s="24"/>
      <c r="BX205" s="5"/>
      <c r="BY205" s="5"/>
      <c r="BZ205" s="5"/>
      <c r="CA205" s="24"/>
      <c r="CB205" s="24"/>
      <c r="CC205" s="24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>
        <f t="shared" si="293"/>
        <v>411</v>
      </c>
      <c r="CV205" s="25">
        <f t="shared" si="294"/>
        <v>0</v>
      </c>
      <c r="CW205" s="26"/>
      <c r="CX205" s="5"/>
      <c r="CY205" s="5"/>
    </row>
    <row r="206" spans="1:103" x14ac:dyDescent="0.2">
      <c r="A206" s="2"/>
      <c r="B206" s="3"/>
      <c r="C206" s="4"/>
      <c r="D206" s="5"/>
      <c r="E206" s="6"/>
      <c r="F206" s="7"/>
      <c r="G206" s="8"/>
      <c r="H206" s="9"/>
      <c r="I206" s="10"/>
      <c r="J206" s="11" t="s">
        <v>448</v>
      </c>
      <c r="K206" s="12">
        <v>2</v>
      </c>
      <c r="L206" s="13">
        <v>15</v>
      </c>
      <c r="M206" s="14">
        <f t="shared" si="331"/>
        <v>30</v>
      </c>
      <c r="N206" s="15"/>
      <c r="O206" s="16" t="s">
        <v>137</v>
      </c>
      <c r="P206" s="17"/>
      <c r="Q206" s="18"/>
      <c r="R206" s="17">
        <f t="shared" ref="R206" si="332">M206+P206-Q206</f>
        <v>30</v>
      </c>
      <c r="S206" s="19"/>
      <c r="T206" s="19"/>
      <c r="U206" s="19"/>
      <c r="V206" s="19"/>
      <c r="W206" s="17"/>
      <c r="X206" s="20"/>
      <c r="Y206" s="19"/>
      <c r="Z206" s="19"/>
      <c r="AA206" s="19"/>
      <c r="AB206" s="19"/>
      <c r="AC206" s="19"/>
      <c r="AD206" s="19"/>
      <c r="AE206" s="5"/>
      <c r="AF206" s="19"/>
      <c r="AG206" s="5"/>
      <c r="AH206" s="17"/>
      <c r="AI206" s="19"/>
      <c r="AJ206" s="19"/>
      <c r="AK206" s="19"/>
      <c r="AL206" s="19"/>
      <c r="AM206" s="17"/>
      <c r="AN206" s="19"/>
      <c r="AO206" s="19"/>
      <c r="AP206" s="19"/>
      <c r="AQ206" s="19"/>
      <c r="AR206" s="19"/>
      <c r="AS206" s="21"/>
      <c r="AT206" s="5"/>
      <c r="AU206" s="19"/>
      <c r="AV206" s="5"/>
      <c r="AW206" s="22"/>
      <c r="AX206" s="19"/>
      <c r="AY206" s="5"/>
      <c r="AZ206" s="19"/>
      <c r="BA206" s="5"/>
      <c r="BB206" s="5"/>
      <c r="BC206" s="19"/>
      <c r="BD206" s="19"/>
      <c r="BE206" s="19"/>
      <c r="BF206" s="19"/>
      <c r="BG206" s="19"/>
      <c r="BH206" s="19"/>
      <c r="BI206" s="19"/>
      <c r="BJ206" s="19"/>
      <c r="BK206" s="13"/>
      <c r="BL206" s="5"/>
      <c r="BM206" s="5"/>
      <c r="BN206" s="19"/>
      <c r="BO206" s="17"/>
      <c r="BP206" s="19"/>
      <c r="BQ206" s="17"/>
      <c r="BR206" s="19"/>
      <c r="BS206" s="13"/>
      <c r="BT206" s="5"/>
      <c r="BU206" s="23"/>
      <c r="BV206" s="23"/>
      <c r="BW206" s="24"/>
      <c r="BX206" s="5"/>
      <c r="BY206" s="5"/>
      <c r="BZ206" s="5"/>
      <c r="CA206" s="24"/>
      <c r="CB206" s="24"/>
      <c r="CC206" s="24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>
        <f t="shared" si="293"/>
        <v>30</v>
      </c>
      <c r="CV206" s="25">
        <f t="shared" si="294"/>
        <v>0</v>
      </c>
      <c r="CW206" s="26"/>
      <c r="CX206" s="5"/>
      <c r="CY206" s="5"/>
    </row>
    <row r="207" spans="1:103" x14ac:dyDescent="0.2">
      <c r="A207" s="27"/>
      <c r="B207" s="28"/>
      <c r="C207" s="29"/>
      <c r="D207" s="30"/>
      <c r="E207" s="31"/>
      <c r="F207" s="32"/>
      <c r="G207" s="33"/>
      <c r="H207" s="34"/>
      <c r="I207" s="34"/>
      <c r="J207" s="35"/>
      <c r="K207" s="36"/>
      <c r="L207" s="37"/>
      <c r="M207" s="38">
        <f>SUM(M205:M206)</f>
        <v>441</v>
      </c>
      <c r="N207" s="38"/>
      <c r="O207" s="39" t="s">
        <v>137</v>
      </c>
      <c r="P207" s="38"/>
      <c r="Q207" s="38"/>
      <c r="R207" s="38">
        <f>SUM(R205:R206)</f>
        <v>441</v>
      </c>
      <c r="S207" s="38">
        <f t="shared" ref="S207:AD207" si="333">SUM(S205:S205)</f>
        <v>0</v>
      </c>
      <c r="T207" s="38">
        <f t="shared" si="333"/>
        <v>0</v>
      </c>
      <c r="U207" s="38">
        <f t="shared" si="333"/>
        <v>0</v>
      </c>
      <c r="V207" s="38">
        <f t="shared" si="333"/>
        <v>0</v>
      </c>
      <c r="W207" s="38">
        <f t="shared" si="333"/>
        <v>0</v>
      </c>
      <c r="X207" s="38">
        <f t="shared" si="333"/>
        <v>0</v>
      </c>
      <c r="Y207" s="38">
        <f t="shared" si="333"/>
        <v>0</v>
      </c>
      <c r="Z207" s="38">
        <f t="shared" si="333"/>
        <v>0</v>
      </c>
      <c r="AA207" s="38">
        <f t="shared" si="333"/>
        <v>0</v>
      </c>
      <c r="AB207" s="38">
        <f t="shared" si="333"/>
        <v>0</v>
      </c>
      <c r="AC207" s="38">
        <f t="shared" si="333"/>
        <v>0</v>
      </c>
      <c r="AD207" s="38">
        <f t="shared" si="333"/>
        <v>0</v>
      </c>
      <c r="AE207" s="30"/>
      <c r="AF207" s="38">
        <f>SUM(AF205:AF205)</f>
        <v>0</v>
      </c>
      <c r="AG207" s="30"/>
      <c r="AH207" s="38">
        <f t="shared" ref="AH207:AZ207" si="334">SUM(AH205:AH205)</f>
        <v>0</v>
      </c>
      <c r="AI207" s="38">
        <f t="shared" si="334"/>
        <v>0</v>
      </c>
      <c r="AJ207" s="38">
        <f t="shared" si="334"/>
        <v>0</v>
      </c>
      <c r="AK207" s="38">
        <f t="shared" si="334"/>
        <v>0</v>
      </c>
      <c r="AL207" s="38">
        <f t="shared" si="334"/>
        <v>0</v>
      </c>
      <c r="AM207" s="38">
        <f t="shared" si="334"/>
        <v>0</v>
      </c>
      <c r="AN207" s="38">
        <f t="shared" si="334"/>
        <v>0</v>
      </c>
      <c r="AO207" s="38">
        <f t="shared" si="334"/>
        <v>0</v>
      </c>
      <c r="AP207" s="38">
        <f t="shared" si="334"/>
        <v>0</v>
      </c>
      <c r="AQ207" s="38">
        <f t="shared" si="334"/>
        <v>0</v>
      </c>
      <c r="AR207" s="38">
        <f t="shared" si="334"/>
        <v>0</v>
      </c>
      <c r="AS207" s="38">
        <f t="shared" si="334"/>
        <v>0</v>
      </c>
      <c r="AT207" s="38">
        <f t="shared" si="334"/>
        <v>0</v>
      </c>
      <c r="AU207" s="38">
        <f t="shared" si="334"/>
        <v>0</v>
      </c>
      <c r="AV207" s="38">
        <f t="shared" si="334"/>
        <v>0</v>
      </c>
      <c r="AW207" s="38">
        <f t="shared" si="334"/>
        <v>0</v>
      </c>
      <c r="AX207" s="38">
        <f t="shared" si="334"/>
        <v>0</v>
      </c>
      <c r="AY207" s="38">
        <f t="shared" si="334"/>
        <v>0</v>
      </c>
      <c r="AZ207" s="38">
        <f t="shared" si="334"/>
        <v>0</v>
      </c>
      <c r="BA207" s="30"/>
      <c r="BB207" s="38">
        <f t="shared" ref="BB207:CT207" si="335">SUM(BB205:BB205)</f>
        <v>0</v>
      </c>
      <c r="BC207" s="38">
        <f t="shared" si="335"/>
        <v>0</v>
      </c>
      <c r="BD207" s="38">
        <f t="shared" si="335"/>
        <v>0</v>
      </c>
      <c r="BE207" s="38">
        <f t="shared" si="335"/>
        <v>0</v>
      </c>
      <c r="BF207" s="38">
        <f t="shared" si="335"/>
        <v>0</v>
      </c>
      <c r="BG207" s="38">
        <f t="shared" si="335"/>
        <v>0</v>
      </c>
      <c r="BH207" s="38">
        <f t="shared" si="335"/>
        <v>0</v>
      </c>
      <c r="BI207" s="38">
        <f t="shared" si="335"/>
        <v>0</v>
      </c>
      <c r="BJ207" s="38">
        <f t="shared" si="335"/>
        <v>0</v>
      </c>
      <c r="BK207" s="38">
        <f t="shared" si="335"/>
        <v>0</v>
      </c>
      <c r="BL207" s="38">
        <f t="shared" si="335"/>
        <v>0</v>
      </c>
      <c r="BM207" s="38">
        <f t="shared" si="335"/>
        <v>0</v>
      </c>
      <c r="BN207" s="38">
        <f t="shared" si="335"/>
        <v>0</v>
      </c>
      <c r="BO207" s="38">
        <f t="shared" si="335"/>
        <v>0</v>
      </c>
      <c r="BP207" s="38">
        <f t="shared" si="335"/>
        <v>0</v>
      </c>
      <c r="BQ207" s="38">
        <f t="shared" si="335"/>
        <v>0</v>
      </c>
      <c r="BR207" s="38">
        <f t="shared" si="335"/>
        <v>0</v>
      </c>
      <c r="BS207" s="38">
        <f t="shared" si="335"/>
        <v>0</v>
      </c>
      <c r="BT207" s="38">
        <f t="shared" si="335"/>
        <v>0</v>
      </c>
      <c r="BU207" s="38">
        <f t="shared" si="335"/>
        <v>0</v>
      </c>
      <c r="BV207" s="38">
        <f t="shared" si="335"/>
        <v>0</v>
      </c>
      <c r="BW207" s="38">
        <f t="shared" si="335"/>
        <v>0</v>
      </c>
      <c r="BX207" s="38">
        <f t="shared" si="335"/>
        <v>0</v>
      </c>
      <c r="BY207" s="38">
        <f t="shared" si="335"/>
        <v>0</v>
      </c>
      <c r="BZ207" s="38">
        <f t="shared" si="335"/>
        <v>0</v>
      </c>
      <c r="CA207" s="38">
        <f t="shared" si="335"/>
        <v>0</v>
      </c>
      <c r="CB207" s="38">
        <f t="shared" si="335"/>
        <v>0</v>
      </c>
      <c r="CC207" s="38">
        <f t="shared" si="335"/>
        <v>0</v>
      </c>
      <c r="CD207" s="38">
        <f t="shared" si="335"/>
        <v>0</v>
      </c>
      <c r="CE207" s="38">
        <f t="shared" si="335"/>
        <v>0</v>
      </c>
      <c r="CF207" s="38">
        <f t="shared" si="335"/>
        <v>0</v>
      </c>
      <c r="CG207" s="38">
        <f t="shared" si="335"/>
        <v>0</v>
      </c>
      <c r="CH207" s="38">
        <f t="shared" si="335"/>
        <v>0</v>
      </c>
      <c r="CI207" s="38">
        <f t="shared" si="335"/>
        <v>0</v>
      </c>
      <c r="CJ207" s="38">
        <f t="shared" si="335"/>
        <v>0</v>
      </c>
      <c r="CK207" s="38">
        <f t="shared" si="335"/>
        <v>0</v>
      </c>
      <c r="CL207" s="38">
        <f t="shared" si="335"/>
        <v>0</v>
      </c>
      <c r="CM207" s="38">
        <f t="shared" si="335"/>
        <v>0</v>
      </c>
      <c r="CN207" s="38">
        <f t="shared" si="335"/>
        <v>0</v>
      </c>
      <c r="CO207" s="38">
        <f t="shared" si="335"/>
        <v>0</v>
      </c>
      <c r="CP207" s="38">
        <f t="shared" si="335"/>
        <v>0</v>
      </c>
      <c r="CQ207" s="38">
        <f t="shared" si="335"/>
        <v>0</v>
      </c>
      <c r="CR207" s="38">
        <f t="shared" si="335"/>
        <v>0</v>
      </c>
      <c r="CS207" s="38">
        <f t="shared" si="335"/>
        <v>0</v>
      </c>
      <c r="CT207" s="38">
        <f t="shared" si="335"/>
        <v>0</v>
      </c>
      <c r="CU207" s="17">
        <f t="shared" si="293"/>
        <v>441</v>
      </c>
      <c r="CV207" s="25">
        <f t="shared" si="294"/>
        <v>0</v>
      </c>
      <c r="CW207" s="40"/>
      <c r="CX207" s="30"/>
      <c r="CY207" s="30"/>
    </row>
    <row r="208" spans="1:103" x14ac:dyDescent="0.2">
      <c r="A208" s="2">
        <v>45880</v>
      </c>
      <c r="B208" s="3" t="s">
        <v>438</v>
      </c>
      <c r="C208" s="4" t="s">
        <v>551</v>
      </c>
      <c r="D208" s="5" t="s">
        <v>133</v>
      </c>
      <c r="E208" s="6" t="s">
        <v>449</v>
      </c>
      <c r="F208" s="7" t="s">
        <v>450</v>
      </c>
      <c r="G208" s="8" t="s">
        <v>451</v>
      </c>
      <c r="H208" s="9">
        <v>5046</v>
      </c>
      <c r="I208" s="10" t="s">
        <v>452</v>
      </c>
      <c r="J208" s="11" t="s">
        <v>453</v>
      </c>
      <c r="K208" s="12">
        <v>3</v>
      </c>
      <c r="L208" s="13">
        <v>310</v>
      </c>
      <c r="M208" s="14">
        <f t="shared" ref="M208:M209" si="336">L208*K208</f>
        <v>930</v>
      </c>
      <c r="N208" s="15"/>
      <c r="O208" s="16" t="s">
        <v>137</v>
      </c>
      <c r="P208" s="17">
        <f>M208*0.01</f>
        <v>9.3000000000000007</v>
      </c>
      <c r="Q208" s="18"/>
      <c r="R208" s="17">
        <f>M208+P208-Q208</f>
        <v>939.3</v>
      </c>
      <c r="S208" s="19"/>
      <c r="T208" s="19"/>
      <c r="U208" s="19"/>
      <c r="V208" s="19"/>
      <c r="W208" s="17"/>
      <c r="X208" s="20"/>
      <c r="Y208" s="19"/>
      <c r="Z208" s="19"/>
      <c r="AA208" s="19"/>
      <c r="AB208" s="19"/>
      <c r="AC208" s="19"/>
      <c r="AD208" s="19"/>
      <c r="AE208" s="5"/>
      <c r="AF208" s="19"/>
      <c r="AG208" s="5"/>
      <c r="AH208" s="17"/>
      <c r="AI208" s="19"/>
      <c r="AJ208" s="19"/>
      <c r="AK208" s="19"/>
      <c r="AL208" s="19"/>
      <c r="AM208" s="17"/>
      <c r="AN208" s="19"/>
      <c r="AO208" s="19"/>
      <c r="AP208" s="19"/>
      <c r="AQ208" s="19"/>
      <c r="AR208" s="19"/>
      <c r="AS208" s="21"/>
      <c r="AT208" s="5"/>
      <c r="AU208" s="19"/>
      <c r="AV208" s="5"/>
      <c r="AW208" s="22"/>
      <c r="AX208" s="19"/>
      <c r="AY208" s="5"/>
      <c r="AZ208" s="19"/>
      <c r="BA208" s="5"/>
      <c r="BB208" s="5"/>
      <c r="BC208" s="19"/>
      <c r="BD208" s="19"/>
      <c r="BE208" s="19"/>
      <c r="BF208" s="19"/>
      <c r="BG208" s="19"/>
      <c r="BH208" s="19"/>
      <c r="BI208" s="19"/>
      <c r="BJ208" s="19"/>
      <c r="BK208" s="13"/>
      <c r="BL208" s="5"/>
      <c r="BM208" s="5"/>
      <c r="BN208" s="19"/>
      <c r="BO208" s="17"/>
      <c r="BP208" s="19"/>
      <c r="BQ208" s="17"/>
      <c r="BR208" s="19"/>
      <c r="BS208" s="13"/>
      <c r="BT208" s="5"/>
      <c r="BU208" s="23"/>
      <c r="BV208" s="23"/>
      <c r="BW208" s="24"/>
      <c r="BX208" s="5"/>
      <c r="BY208" s="5"/>
      <c r="BZ208" s="5"/>
      <c r="CA208" s="24"/>
      <c r="CB208" s="24"/>
      <c r="CC208" s="24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>
        <f t="shared" si="293"/>
        <v>930</v>
      </c>
      <c r="CV208" s="25">
        <f t="shared" si="294"/>
        <v>0</v>
      </c>
      <c r="CW208" s="26"/>
      <c r="CX208" s="5"/>
      <c r="CY208" s="5"/>
    </row>
    <row r="209" spans="1:103" x14ac:dyDescent="0.2">
      <c r="A209" s="2"/>
      <c r="B209" s="3"/>
      <c r="C209" s="4"/>
      <c r="D209" s="5"/>
      <c r="E209" s="6"/>
      <c r="F209" s="7"/>
      <c r="G209" s="8"/>
      <c r="H209" s="9"/>
      <c r="I209" s="10"/>
      <c r="J209" s="11" t="s">
        <v>453</v>
      </c>
      <c r="K209" s="12">
        <v>2</v>
      </c>
      <c r="L209" s="13">
        <v>310</v>
      </c>
      <c r="M209" s="14">
        <f t="shared" si="336"/>
        <v>620</v>
      </c>
      <c r="N209" s="15"/>
      <c r="O209" s="16" t="s">
        <v>137</v>
      </c>
      <c r="P209" s="17">
        <f>M209*0.01</f>
        <v>6.2</v>
      </c>
      <c r="Q209" s="18"/>
      <c r="R209" s="17">
        <f t="shared" ref="R209" si="337">M209+P209-Q209</f>
        <v>626.20000000000005</v>
      </c>
      <c r="S209" s="19"/>
      <c r="T209" s="19"/>
      <c r="U209" s="19"/>
      <c r="V209" s="19"/>
      <c r="W209" s="17"/>
      <c r="X209" s="20"/>
      <c r="Y209" s="19"/>
      <c r="Z209" s="19"/>
      <c r="AA209" s="19"/>
      <c r="AB209" s="19"/>
      <c r="AC209" s="19"/>
      <c r="AD209" s="19"/>
      <c r="AE209" s="5"/>
      <c r="AF209" s="19"/>
      <c r="AG209" s="5"/>
      <c r="AH209" s="17"/>
      <c r="AI209" s="19"/>
      <c r="AJ209" s="19"/>
      <c r="AK209" s="19"/>
      <c r="AL209" s="19"/>
      <c r="AM209" s="17"/>
      <c r="AN209" s="19"/>
      <c r="AO209" s="19"/>
      <c r="AP209" s="19"/>
      <c r="AQ209" s="19"/>
      <c r="AR209" s="19"/>
      <c r="AS209" s="21"/>
      <c r="AT209" s="5"/>
      <c r="AU209" s="19"/>
      <c r="AV209" s="5"/>
      <c r="AW209" s="22"/>
      <c r="AX209" s="19"/>
      <c r="AY209" s="5"/>
      <c r="AZ209" s="19"/>
      <c r="BA209" s="5"/>
      <c r="BB209" s="5"/>
      <c r="BC209" s="19"/>
      <c r="BD209" s="19"/>
      <c r="BE209" s="19"/>
      <c r="BF209" s="19"/>
      <c r="BG209" s="19"/>
      <c r="BH209" s="19"/>
      <c r="BI209" s="19"/>
      <c r="BJ209" s="19"/>
      <c r="BK209" s="13"/>
      <c r="BL209" s="5"/>
      <c r="BM209" s="5"/>
      <c r="BN209" s="19"/>
      <c r="BO209" s="17"/>
      <c r="BP209" s="19"/>
      <c r="BQ209" s="17"/>
      <c r="BR209" s="19"/>
      <c r="BS209" s="13"/>
      <c r="BT209" s="5"/>
      <c r="BU209" s="23"/>
      <c r="BV209" s="23"/>
      <c r="BW209" s="24"/>
      <c r="BX209" s="5"/>
      <c r="BY209" s="5"/>
      <c r="BZ209" s="5"/>
      <c r="CA209" s="24"/>
      <c r="CB209" s="24"/>
      <c r="CC209" s="24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>
        <f t="shared" si="293"/>
        <v>620</v>
      </c>
      <c r="CV209" s="25">
        <f t="shared" si="294"/>
        <v>0</v>
      </c>
      <c r="CW209" s="26"/>
      <c r="CX209" s="5"/>
      <c r="CY209" s="5"/>
    </row>
    <row r="210" spans="1:103" x14ac:dyDescent="0.2">
      <c r="A210" s="161"/>
      <c r="B210" s="162"/>
      <c r="C210" s="163"/>
      <c r="D210" s="164"/>
      <c r="E210" s="165"/>
      <c r="F210" s="166"/>
      <c r="G210" s="167"/>
      <c r="H210" s="168"/>
      <c r="I210" s="168"/>
      <c r="J210" s="169"/>
      <c r="K210" s="170"/>
      <c r="L210" s="171"/>
      <c r="M210" s="172">
        <f>SUM(M208:M209)</f>
        <v>1550</v>
      </c>
      <c r="N210" s="172">
        <f>M210+M207+M204</f>
        <v>4314</v>
      </c>
      <c r="O210" s="173" t="s">
        <v>137</v>
      </c>
      <c r="P210" s="172">
        <f>SUM(P208:P209)</f>
        <v>15.5</v>
      </c>
      <c r="Q210" s="172">
        <f>SUM(Q208:Q209)</f>
        <v>0</v>
      </c>
      <c r="R210" s="172">
        <f>SUM(R208:R209)</f>
        <v>1565.5</v>
      </c>
      <c r="S210" s="172">
        <f t="shared" ref="S210:AD210" si="338">SUM(S208:S208)</f>
        <v>0</v>
      </c>
      <c r="T210" s="172">
        <f t="shared" si="338"/>
        <v>0</v>
      </c>
      <c r="U210" s="172">
        <f t="shared" si="338"/>
        <v>0</v>
      </c>
      <c r="V210" s="172">
        <f t="shared" si="338"/>
        <v>0</v>
      </c>
      <c r="W210" s="172">
        <f t="shared" si="338"/>
        <v>0</v>
      </c>
      <c r="X210" s="172">
        <f t="shared" si="338"/>
        <v>0</v>
      </c>
      <c r="Y210" s="172">
        <f t="shared" si="338"/>
        <v>0</v>
      </c>
      <c r="Z210" s="172">
        <f t="shared" si="338"/>
        <v>0</v>
      </c>
      <c r="AA210" s="172">
        <f t="shared" si="338"/>
        <v>0</v>
      </c>
      <c r="AB210" s="172">
        <f t="shared" si="338"/>
        <v>0</v>
      </c>
      <c r="AC210" s="172">
        <f t="shared" si="338"/>
        <v>0</v>
      </c>
      <c r="AD210" s="172">
        <f t="shared" si="338"/>
        <v>0</v>
      </c>
      <c r="AE210" s="164"/>
      <c r="AF210" s="172">
        <f>SUM(AF208:AF208)</f>
        <v>0</v>
      </c>
      <c r="AG210" s="164"/>
      <c r="AH210" s="172">
        <f t="shared" ref="AH210:AZ210" si="339">SUM(AH208:AH208)</f>
        <v>0</v>
      </c>
      <c r="AI210" s="172">
        <f t="shared" si="339"/>
        <v>0</v>
      </c>
      <c r="AJ210" s="172">
        <f t="shared" si="339"/>
        <v>0</v>
      </c>
      <c r="AK210" s="172">
        <f t="shared" si="339"/>
        <v>0</v>
      </c>
      <c r="AL210" s="172">
        <f t="shared" si="339"/>
        <v>0</v>
      </c>
      <c r="AM210" s="172">
        <f t="shared" si="339"/>
        <v>0</v>
      </c>
      <c r="AN210" s="172">
        <f t="shared" si="339"/>
        <v>0</v>
      </c>
      <c r="AO210" s="172">
        <f t="shared" si="339"/>
        <v>0</v>
      </c>
      <c r="AP210" s="172">
        <f t="shared" si="339"/>
        <v>0</v>
      </c>
      <c r="AQ210" s="172">
        <f t="shared" si="339"/>
        <v>0</v>
      </c>
      <c r="AR210" s="172">
        <f t="shared" si="339"/>
        <v>0</v>
      </c>
      <c r="AS210" s="172">
        <f t="shared" si="339"/>
        <v>0</v>
      </c>
      <c r="AT210" s="172">
        <f t="shared" si="339"/>
        <v>0</v>
      </c>
      <c r="AU210" s="172">
        <f t="shared" si="339"/>
        <v>0</v>
      </c>
      <c r="AV210" s="172">
        <f t="shared" si="339"/>
        <v>0</v>
      </c>
      <c r="AW210" s="172">
        <f t="shared" si="339"/>
        <v>0</v>
      </c>
      <c r="AX210" s="172">
        <f t="shared" si="339"/>
        <v>0</v>
      </c>
      <c r="AY210" s="172">
        <f t="shared" si="339"/>
        <v>0</v>
      </c>
      <c r="AZ210" s="172">
        <f t="shared" si="339"/>
        <v>0</v>
      </c>
      <c r="BA210" s="164"/>
      <c r="BB210" s="172">
        <f t="shared" ref="BB210:CT210" si="340">SUM(BB208:BB208)</f>
        <v>0</v>
      </c>
      <c r="BC210" s="172">
        <f t="shared" si="340"/>
        <v>0</v>
      </c>
      <c r="BD210" s="172">
        <f t="shared" si="340"/>
        <v>0</v>
      </c>
      <c r="BE210" s="172">
        <f t="shared" si="340"/>
        <v>0</v>
      </c>
      <c r="BF210" s="172">
        <f t="shared" si="340"/>
        <v>0</v>
      </c>
      <c r="BG210" s="172">
        <f t="shared" si="340"/>
        <v>0</v>
      </c>
      <c r="BH210" s="172">
        <f t="shared" si="340"/>
        <v>0</v>
      </c>
      <c r="BI210" s="172">
        <f t="shared" si="340"/>
        <v>0</v>
      </c>
      <c r="BJ210" s="172">
        <f t="shared" si="340"/>
        <v>0</v>
      </c>
      <c r="BK210" s="172">
        <f t="shared" si="340"/>
        <v>0</v>
      </c>
      <c r="BL210" s="172">
        <f t="shared" si="340"/>
        <v>0</v>
      </c>
      <c r="BM210" s="172">
        <f t="shared" si="340"/>
        <v>0</v>
      </c>
      <c r="BN210" s="172">
        <f t="shared" si="340"/>
        <v>0</v>
      </c>
      <c r="BO210" s="172">
        <f t="shared" si="340"/>
        <v>0</v>
      </c>
      <c r="BP210" s="172">
        <f t="shared" si="340"/>
        <v>0</v>
      </c>
      <c r="BQ210" s="172">
        <f t="shared" si="340"/>
        <v>0</v>
      </c>
      <c r="BR210" s="172">
        <f t="shared" si="340"/>
        <v>0</v>
      </c>
      <c r="BS210" s="172">
        <f t="shared" si="340"/>
        <v>0</v>
      </c>
      <c r="BT210" s="172">
        <f t="shared" si="340"/>
        <v>0</v>
      </c>
      <c r="BU210" s="172">
        <f t="shared" si="340"/>
        <v>0</v>
      </c>
      <c r="BV210" s="172">
        <f t="shared" si="340"/>
        <v>0</v>
      </c>
      <c r="BW210" s="172">
        <f t="shared" si="340"/>
        <v>0</v>
      </c>
      <c r="BX210" s="172">
        <f t="shared" si="340"/>
        <v>0</v>
      </c>
      <c r="BY210" s="172">
        <f t="shared" si="340"/>
        <v>0</v>
      </c>
      <c r="BZ210" s="172">
        <f t="shared" si="340"/>
        <v>0</v>
      </c>
      <c r="CA210" s="172">
        <f t="shared" si="340"/>
        <v>0</v>
      </c>
      <c r="CB210" s="172">
        <f t="shared" si="340"/>
        <v>0</v>
      </c>
      <c r="CC210" s="172">
        <f t="shared" si="340"/>
        <v>0</v>
      </c>
      <c r="CD210" s="172">
        <f t="shared" si="340"/>
        <v>0</v>
      </c>
      <c r="CE210" s="172">
        <f t="shared" si="340"/>
        <v>0</v>
      </c>
      <c r="CF210" s="172">
        <f t="shared" si="340"/>
        <v>0</v>
      </c>
      <c r="CG210" s="172">
        <f t="shared" si="340"/>
        <v>0</v>
      </c>
      <c r="CH210" s="172">
        <f t="shared" si="340"/>
        <v>0</v>
      </c>
      <c r="CI210" s="172">
        <f t="shared" si="340"/>
        <v>0</v>
      </c>
      <c r="CJ210" s="172">
        <f t="shared" si="340"/>
        <v>0</v>
      </c>
      <c r="CK210" s="172">
        <f t="shared" si="340"/>
        <v>0</v>
      </c>
      <c r="CL210" s="172">
        <f t="shared" si="340"/>
        <v>0</v>
      </c>
      <c r="CM210" s="172">
        <f t="shared" si="340"/>
        <v>0</v>
      </c>
      <c r="CN210" s="172">
        <f t="shared" si="340"/>
        <v>0</v>
      </c>
      <c r="CO210" s="172">
        <f t="shared" si="340"/>
        <v>0</v>
      </c>
      <c r="CP210" s="172">
        <f t="shared" si="340"/>
        <v>0</v>
      </c>
      <c r="CQ210" s="172">
        <f t="shared" si="340"/>
        <v>0</v>
      </c>
      <c r="CR210" s="172">
        <f t="shared" si="340"/>
        <v>0</v>
      </c>
      <c r="CS210" s="172">
        <f t="shared" si="340"/>
        <v>0</v>
      </c>
      <c r="CT210" s="172">
        <f t="shared" si="340"/>
        <v>0</v>
      </c>
      <c r="CU210" s="17">
        <f t="shared" si="293"/>
        <v>1550</v>
      </c>
      <c r="CV210" s="25">
        <f t="shared" si="294"/>
        <v>0</v>
      </c>
      <c r="CW210" s="176"/>
      <c r="CX210" s="164"/>
      <c r="CY210" s="164"/>
    </row>
    <row r="211" spans="1:103" x14ac:dyDescent="0.2">
      <c r="A211" s="2">
        <v>45882</v>
      </c>
      <c r="B211" s="3" t="s">
        <v>270</v>
      </c>
      <c r="C211" s="4" t="s">
        <v>552</v>
      </c>
      <c r="D211" s="5" t="s">
        <v>271</v>
      </c>
      <c r="E211" s="6" t="s">
        <v>272</v>
      </c>
      <c r="F211" s="7"/>
      <c r="G211" s="8" t="s">
        <v>273</v>
      </c>
      <c r="H211" s="9">
        <v>28472</v>
      </c>
      <c r="I211" s="10" t="s">
        <v>553</v>
      </c>
      <c r="J211" s="11" t="s">
        <v>274</v>
      </c>
      <c r="K211" s="12">
        <v>6</v>
      </c>
      <c r="L211" s="13">
        <v>90</v>
      </c>
      <c r="M211" s="14">
        <f t="shared" ref="M211" si="341">L211*K211</f>
        <v>540</v>
      </c>
      <c r="N211" s="15"/>
      <c r="O211" s="16" t="s">
        <v>111</v>
      </c>
      <c r="P211" s="17">
        <f>M211/1.12*0.01</f>
        <v>4.8214285714285712</v>
      </c>
      <c r="Q211" s="18">
        <f>M211/1.12*0.12</f>
        <v>57.857142857142854</v>
      </c>
      <c r="R211" s="17">
        <f>M211+P211-Q211</f>
        <v>486.96428571428572</v>
      </c>
      <c r="S211" s="19"/>
      <c r="T211" s="19"/>
      <c r="U211" s="19"/>
      <c r="V211" s="19"/>
      <c r="W211" s="17"/>
      <c r="X211" s="20"/>
      <c r="Y211" s="19"/>
      <c r="Z211" s="19"/>
      <c r="AA211" s="19"/>
      <c r="AB211" s="19"/>
      <c r="AC211" s="19"/>
      <c r="AD211" s="19"/>
      <c r="AE211" s="5"/>
      <c r="AF211" s="19"/>
      <c r="AG211" s="5"/>
      <c r="AH211" s="17"/>
      <c r="AI211" s="19"/>
      <c r="AJ211" s="19"/>
      <c r="AK211" s="19"/>
      <c r="AL211" s="19"/>
      <c r="AM211" s="17"/>
      <c r="AN211" s="19"/>
      <c r="AO211" s="19"/>
      <c r="AP211" s="19"/>
      <c r="AQ211" s="19"/>
      <c r="AR211" s="19"/>
      <c r="AS211" s="21"/>
      <c r="AT211" s="5"/>
      <c r="AU211" s="19"/>
      <c r="AV211" s="5"/>
      <c r="AW211" s="22"/>
      <c r="AX211" s="19"/>
      <c r="AY211" s="5"/>
      <c r="AZ211" s="19"/>
      <c r="BA211" s="5"/>
      <c r="BB211" s="5"/>
      <c r="BC211" s="19"/>
      <c r="BD211" s="19"/>
      <c r="BE211" s="19"/>
      <c r="BF211" s="19"/>
      <c r="BG211" s="19"/>
      <c r="BH211" s="19"/>
      <c r="BI211" s="19"/>
      <c r="BJ211" s="19"/>
      <c r="BK211" s="13"/>
      <c r="BL211" s="5"/>
      <c r="BM211" s="5"/>
      <c r="BN211" s="19"/>
      <c r="BO211" s="17"/>
      <c r="BP211" s="19"/>
      <c r="BQ211" s="17"/>
      <c r="BR211" s="19"/>
      <c r="BS211" s="13"/>
      <c r="BT211" s="5"/>
      <c r="BU211" s="23"/>
      <c r="BV211" s="23"/>
      <c r="BW211" s="24"/>
      <c r="BX211" s="5"/>
      <c r="BY211" s="5"/>
      <c r="BZ211" s="5"/>
      <c r="CA211" s="24"/>
      <c r="CB211" s="24"/>
      <c r="CC211" s="24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>
        <f t="shared" si="293"/>
        <v>540</v>
      </c>
      <c r="CV211" s="25">
        <f t="shared" si="294"/>
        <v>0</v>
      </c>
      <c r="CW211" s="26"/>
      <c r="CX211" s="5"/>
      <c r="CY211" s="5"/>
    </row>
    <row r="212" spans="1:103" x14ac:dyDescent="0.2">
      <c r="A212" s="161"/>
      <c r="B212" s="162"/>
      <c r="C212" s="163"/>
      <c r="D212" s="164"/>
      <c r="E212" s="165"/>
      <c r="F212" s="166"/>
      <c r="G212" s="167"/>
      <c r="H212" s="168"/>
      <c r="I212" s="168"/>
      <c r="J212" s="169"/>
      <c r="K212" s="170"/>
      <c r="L212" s="171"/>
      <c r="M212" s="172">
        <f>SUM(M211:M211)</f>
        <v>540</v>
      </c>
      <c r="N212" s="172">
        <f>M212</f>
        <v>540</v>
      </c>
      <c r="O212" s="173" t="s">
        <v>111</v>
      </c>
      <c r="P212" s="172">
        <f>SUM(P211:P211)</f>
        <v>4.8214285714285712</v>
      </c>
      <c r="Q212" s="172">
        <f>SUM(Q211:Q211)</f>
        <v>57.857142857142854</v>
      </c>
      <c r="R212" s="172">
        <f>SUM(R211:R211)</f>
        <v>486.96428571428572</v>
      </c>
      <c r="S212" s="172">
        <f t="shared" ref="S212:AD212" si="342">SUM(S211:S211)</f>
        <v>0</v>
      </c>
      <c r="T212" s="172">
        <f t="shared" si="342"/>
        <v>0</v>
      </c>
      <c r="U212" s="172">
        <f t="shared" si="342"/>
        <v>0</v>
      </c>
      <c r="V212" s="172">
        <f t="shared" si="342"/>
        <v>0</v>
      </c>
      <c r="W212" s="172">
        <f t="shared" si="342"/>
        <v>0</v>
      </c>
      <c r="X212" s="172">
        <f t="shared" si="342"/>
        <v>0</v>
      </c>
      <c r="Y212" s="172">
        <f t="shared" si="342"/>
        <v>0</v>
      </c>
      <c r="Z212" s="172">
        <f t="shared" si="342"/>
        <v>0</v>
      </c>
      <c r="AA212" s="172">
        <f t="shared" si="342"/>
        <v>0</v>
      </c>
      <c r="AB212" s="172">
        <f t="shared" si="342"/>
        <v>0</v>
      </c>
      <c r="AC212" s="172">
        <f t="shared" si="342"/>
        <v>0</v>
      </c>
      <c r="AD212" s="172">
        <f t="shared" si="342"/>
        <v>0</v>
      </c>
      <c r="AE212" s="164"/>
      <c r="AF212" s="172">
        <f>SUM(AF211:AF211)</f>
        <v>0</v>
      </c>
      <c r="AG212" s="164"/>
      <c r="AH212" s="172">
        <f t="shared" ref="AH212:AZ212" si="343">SUM(AH211:AH211)</f>
        <v>0</v>
      </c>
      <c r="AI212" s="172">
        <f t="shared" si="343"/>
        <v>0</v>
      </c>
      <c r="AJ212" s="172">
        <f t="shared" si="343"/>
        <v>0</v>
      </c>
      <c r="AK212" s="172">
        <f t="shared" si="343"/>
        <v>0</v>
      </c>
      <c r="AL212" s="172">
        <f t="shared" si="343"/>
        <v>0</v>
      </c>
      <c r="AM212" s="172">
        <f t="shared" si="343"/>
        <v>0</v>
      </c>
      <c r="AN212" s="172">
        <f t="shared" si="343"/>
        <v>0</v>
      </c>
      <c r="AO212" s="172">
        <f t="shared" si="343"/>
        <v>0</v>
      </c>
      <c r="AP212" s="172">
        <f t="shared" si="343"/>
        <v>0</v>
      </c>
      <c r="AQ212" s="172">
        <f t="shared" si="343"/>
        <v>0</v>
      </c>
      <c r="AR212" s="172">
        <f t="shared" si="343"/>
        <v>0</v>
      </c>
      <c r="AS212" s="172">
        <f t="shared" si="343"/>
        <v>0</v>
      </c>
      <c r="AT212" s="172">
        <f t="shared" si="343"/>
        <v>0</v>
      </c>
      <c r="AU212" s="172">
        <f t="shared" si="343"/>
        <v>0</v>
      </c>
      <c r="AV212" s="172">
        <f t="shared" si="343"/>
        <v>0</v>
      </c>
      <c r="AW212" s="172">
        <f t="shared" si="343"/>
        <v>0</v>
      </c>
      <c r="AX212" s="172">
        <f t="shared" si="343"/>
        <v>0</v>
      </c>
      <c r="AY212" s="172">
        <f t="shared" si="343"/>
        <v>0</v>
      </c>
      <c r="AZ212" s="172">
        <f t="shared" si="343"/>
        <v>0</v>
      </c>
      <c r="BA212" s="164"/>
      <c r="BB212" s="172">
        <f t="shared" ref="BB212:CT212" si="344">SUM(BB211:BB211)</f>
        <v>0</v>
      </c>
      <c r="BC212" s="172">
        <f t="shared" si="344"/>
        <v>0</v>
      </c>
      <c r="BD212" s="172">
        <f t="shared" si="344"/>
        <v>0</v>
      </c>
      <c r="BE212" s="172">
        <f t="shared" si="344"/>
        <v>0</v>
      </c>
      <c r="BF212" s="172">
        <f t="shared" si="344"/>
        <v>0</v>
      </c>
      <c r="BG212" s="172">
        <f t="shared" si="344"/>
        <v>0</v>
      </c>
      <c r="BH212" s="172">
        <f t="shared" si="344"/>
        <v>0</v>
      </c>
      <c r="BI212" s="172">
        <f t="shared" si="344"/>
        <v>0</v>
      </c>
      <c r="BJ212" s="172">
        <f t="shared" si="344"/>
        <v>0</v>
      </c>
      <c r="BK212" s="172">
        <f t="shared" si="344"/>
        <v>0</v>
      </c>
      <c r="BL212" s="172">
        <f t="shared" si="344"/>
        <v>0</v>
      </c>
      <c r="BM212" s="172">
        <f t="shared" si="344"/>
        <v>0</v>
      </c>
      <c r="BN212" s="172">
        <f t="shared" si="344"/>
        <v>0</v>
      </c>
      <c r="BO212" s="172">
        <f t="shared" si="344"/>
        <v>0</v>
      </c>
      <c r="BP212" s="172">
        <f t="shared" si="344"/>
        <v>0</v>
      </c>
      <c r="BQ212" s="172">
        <f t="shared" si="344"/>
        <v>0</v>
      </c>
      <c r="BR212" s="172">
        <f t="shared" si="344"/>
        <v>0</v>
      </c>
      <c r="BS212" s="172">
        <f t="shared" si="344"/>
        <v>0</v>
      </c>
      <c r="BT212" s="172">
        <f t="shared" si="344"/>
        <v>0</v>
      </c>
      <c r="BU212" s="172">
        <f t="shared" si="344"/>
        <v>0</v>
      </c>
      <c r="BV212" s="172">
        <f t="shared" si="344"/>
        <v>0</v>
      </c>
      <c r="BW212" s="172">
        <f t="shared" si="344"/>
        <v>0</v>
      </c>
      <c r="BX212" s="172">
        <f t="shared" si="344"/>
        <v>0</v>
      </c>
      <c r="BY212" s="172">
        <f t="shared" si="344"/>
        <v>0</v>
      </c>
      <c r="BZ212" s="172">
        <f t="shared" si="344"/>
        <v>0</v>
      </c>
      <c r="CA212" s="172">
        <f t="shared" si="344"/>
        <v>0</v>
      </c>
      <c r="CB212" s="172">
        <f t="shared" si="344"/>
        <v>0</v>
      </c>
      <c r="CC212" s="172">
        <f t="shared" si="344"/>
        <v>0</v>
      </c>
      <c r="CD212" s="172">
        <f t="shared" si="344"/>
        <v>0</v>
      </c>
      <c r="CE212" s="172">
        <f t="shared" si="344"/>
        <v>0</v>
      </c>
      <c r="CF212" s="172">
        <f t="shared" si="344"/>
        <v>0</v>
      </c>
      <c r="CG212" s="172">
        <f t="shared" si="344"/>
        <v>0</v>
      </c>
      <c r="CH212" s="172">
        <f t="shared" si="344"/>
        <v>0</v>
      </c>
      <c r="CI212" s="172">
        <f t="shared" si="344"/>
        <v>0</v>
      </c>
      <c r="CJ212" s="172">
        <f t="shared" si="344"/>
        <v>0</v>
      </c>
      <c r="CK212" s="172">
        <f t="shared" si="344"/>
        <v>0</v>
      </c>
      <c r="CL212" s="172">
        <f t="shared" si="344"/>
        <v>0</v>
      </c>
      <c r="CM212" s="172">
        <f t="shared" si="344"/>
        <v>0</v>
      </c>
      <c r="CN212" s="172">
        <f t="shared" si="344"/>
        <v>0</v>
      </c>
      <c r="CO212" s="172">
        <f t="shared" si="344"/>
        <v>0</v>
      </c>
      <c r="CP212" s="172">
        <f t="shared" si="344"/>
        <v>0</v>
      </c>
      <c r="CQ212" s="172">
        <f t="shared" si="344"/>
        <v>0</v>
      </c>
      <c r="CR212" s="172">
        <f t="shared" si="344"/>
        <v>0</v>
      </c>
      <c r="CS212" s="172">
        <f t="shared" si="344"/>
        <v>0</v>
      </c>
      <c r="CT212" s="172">
        <f t="shared" si="344"/>
        <v>0</v>
      </c>
      <c r="CU212" s="17">
        <f t="shared" si="293"/>
        <v>540</v>
      </c>
      <c r="CV212" s="25">
        <f t="shared" si="294"/>
        <v>0</v>
      </c>
      <c r="CW212" s="176"/>
      <c r="CX212" s="164"/>
      <c r="CY212" s="164"/>
    </row>
    <row r="213" spans="1:103" x14ac:dyDescent="0.2">
      <c r="A213" s="2">
        <v>45870</v>
      </c>
      <c r="B213" s="3" t="s">
        <v>454</v>
      </c>
      <c r="C213" s="4" t="s">
        <v>554</v>
      </c>
      <c r="D213" s="5" t="s">
        <v>315</v>
      </c>
      <c r="E213" s="6" t="s">
        <v>455</v>
      </c>
      <c r="F213" s="7" t="s">
        <v>456</v>
      </c>
      <c r="G213" s="8" t="s">
        <v>457</v>
      </c>
      <c r="H213" s="9">
        <v>54588</v>
      </c>
      <c r="I213" s="10" t="s">
        <v>458</v>
      </c>
      <c r="J213" s="11" t="s">
        <v>459</v>
      </c>
      <c r="K213" s="12">
        <v>5.8</v>
      </c>
      <c r="L213" s="13">
        <v>350</v>
      </c>
      <c r="M213" s="14">
        <f t="shared" ref="M213" si="345">L213*K213</f>
        <v>2030</v>
      </c>
      <c r="N213" s="15"/>
      <c r="O213" s="16" t="s">
        <v>137</v>
      </c>
      <c r="P213" s="17">
        <f>M213*0.01</f>
        <v>20.3</v>
      </c>
      <c r="Q213" s="18"/>
      <c r="R213" s="17">
        <f>M213+P213-Q213</f>
        <v>2050.3000000000002</v>
      </c>
      <c r="S213" s="19"/>
      <c r="T213" s="19"/>
      <c r="U213" s="19"/>
      <c r="V213" s="19"/>
      <c r="W213" s="17"/>
      <c r="X213" s="20"/>
      <c r="Y213" s="19"/>
      <c r="Z213" s="19"/>
      <c r="AA213" s="19"/>
      <c r="AB213" s="19"/>
      <c r="AC213" s="19"/>
      <c r="AD213" s="19"/>
      <c r="AE213" s="5"/>
      <c r="AF213" s="19"/>
      <c r="AG213" s="5"/>
      <c r="AH213" s="17"/>
      <c r="AI213" s="19"/>
      <c r="AJ213" s="19"/>
      <c r="AK213" s="19"/>
      <c r="AL213" s="19"/>
      <c r="AM213" s="17"/>
      <c r="AN213" s="19"/>
      <c r="AO213" s="19"/>
      <c r="AP213" s="19"/>
      <c r="AQ213" s="19"/>
      <c r="AR213" s="19"/>
      <c r="AS213" s="21"/>
      <c r="AT213" s="5"/>
      <c r="AU213" s="19"/>
      <c r="AV213" s="5"/>
      <c r="AW213" s="22"/>
      <c r="AX213" s="19"/>
      <c r="AY213" s="5"/>
      <c r="AZ213" s="19"/>
      <c r="BA213" s="5"/>
      <c r="BB213" s="5"/>
      <c r="BC213" s="19"/>
      <c r="BD213" s="19"/>
      <c r="BE213" s="19"/>
      <c r="BF213" s="19"/>
      <c r="BG213" s="19"/>
      <c r="BH213" s="19"/>
      <c r="BI213" s="19"/>
      <c r="BJ213" s="19"/>
      <c r="BK213" s="13"/>
      <c r="BL213" s="5"/>
      <c r="BM213" s="5"/>
      <c r="BN213" s="19"/>
      <c r="BO213" s="17"/>
      <c r="BP213" s="19"/>
      <c r="BQ213" s="17"/>
      <c r="BR213" s="19"/>
      <c r="BS213" s="13"/>
      <c r="BT213" s="5"/>
      <c r="BU213" s="23"/>
      <c r="BV213" s="23"/>
      <c r="BW213" s="24"/>
      <c r="BX213" s="5"/>
      <c r="BY213" s="5"/>
      <c r="BZ213" s="5"/>
      <c r="CA213" s="24"/>
      <c r="CB213" s="24"/>
      <c r="CC213" s="24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>
        <f t="shared" si="293"/>
        <v>2030.0000000000002</v>
      </c>
      <c r="CV213" s="25">
        <f t="shared" si="294"/>
        <v>0</v>
      </c>
      <c r="CW213" s="26"/>
      <c r="CX213" s="5"/>
      <c r="CY213" s="5"/>
    </row>
    <row r="214" spans="1:103" x14ac:dyDescent="0.2">
      <c r="A214" s="161"/>
      <c r="B214" s="162"/>
      <c r="C214" s="163"/>
      <c r="D214" s="164"/>
      <c r="E214" s="165"/>
      <c r="F214" s="166"/>
      <c r="G214" s="167"/>
      <c r="H214" s="168"/>
      <c r="I214" s="168"/>
      <c r="J214" s="169"/>
      <c r="K214" s="170"/>
      <c r="L214" s="171"/>
      <c r="M214" s="172">
        <f>SUM(M213:M213)</f>
        <v>2030</v>
      </c>
      <c r="N214" s="172">
        <f>M214</f>
        <v>2030</v>
      </c>
      <c r="O214" s="173" t="s">
        <v>137</v>
      </c>
      <c r="P214" s="172">
        <f>SUM(P213:P213)</f>
        <v>20.3</v>
      </c>
      <c r="Q214" s="172"/>
      <c r="R214" s="172">
        <f>SUM(R213:R213)</f>
        <v>2050.3000000000002</v>
      </c>
      <c r="S214" s="172">
        <f t="shared" ref="S214:AD214" si="346">SUM(S213:S213)</f>
        <v>0</v>
      </c>
      <c r="T214" s="172">
        <f t="shared" si="346"/>
        <v>0</v>
      </c>
      <c r="U214" s="172">
        <f t="shared" si="346"/>
        <v>0</v>
      </c>
      <c r="V214" s="172">
        <f t="shared" si="346"/>
        <v>0</v>
      </c>
      <c r="W214" s="172">
        <f t="shared" si="346"/>
        <v>0</v>
      </c>
      <c r="X214" s="172">
        <f t="shared" si="346"/>
        <v>0</v>
      </c>
      <c r="Y214" s="172">
        <f t="shared" si="346"/>
        <v>0</v>
      </c>
      <c r="Z214" s="172">
        <f t="shared" si="346"/>
        <v>0</v>
      </c>
      <c r="AA214" s="172">
        <f t="shared" si="346"/>
        <v>0</v>
      </c>
      <c r="AB214" s="172">
        <f t="shared" si="346"/>
        <v>0</v>
      </c>
      <c r="AC214" s="172">
        <f t="shared" si="346"/>
        <v>0</v>
      </c>
      <c r="AD214" s="172">
        <f t="shared" si="346"/>
        <v>0</v>
      </c>
      <c r="AE214" s="164"/>
      <c r="AF214" s="172">
        <f>SUM(AF213:AF213)</f>
        <v>0</v>
      </c>
      <c r="AG214" s="164"/>
      <c r="AH214" s="172">
        <f t="shared" ref="AH214:AZ214" si="347">SUM(AH213:AH213)</f>
        <v>0</v>
      </c>
      <c r="AI214" s="172">
        <f t="shared" si="347"/>
        <v>0</v>
      </c>
      <c r="AJ214" s="172">
        <f t="shared" si="347"/>
        <v>0</v>
      </c>
      <c r="AK214" s="172">
        <f t="shared" si="347"/>
        <v>0</v>
      </c>
      <c r="AL214" s="172">
        <f t="shared" si="347"/>
        <v>0</v>
      </c>
      <c r="AM214" s="172">
        <f t="shared" si="347"/>
        <v>0</v>
      </c>
      <c r="AN214" s="172">
        <f t="shared" si="347"/>
        <v>0</v>
      </c>
      <c r="AO214" s="172">
        <f t="shared" si="347"/>
        <v>0</v>
      </c>
      <c r="AP214" s="172">
        <f t="shared" si="347"/>
        <v>0</v>
      </c>
      <c r="AQ214" s="172">
        <f t="shared" si="347"/>
        <v>0</v>
      </c>
      <c r="AR214" s="172">
        <f t="shared" si="347"/>
        <v>0</v>
      </c>
      <c r="AS214" s="172">
        <f t="shared" si="347"/>
        <v>0</v>
      </c>
      <c r="AT214" s="172">
        <f t="shared" si="347"/>
        <v>0</v>
      </c>
      <c r="AU214" s="172">
        <f t="shared" si="347"/>
        <v>0</v>
      </c>
      <c r="AV214" s="172">
        <f t="shared" si="347"/>
        <v>0</v>
      </c>
      <c r="AW214" s="172">
        <f t="shared" si="347"/>
        <v>0</v>
      </c>
      <c r="AX214" s="172">
        <f t="shared" si="347"/>
        <v>0</v>
      </c>
      <c r="AY214" s="172">
        <f t="shared" si="347"/>
        <v>0</v>
      </c>
      <c r="AZ214" s="172">
        <f t="shared" si="347"/>
        <v>0</v>
      </c>
      <c r="BA214" s="164"/>
      <c r="BB214" s="172">
        <f t="shared" ref="BB214:CT214" si="348">SUM(BB213:BB213)</f>
        <v>0</v>
      </c>
      <c r="BC214" s="172">
        <f t="shared" si="348"/>
        <v>0</v>
      </c>
      <c r="BD214" s="172">
        <f t="shared" si="348"/>
        <v>0</v>
      </c>
      <c r="BE214" s="172">
        <f t="shared" si="348"/>
        <v>0</v>
      </c>
      <c r="BF214" s="172">
        <f t="shared" si="348"/>
        <v>0</v>
      </c>
      <c r="BG214" s="172">
        <f t="shared" si="348"/>
        <v>0</v>
      </c>
      <c r="BH214" s="172">
        <f t="shared" si="348"/>
        <v>0</v>
      </c>
      <c r="BI214" s="172">
        <f t="shared" si="348"/>
        <v>0</v>
      </c>
      <c r="BJ214" s="172">
        <f t="shared" si="348"/>
        <v>0</v>
      </c>
      <c r="BK214" s="172">
        <f t="shared" si="348"/>
        <v>0</v>
      </c>
      <c r="BL214" s="172">
        <f t="shared" si="348"/>
        <v>0</v>
      </c>
      <c r="BM214" s="172">
        <f t="shared" si="348"/>
        <v>0</v>
      </c>
      <c r="BN214" s="172">
        <f t="shared" si="348"/>
        <v>0</v>
      </c>
      <c r="BO214" s="172">
        <f t="shared" si="348"/>
        <v>0</v>
      </c>
      <c r="BP214" s="172">
        <f t="shared" si="348"/>
        <v>0</v>
      </c>
      <c r="BQ214" s="172">
        <f t="shared" si="348"/>
        <v>0</v>
      </c>
      <c r="BR214" s="172">
        <f t="shared" si="348"/>
        <v>0</v>
      </c>
      <c r="BS214" s="172">
        <f t="shared" si="348"/>
        <v>0</v>
      </c>
      <c r="BT214" s="172">
        <f t="shared" si="348"/>
        <v>0</v>
      </c>
      <c r="BU214" s="172">
        <f t="shared" si="348"/>
        <v>0</v>
      </c>
      <c r="BV214" s="172">
        <f t="shared" si="348"/>
        <v>0</v>
      </c>
      <c r="BW214" s="172">
        <f t="shared" si="348"/>
        <v>0</v>
      </c>
      <c r="BX214" s="172">
        <f t="shared" si="348"/>
        <v>0</v>
      </c>
      <c r="BY214" s="172">
        <f t="shared" si="348"/>
        <v>0</v>
      </c>
      <c r="BZ214" s="172">
        <f t="shared" si="348"/>
        <v>0</v>
      </c>
      <c r="CA214" s="172">
        <f t="shared" si="348"/>
        <v>0</v>
      </c>
      <c r="CB214" s="172">
        <f t="shared" si="348"/>
        <v>0</v>
      </c>
      <c r="CC214" s="172">
        <f t="shared" si="348"/>
        <v>0</v>
      </c>
      <c r="CD214" s="172">
        <f t="shared" si="348"/>
        <v>0</v>
      </c>
      <c r="CE214" s="172">
        <f t="shared" si="348"/>
        <v>0</v>
      </c>
      <c r="CF214" s="172">
        <f t="shared" si="348"/>
        <v>0</v>
      </c>
      <c r="CG214" s="172">
        <f t="shared" si="348"/>
        <v>0</v>
      </c>
      <c r="CH214" s="172">
        <f t="shared" si="348"/>
        <v>0</v>
      </c>
      <c r="CI214" s="172">
        <f t="shared" si="348"/>
        <v>0</v>
      </c>
      <c r="CJ214" s="172">
        <f t="shared" si="348"/>
        <v>0</v>
      </c>
      <c r="CK214" s="172">
        <f t="shared" si="348"/>
        <v>0</v>
      </c>
      <c r="CL214" s="172">
        <f t="shared" si="348"/>
        <v>0</v>
      </c>
      <c r="CM214" s="172">
        <f t="shared" si="348"/>
        <v>0</v>
      </c>
      <c r="CN214" s="172">
        <f t="shared" si="348"/>
        <v>0</v>
      </c>
      <c r="CO214" s="172">
        <f t="shared" si="348"/>
        <v>0</v>
      </c>
      <c r="CP214" s="172">
        <f t="shared" si="348"/>
        <v>0</v>
      </c>
      <c r="CQ214" s="172">
        <f t="shared" si="348"/>
        <v>0</v>
      </c>
      <c r="CR214" s="172">
        <f t="shared" si="348"/>
        <v>0</v>
      </c>
      <c r="CS214" s="172">
        <f t="shared" si="348"/>
        <v>0</v>
      </c>
      <c r="CT214" s="172">
        <f t="shared" si="348"/>
        <v>0</v>
      </c>
      <c r="CU214" s="17">
        <f t="shared" si="293"/>
        <v>2030.0000000000002</v>
      </c>
      <c r="CV214" s="25">
        <f t="shared" si="294"/>
        <v>0</v>
      </c>
      <c r="CW214" s="176"/>
      <c r="CX214" s="164"/>
      <c r="CY214" s="164"/>
    </row>
    <row r="215" spans="1:103" x14ac:dyDescent="0.2">
      <c r="A215" s="2">
        <v>45878</v>
      </c>
      <c r="B215" s="3" t="s">
        <v>460</v>
      </c>
      <c r="C215" s="4" t="s">
        <v>555</v>
      </c>
      <c r="D215" s="5" t="s">
        <v>315</v>
      </c>
      <c r="E215" s="6" t="s">
        <v>455</v>
      </c>
      <c r="F215" s="7" t="s">
        <v>456</v>
      </c>
      <c r="G215" s="8" t="s">
        <v>457</v>
      </c>
      <c r="H215" s="9">
        <v>54823</v>
      </c>
      <c r="I215" s="10" t="s">
        <v>461</v>
      </c>
      <c r="J215" s="11" t="s">
        <v>462</v>
      </c>
      <c r="K215" s="12">
        <v>8.6999999999999993</v>
      </c>
      <c r="L215" s="13">
        <v>350</v>
      </c>
      <c r="M215" s="14">
        <f t="shared" ref="M215" si="349">L215*K215</f>
        <v>3044.9999999999995</v>
      </c>
      <c r="N215" s="15"/>
      <c r="O215" s="16" t="s">
        <v>137</v>
      </c>
      <c r="P215" s="17">
        <f>M215*0.01</f>
        <v>30.449999999999996</v>
      </c>
      <c r="Q215" s="18"/>
      <c r="R215" s="17">
        <f>M215+P215-Q215</f>
        <v>3075.4499999999994</v>
      </c>
      <c r="S215" s="19"/>
      <c r="T215" s="19"/>
      <c r="U215" s="19"/>
      <c r="V215" s="19"/>
      <c r="W215" s="17"/>
      <c r="X215" s="20"/>
      <c r="Y215" s="19"/>
      <c r="Z215" s="19"/>
      <c r="AA215" s="19"/>
      <c r="AB215" s="19"/>
      <c r="AC215" s="19"/>
      <c r="AD215" s="19"/>
      <c r="AE215" s="5"/>
      <c r="AF215" s="19"/>
      <c r="AG215" s="5"/>
      <c r="AH215" s="17"/>
      <c r="AI215" s="19"/>
      <c r="AJ215" s="19"/>
      <c r="AK215" s="19"/>
      <c r="AL215" s="19"/>
      <c r="AM215" s="17"/>
      <c r="AN215" s="19"/>
      <c r="AO215" s="19"/>
      <c r="AP215" s="19"/>
      <c r="AQ215" s="19"/>
      <c r="AR215" s="19"/>
      <c r="AS215" s="21"/>
      <c r="AT215" s="5"/>
      <c r="AU215" s="19"/>
      <c r="AV215" s="5"/>
      <c r="AW215" s="22"/>
      <c r="AX215" s="19"/>
      <c r="AY215" s="5"/>
      <c r="AZ215" s="19"/>
      <c r="BA215" s="5"/>
      <c r="BB215" s="5"/>
      <c r="BC215" s="19"/>
      <c r="BD215" s="19"/>
      <c r="BE215" s="19"/>
      <c r="BF215" s="19"/>
      <c r="BG215" s="19"/>
      <c r="BH215" s="19"/>
      <c r="BI215" s="19"/>
      <c r="BJ215" s="19"/>
      <c r="BK215" s="13"/>
      <c r="BL215" s="5"/>
      <c r="BM215" s="5"/>
      <c r="BN215" s="19"/>
      <c r="BO215" s="17"/>
      <c r="BP215" s="19"/>
      <c r="BQ215" s="17"/>
      <c r="BR215" s="19"/>
      <c r="BS215" s="13"/>
      <c r="BT215" s="5"/>
      <c r="BU215" s="23"/>
      <c r="BV215" s="23"/>
      <c r="BW215" s="24"/>
      <c r="BX215" s="5"/>
      <c r="BY215" s="5"/>
      <c r="BZ215" s="5"/>
      <c r="CA215" s="24"/>
      <c r="CB215" s="24"/>
      <c r="CC215" s="24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>
        <f t="shared" si="293"/>
        <v>3044.9999999999995</v>
      </c>
      <c r="CV215" s="25">
        <f t="shared" si="294"/>
        <v>0</v>
      </c>
      <c r="CW215" s="26"/>
      <c r="CX215" s="5"/>
      <c r="CY215" s="5"/>
    </row>
    <row r="216" spans="1:103" x14ac:dyDescent="0.2">
      <c r="A216" s="161"/>
      <c r="B216" s="162"/>
      <c r="C216" s="163"/>
      <c r="D216" s="164"/>
      <c r="E216" s="165"/>
      <c r="F216" s="166"/>
      <c r="G216" s="167"/>
      <c r="H216" s="168"/>
      <c r="I216" s="168"/>
      <c r="J216" s="169"/>
      <c r="K216" s="170"/>
      <c r="L216" s="171"/>
      <c r="M216" s="172">
        <f>SUM(M215:M215)</f>
        <v>3044.9999999999995</v>
      </c>
      <c r="N216" s="172">
        <f>M216</f>
        <v>3044.9999999999995</v>
      </c>
      <c r="O216" s="173" t="s">
        <v>137</v>
      </c>
      <c r="P216" s="172">
        <f>SUM(P215:P215)</f>
        <v>30.449999999999996</v>
      </c>
      <c r="Q216" s="172"/>
      <c r="R216" s="172">
        <f>SUM(R215:R215)</f>
        <v>3075.4499999999994</v>
      </c>
      <c r="S216" s="172">
        <f t="shared" ref="S216:AD216" si="350">SUM(S215:S215)</f>
        <v>0</v>
      </c>
      <c r="T216" s="172">
        <f t="shared" si="350"/>
        <v>0</v>
      </c>
      <c r="U216" s="172">
        <f t="shared" si="350"/>
        <v>0</v>
      </c>
      <c r="V216" s="172">
        <f t="shared" si="350"/>
        <v>0</v>
      </c>
      <c r="W216" s="172">
        <f t="shared" si="350"/>
        <v>0</v>
      </c>
      <c r="X216" s="172">
        <f t="shared" si="350"/>
        <v>0</v>
      </c>
      <c r="Y216" s="172">
        <f t="shared" si="350"/>
        <v>0</v>
      </c>
      <c r="Z216" s="172">
        <f t="shared" si="350"/>
        <v>0</v>
      </c>
      <c r="AA216" s="172">
        <f t="shared" si="350"/>
        <v>0</v>
      </c>
      <c r="AB216" s="172">
        <f t="shared" si="350"/>
        <v>0</v>
      </c>
      <c r="AC216" s="172">
        <f t="shared" si="350"/>
        <v>0</v>
      </c>
      <c r="AD216" s="172">
        <f t="shared" si="350"/>
        <v>0</v>
      </c>
      <c r="AE216" s="164"/>
      <c r="AF216" s="172">
        <f>SUM(AF215:AF215)</f>
        <v>0</v>
      </c>
      <c r="AG216" s="164"/>
      <c r="AH216" s="172">
        <f t="shared" ref="AH216:AZ216" si="351">SUM(AH215:AH215)</f>
        <v>0</v>
      </c>
      <c r="AI216" s="172">
        <f t="shared" si="351"/>
        <v>0</v>
      </c>
      <c r="AJ216" s="172">
        <f t="shared" si="351"/>
        <v>0</v>
      </c>
      <c r="AK216" s="172">
        <f t="shared" si="351"/>
        <v>0</v>
      </c>
      <c r="AL216" s="172">
        <f t="shared" si="351"/>
        <v>0</v>
      </c>
      <c r="AM216" s="172">
        <f t="shared" si="351"/>
        <v>0</v>
      </c>
      <c r="AN216" s="172">
        <f t="shared" si="351"/>
        <v>0</v>
      </c>
      <c r="AO216" s="172">
        <f t="shared" si="351"/>
        <v>0</v>
      </c>
      <c r="AP216" s="172">
        <f t="shared" si="351"/>
        <v>0</v>
      </c>
      <c r="AQ216" s="172">
        <f t="shared" si="351"/>
        <v>0</v>
      </c>
      <c r="AR216" s="172">
        <f t="shared" si="351"/>
        <v>0</v>
      </c>
      <c r="AS216" s="172">
        <f t="shared" si="351"/>
        <v>0</v>
      </c>
      <c r="AT216" s="172">
        <f t="shared" si="351"/>
        <v>0</v>
      </c>
      <c r="AU216" s="172">
        <f t="shared" si="351"/>
        <v>0</v>
      </c>
      <c r="AV216" s="172">
        <f t="shared" si="351"/>
        <v>0</v>
      </c>
      <c r="AW216" s="172">
        <f t="shared" si="351"/>
        <v>0</v>
      </c>
      <c r="AX216" s="172">
        <f t="shared" si="351"/>
        <v>0</v>
      </c>
      <c r="AY216" s="172">
        <f t="shared" si="351"/>
        <v>0</v>
      </c>
      <c r="AZ216" s="172">
        <f t="shared" si="351"/>
        <v>0</v>
      </c>
      <c r="BA216" s="164"/>
      <c r="BB216" s="172">
        <f t="shared" ref="BB216:CT216" si="352">SUM(BB215:BB215)</f>
        <v>0</v>
      </c>
      <c r="BC216" s="172">
        <f t="shared" si="352"/>
        <v>0</v>
      </c>
      <c r="BD216" s="172">
        <f t="shared" si="352"/>
        <v>0</v>
      </c>
      <c r="BE216" s="172">
        <f t="shared" si="352"/>
        <v>0</v>
      </c>
      <c r="BF216" s="172">
        <f t="shared" si="352"/>
        <v>0</v>
      </c>
      <c r="BG216" s="172">
        <f t="shared" si="352"/>
        <v>0</v>
      </c>
      <c r="BH216" s="172">
        <f t="shared" si="352"/>
        <v>0</v>
      </c>
      <c r="BI216" s="172">
        <f t="shared" si="352"/>
        <v>0</v>
      </c>
      <c r="BJ216" s="172">
        <f t="shared" si="352"/>
        <v>0</v>
      </c>
      <c r="BK216" s="172">
        <f t="shared" si="352"/>
        <v>0</v>
      </c>
      <c r="BL216" s="172">
        <f t="shared" si="352"/>
        <v>0</v>
      </c>
      <c r="BM216" s="172">
        <f t="shared" si="352"/>
        <v>0</v>
      </c>
      <c r="BN216" s="172">
        <f t="shared" si="352"/>
        <v>0</v>
      </c>
      <c r="BO216" s="172">
        <f t="shared" si="352"/>
        <v>0</v>
      </c>
      <c r="BP216" s="172">
        <f t="shared" si="352"/>
        <v>0</v>
      </c>
      <c r="BQ216" s="172">
        <f t="shared" si="352"/>
        <v>0</v>
      </c>
      <c r="BR216" s="172">
        <f t="shared" si="352"/>
        <v>0</v>
      </c>
      <c r="BS216" s="172">
        <f t="shared" si="352"/>
        <v>0</v>
      </c>
      <c r="BT216" s="172">
        <f t="shared" si="352"/>
        <v>0</v>
      </c>
      <c r="BU216" s="172">
        <f t="shared" si="352"/>
        <v>0</v>
      </c>
      <c r="BV216" s="172">
        <f t="shared" si="352"/>
        <v>0</v>
      </c>
      <c r="BW216" s="172">
        <f t="shared" si="352"/>
        <v>0</v>
      </c>
      <c r="BX216" s="172">
        <f t="shared" si="352"/>
        <v>0</v>
      </c>
      <c r="BY216" s="172">
        <f t="shared" si="352"/>
        <v>0</v>
      </c>
      <c r="BZ216" s="172">
        <f t="shared" si="352"/>
        <v>0</v>
      </c>
      <c r="CA216" s="172">
        <f t="shared" si="352"/>
        <v>0</v>
      </c>
      <c r="CB216" s="172">
        <f t="shared" si="352"/>
        <v>0</v>
      </c>
      <c r="CC216" s="172">
        <f t="shared" si="352"/>
        <v>0</v>
      </c>
      <c r="CD216" s="172">
        <f t="shared" si="352"/>
        <v>0</v>
      </c>
      <c r="CE216" s="172">
        <f t="shared" si="352"/>
        <v>0</v>
      </c>
      <c r="CF216" s="172">
        <f t="shared" si="352"/>
        <v>0</v>
      </c>
      <c r="CG216" s="172">
        <f t="shared" si="352"/>
        <v>0</v>
      </c>
      <c r="CH216" s="172">
        <f t="shared" si="352"/>
        <v>0</v>
      </c>
      <c r="CI216" s="172">
        <f t="shared" si="352"/>
        <v>0</v>
      </c>
      <c r="CJ216" s="172">
        <f t="shared" si="352"/>
        <v>0</v>
      </c>
      <c r="CK216" s="172">
        <f t="shared" si="352"/>
        <v>0</v>
      </c>
      <c r="CL216" s="172">
        <f t="shared" si="352"/>
        <v>0</v>
      </c>
      <c r="CM216" s="172">
        <f t="shared" si="352"/>
        <v>0</v>
      </c>
      <c r="CN216" s="172">
        <f t="shared" si="352"/>
        <v>0</v>
      </c>
      <c r="CO216" s="172">
        <f t="shared" si="352"/>
        <v>0</v>
      </c>
      <c r="CP216" s="172">
        <f t="shared" si="352"/>
        <v>0</v>
      </c>
      <c r="CQ216" s="172">
        <f t="shared" si="352"/>
        <v>0</v>
      </c>
      <c r="CR216" s="172">
        <f t="shared" si="352"/>
        <v>0</v>
      </c>
      <c r="CS216" s="172">
        <f t="shared" si="352"/>
        <v>0</v>
      </c>
      <c r="CT216" s="172">
        <f t="shared" si="352"/>
        <v>0</v>
      </c>
      <c r="CU216" s="17">
        <f t="shared" si="293"/>
        <v>3044.9999999999995</v>
      </c>
      <c r="CV216" s="25">
        <f t="shared" si="294"/>
        <v>0</v>
      </c>
      <c r="CW216" s="176"/>
      <c r="CX216" s="164"/>
      <c r="CY216" s="164"/>
    </row>
    <row r="217" spans="1:103" x14ac:dyDescent="0.2">
      <c r="A217" s="2">
        <v>45883</v>
      </c>
      <c r="B217" s="3" t="s">
        <v>304</v>
      </c>
      <c r="C217" s="4" t="s">
        <v>556</v>
      </c>
      <c r="D217" s="5" t="s">
        <v>305</v>
      </c>
      <c r="E217" s="6" t="s">
        <v>306</v>
      </c>
      <c r="F217" s="7" t="s">
        <v>307</v>
      </c>
      <c r="G217" s="8" t="s">
        <v>308</v>
      </c>
      <c r="H217" s="9">
        <v>1000000000046270</v>
      </c>
      <c r="I217" s="10"/>
      <c r="J217" s="11"/>
      <c r="K217" s="12">
        <v>1</v>
      </c>
      <c r="L217" s="13">
        <v>2000</v>
      </c>
      <c r="M217" s="14">
        <f t="shared" ref="M217" si="353">L217*K217</f>
        <v>2000</v>
      </c>
      <c r="N217" s="15"/>
      <c r="O217" s="16" t="s">
        <v>111</v>
      </c>
      <c r="P217" s="17">
        <f>M217/1.12*0.02</f>
        <v>35.714285714285715</v>
      </c>
      <c r="Q217" s="18">
        <f>M217/1.12*0.12</f>
        <v>214.28571428571425</v>
      </c>
      <c r="R217" s="5"/>
      <c r="S217" s="19"/>
      <c r="T217" s="19"/>
      <c r="U217" s="19"/>
      <c r="V217" s="19"/>
      <c r="W217" s="17"/>
      <c r="X217" s="20"/>
      <c r="Y217" s="19"/>
      <c r="Z217" s="19"/>
      <c r="AA217" s="19"/>
      <c r="AB217" s="19"/>
      <c r="AC217" s="19"/>
      <c r="AD217" s="19"/>
      <c r="AE217" s="5"/>
      <c r="AF217" s="19"/>
      <c r="AG217" s="5"/>
      <c r="AH217" s="17"/>
      <c r="AI217" s="19"/>
      <c r="AJ217" s="19"/>
      <c r="AK217" s="17">
        <f>M217+P217-Q217</f>
        <v>1821.4285714285716</v>
      </c>
      <c r="AL217" s="19"/>
      <c r="AM217" s="17"/>
      <c r="AN217" s="19"/>
      <c r="AO217" s="19"/>
      <c r="AP217" s="19"/>
      <c r="AQ217" s="19"/>
      <c r="AR217" s="19"/>
      <c r="AS217" s="21"/>
      <c r="AT217" s="5"/>
      <c r="AU217" s="19"/>
      <c r="AV217" s="5"/>
      <c r="AW217" s="22"/>
      <c r="AX217" s="19"/>
      <c r="AY217" s="5"/>
      <c r="AZ217" s="19"/>
      <c r="BA217" s="5"/>
      <c r="BB217" s="5"/>
      <c r="BC217" s="19"/>
      <c r="BD217" s="19"/>
      <c r="BE217" s="19"/>
      <c r="BF217" s="19"/>
      <c r="BG217" s="19"/>
      <c r="BH217" s="19"/>
      <c r="BI217" s="19"/>
      <c r="BJ217" s="19"/>
      <c r="BK217" s="13"/>
      <c r="BL217" s="5"/>
      <c r="BM217" s="5"/>
      <c r="BN217" s="19"/>
      <c r="BO217" s="17"/>
      <c r="BP217" s="19"/>
      <c r="BQ217" s="17"/>
      <c r="BR217" s="19"/>
      <c r="BS217" s="13"/>
      <c r="BT217" s="5"/>
      <c r="BU217" s="23"/>
      <c r="BV217" s="23"/>
      <c r="BW217" s="24"/>
      <c r="BX217" s="5"/>
      <c r="BY217" s="5"/>
      <c r="BZ217" s="5"/>
      <c r="CA217" s="24"/>
      <c r="CB217" s="24"/>
      <c r="CC217" s="24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>
        <f t="shared" si="293"/>
        <v>2000</v>
      </c>
      <c r="CV217" s="25">
        <f t="shared" si="294"/>
        <v>0</v>
      </c>
      <c r="CW217" s="26"/>
      <c r="CX217" s="5"/>
      <c r="CY217" s="5"/>
    </row>
    <row r="218" spans="1:103" x14ac:dyDescent="0.2">
      <c r="A218" s="161"/>
      <c r="B218" s="162"/>
      <c r="C218" s="163"/>
      <c r="D218" s="164"/>
      <c r="E218" s="165"/>
      <c r="F218" s="166"/>
      <c r="G218" s="167"/>
      <c r="H218" s="168"/>
      <c r="I218" s="168"/>
      <c r="J218" s="169"/>
      <c r="K218" s="170"/>
      <c r="L218" s="171"/>
      <c r="M218" s="172">
        <f>SUM(M217:M217)</f>
        <v>2000</v>
      </c>
      <c r="N218" s="172">
        <f>M218</f>
        <v>2000</v>
      </c>
      <c r="O218" s="173" t="s">
        <v>111</v>
      </c>
      <c r="P218" s="172">
        <f>SUM(P217:P217)</f>
        <v>35.714285714285715</v>
      </c>
      <c r="Q218" s="172">
        <f>SUM(Q217:Q217)</f>
        <v>214.28571428571425</v>
      </c>
      <c r="R218" s="164"/>
      <c r="S218" s="172">
        <f t="shared" ref="S218:AD218" si="354">SUM(S217:S217)</f>
        <v>0</v>
      </c>
      <c r="T218" s="172">
        <f t="shared" si="354"/>
        <v>0</v>
      </c>
      <c r="U218" s="172">
        <f t="shared" si="354"/>
        <v>0</v>
      </c>
      <c r="V218" s="172">
        <f t="shared" si="354"/>
        <v>0</v>
      </c>
      <c r="W218" s="172">
        <f t="shared" si="354"/>
        <v>0</v>
      </c>
      <c r="X218" s="172">
        <f t="shared" si="354"/>
        <v>0</v>
      </c>
      <c r="Y218" s="172">
        <f t="shared" si="354"/>
        <v>0</v>
      </c>
      <c r="Z218" s="172">
        <f t="shared" si="354"/>
        <v>0</v>
      </c>
      <c r="AA218" s="172">
        <f t="shared" si="354"/>
        <v>0</v>
      </c>
      <c r="AB218" s="172">
        <f t="shared" si="354"/>
        <v>0</v>
      </c>
      <c r="AC218" s="172">
        <f t="shared" si="354"/>
        <v>0</v>
      </c>
      <c r="AD218" s="172">
        <f t="shared" si="354"/>
        <v>0</v>
      </c>
      <c r="AE218" s="164"/>
      <c r="AF218" s="172">
        <f>SUM(AF217:AF217)</f>
        <v>0</v>
      </c>
      <c r="AG218" s="164"/>
      <c r="AH218" s="172">
        <f t="shared" ref="AH218:AZ218" si="355">SUM(AH217:AH217)</f>
        <v>0</v>
      </c>
      <c r="AI218" s="172">
        <f t="shared" si="355"/>
        <v>0</v>
      </c>
      <c r="AJ218" s="172">
        <f t="shared" si="355"/>
        <v>0</v>
      </c>
      <c r="AK218" s="172">
        <f>SUM(AK217:AK217)</f>
        <v>1821.4285714285716</v>
      </c>
      <c r="AL218" s="172">
        <f t="shared" si="355"/>
        <v>0</v>
      </c>
      <c r="AM218" s="172">
        <f t="shared" si="355"/>
        <v>0</v>
      </c>
      <c r="AN218" s="172">
        <f t="shared" si="355"/>
        <v>0</v>
      </c>
      <c r="AO218" s="172">
        <f t="shared" si="355"/>
        <v>0</v>
      </c>
      <c r="AP218" s="172">
        <f t="shared" si="355"/>
        <v>0</v>
      </c>
      <c r="AQ218" s="172">
        <f t="shared" si="355"/>
        <v>0</v>
      </c>
      <c r="AR218" s="172">
        <f t="shared" si="355"/>
        <v>0</v>
      </c>
      <c r="AS218" s="172">
        <f t="shared" si="355"/>
        <v>0</v>
      </c>
      <c r="AT218" s="172">
        <f t="shared" si="355"/>
        <v>0</v>
      </c>
      <c r="AU218" s="172">
        <f t="shared" si="355"/>
        <v>0</v>
      </c>
      <c r="AV218" s="172">
        <f t="shared" si="355"/>
        <v>0</v>
      </c>
      <c r="AW218" s="172">
        <f t="shared" si="355"/>
        <v>0</v>
      </c>
      <c r="AX218" s="172">
        <f t="shared" si="355"/>
        <v>0</v>
      </c>
      <c r="AY218" s="172">
        <f t="shared" si="355"/>
        <v>0</v>
      </c>
      <c r="AZ218" s="172">
        <f t="shared" si="355"/>
        <v>0</v>
      </c>
      <c r="BA218" s="164"/>
      <c r="BB218" s="172">
        <f t="shared" ref="BB218:CT218" si="356">SUM(BB217:BB217)</f>
        <v>0</v>
      </c>
      <c r="BC218" s="172">
        <f t="shared" si="356"/>
        <v>0</v>
      </c>
      <c r="BD218" s="172">
        <f t="shared" si="356"/>
        <v>0</v>
      </c>
      <c r="BE218" s="172">
        <f t="shared" si="356"/>
        <v>0</v>
      </c>
      <c r="BF218" s="172">
        <f t="shared" si="356"/>
        <v>0</v>
      </c>
      <c r="BG218" s="172">
        <f t="shared" si="356"/>
        <v>0</v>
      </c>
      <c r="BH218" s="172">
        <f t="shared" si="356"/>
        <v>0</v>
      </c>
      <c r="BI218" s="172">
        <f t="shared" si="356"/>
        <v>0</v>
      </c>
      <c r="BJ218" s="172">
        <f t="shared" si="356"/>
        <v>0</v>
      </c>
      <c r="BK218" s="172">
        <f t="shared" si="356"/>
        <v>0</v>
      </c>
      <c r="BL218" s="172">
        <f t="shared" si="356"/>
        <v>0</v>
      </c>
      <c r="BM218" s="172">
        <f t="shared" si="356"/>
        <v>0</v>
      </c>
      <c r="BN218" s="172">
        <f t="shared" si="356"/>
        <v>0</v>
      </c>
      <c r="BO218" s="172">
        <f t="shared" si="356"/>
        <v>0</v>
      </c>
      <c r="BP218" s="172">
        <f t="shared" si="356"/>
        <v>0</v>
      </c>
      <c r="BQ218" s="172">
        <f t="shared" si="356"/>
        <v>0</v>
      </c>
      <c r="BR218" s="172">
        <f t="shared" si="356"/>
        <v>0</v>
      </c>
      <c r="BS218" s="172">
        <f t="shared" si="356"/>
        <v>0</v>
      </c>
      <c r="BT218" s="172">
        <f t="shared" si="356"/>
        <v>0</v>
      </c>
      <c r="BU218" s="172">
        <f t="shared" si="356"/>
        <v>0</v>
      </c>
      <c r="BV218" s="172">
        <f t="shared" si="356"/>
        <v>0</v>
      </c>
      <c r="BW218" s="172">
        <f t="shared" si="356"/>
        <v>0</v>
      </c>
      <c r="BX218" s="172">
        <f t="shared" si="356"/>
        <v>0</v>
      </c>
      <c r="BY218" s="172">
        <f t="shared" si="356"/>
        <v>0</v>
      </c>
      <c r="BZ218" s="172">
        <f t="shared" si="356"/>
        <v>0</v>
      </c>
      <c r="CA218" s="172">
        <f t="shared" si="356"/>
        <v>0</v>
      </c>
      <c r="CB218" s="172">
        <f t="shared" si="356"/>
        <v>0</v>
      </c>
      <c r="CC218" s="172">
        <f t="shared" si="356"/>
        <v>0</v>
      </c>
      <c r="CD218" s="172">
        <f t="shared" si="356"/>
        <v>0</v>
      </c>
      <c r="CE218" s="172">
        <f t="shared" si="356"/>
        <v>0</v>
      </c>
      <c r="CF218" s="172">
        <f t="shared" si="356"/>
        <v>0</v>
      </c>
      <c r="CG218" s="172">
        <f t="shared" si="356"/>
        <v>0</v>
      </c>
      <c r="CH218" s="172">
        <f t="shared" si="356"/>
        <v>0</v>
      </c>
      <c r="CI218" s="172">
        <f t="shared" si="356"/>
        <v>0</v>
      </c>
      <c r="CJ218" s="172">
        <f t="shared" si="356"/>
        <v>0</v>
      </c>
      <c r="CK218" s="172">
        <f t="shared" si="356"/>
        <v>0</v>
      </c>
      <c r="CL218" s="172">
        <f t="shared" si="356"/>
        <v>0</v>
      </c>
      <c r="CM218" s="172">
        <f t="shared" si="356"/>
        <v>0</v>
      </c>
      <c r="CN218" s="172">
        <f t="shared" si="356"/>
        <v>0</v>
      </c>
      <c r="CO218" s="172">
        <f t="shared" si="356"/>
        <v>0</v>
      </c>
      <c r="CP218" s="172">
        <f t="shared" si="356"/>
        <v>0</v>
      </c>
      <c r="CQ218" s="172">
        <f t="shared" si="356"/>
        <v>0</v>
      </c>
      <c r="CR218" s="172">
        <f t="shared" si="356"/>
        <v>0</v>
      </c>
      <c r="CS218" s="172">
        <f t="shared" si="356"/>
        <v>0</v>
      </c>
      <c r="CT218" s="172">
        <f t="shared" si="356"/>
        <v>0</v>
      </c>
      <c r="CU218" s="17">
        <f t="shared" si="293"/>
        <v>2000</v>
      </c>
      <c r="CV218" s="25">
        <f t="shared" si="294"/>
        <v>0</v>
      </c>
      <c r="CW218" s="176"/>
      <c r="CX218" s="164"/>
      <c r="CY218" s="164"/>
    </row>
    <row r="219" spans="1:103" x14ac:dyDescent="0.2">
      <c r="A219" s="2">
        <v>45883</v>
      </c>
      <c r="B219" s="3" t="s">
        <v>314</v>
      </c>
      <c r="C219" s="4" t="s">
        <v>557</v>
      </c>
      <c r="D219" s="5" t="s">
        <v>315</v>
      </c>
      <c r="E219" s="6" t="s">
        <v>316</v>
      </c>
      <c r="F219" s="7" t="s">
        <v>229</v>
      </c>
      <c r="G219" s="8" t="s">
        <v>149</v>
      </c>
      <c r="H219" s="9">
        <v>267192</v>
      </c>
      <c r="I219" s="10" t="s">
        <v>464</v>
      </c>
      <c r="J219" s="11" t="s">
        <v>317</v>
      </c>
      <c r="K219" s="12">
        <v>6</v>
      </c>
      <c r="L219" s="13">
        <v>546.75</v>
      </c>
      <c r="M219" s="14">
        <f t="shared" ref="M219" si="357">L219*K219</f>
        <v>3280.5</v>
      </c>
      <c r="N219" s="15"/>
      <c r="O219" s="16" t="s">
        <v>111</v>
      </c>
      <c r="P219" s="17">
        <f>M219/1.12*0.01</f>
        <v>29.290178571428569</v>
      </c>
      <c r="Q219" s="18">
        <f>M219/1.12*0.12</f>
        <v>351.48214285714283</v>
      </c>
      <c r="R219" s="17">
        <f>M219+P219-Q219</f>
        <v>2958.3080357142858</v>
      </c>
      <c r="S219" s="19"/>
      <c r="T219" s="19"/>
      <c r="U219" s="19"/>
      <c r="V219" s="19"/>
      <c r="W219" s="17"/>
      <c r="X219" s="20"/>
      <c r="Y219" s="19"/>
      <c r="Z219" s="19"/>
      <c r="AA219" s="19"/>
      <c r="AB219" s="19"/>
      <c r="AC219" s="19"/>
      <c r="AD219" s="19"/>
      <c r="AE219" s="5"/>
      <c r="AF219" s="19"/>
      <c r="AG219" s="5"/>
      <c r="AH219" s="17"/>
      <c r="AI219" s="19"/>
      <c r="AJ219" s="19"/>
      <c r="AK219" s="19"/>
      <c r="AL219" s="19"/>
      <c r="AM219" s="17"/>
      <c r="AN219" s="19"/>
      <c r="AO219" s="19"/>
      <c r="AP219" s="19"/>
      <c r="AQ219" s="19"/>
      <c r="AR219" s="19"/>
      <c r="AS219" s="21"/>
      <c r="AT219" s="5"/>
      <c r="AU219" s="19"/>
      <c r="AV219" s="5"/>
      <c r="AW219" s="22"/>
      <c r="AX219" s="19"/>
      <c r="AY219" s="5"/>
      <c r="AZ219" s="19"/>
      <c r="BA219" s="5"/>
      <c r="BB219" s="5"/>
      <c r="BC219" s="19"/>
      <c r="BD219" s="19"/>
      <c r="BE219" s="19"/>
      <c r="BF219" s="19"/>
      <c r="BG219" s="19"/>
      <c r="BH219" s="19"/>
      <c r="BI219" s="19"/>
      <c r="BJ219" s="19"/>
      <c r="BK219" s="13"/>
      <c r="BL219" s="5"/>
      <c r="BM219" s="5"/>
      <c r="BN219" s="19"/>
      <c r="BO219" s="17"/>
      <c r="BP219" s="19"/>
      <c r="BQ219" s="17"/>
      <c r="BR219" s="19"/>
      <c r="BS219" s="13"/>
      <c r="BT219" s="5"/>
      <c r="BU219" s="23"/>
      <c r="BV219" s="23"/>
      <c r="BW219" s="24"/>
      <c r="BX219" s="5"/>
      <c r="BY219" s="5"/>
      <c r="BZ219" s="5"/>
      <c r="CA219" s="24"/>
      <c r="CB219" s="24"/>
      <c r="CC219" s="24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>
        <f t="shared" si="293"/>
        <v>3280.5</v>
      </c>
      <c r="CV219" s="25">
        <f t="shared" si="294"/>
        <v>0</v>
      </c>
      <c r="CW219" s="26"/>
      <c r="CX219" s="5"/>
      <c r="CY219" s="5"/>
    </row>
    <row r="220" spans="1:103" x14ac:dyDescent="0.2">
      <c r="A220" s="161"/>
      <c r="B220" s="162"/>
      <c r="C220" s="163"/>
      <c r="D220" s="164"/>
      <c r="E220" s="165"/>
      <c r="F220" s="166"/>
      <c r="G220" s="167"/>
      <c r="H220" s="168"/>
      <c r="I220" s="168"/>
      <c r="J220" s="169"/>
      <c r="K220" s="170"/>
      <c r="L220" s="171"/>
      <c r="M220" s="172">
        <f>SUM(M219:M219)</f>
        <v>3280.5</v>
      </c>
      <c r="N220" s="172">
        <f>M220</f>
        <v>3280.5</v>
      </c>
      <c r="O220" s="173" t="s">
        <v>111</v>
      </c>
      <c r="P220" s="172">
        <f>SUM(P219:P219)</f>
        <v>29.290178571428569</v>
      </c>
      <c r="Q220" s="172">
        <f>SUM(Q219:Q219)</f>
        <v>351.48214285714283</v>
      </c>
      <c r="R220" s="172">
        <f>SUM(R219:R219)</f>
        <v>2958.3080357142858</v>
      </c>
      <c r="S220" s="172">
        <f t="shared" ref="S220:AD220" si="358">SUM(S219:S219)</f>
        <v>0</v>
      </c>
      <c r="T220" s="172">
        <f t="shared" si="358"/>
        <v>0</v>
      </c>
      <c r="U220" s="172">
        <f t="shared" si="358"/>
        <v>0</v>
      </c>
      <c r="V220" s="172">
        <f t="shared" si="358"/>
        <v>0</v>
      </c>
      <c r="W220" s="172">
        <f t="shared" si="358"/>
        <v>0</v>
      </c>
      <c r="X220" s="172">
        <f t="shared" si="358"/>
        <v>0</v>
      </c>
      <c r="Y220" s="172">
        <f t="shared" si="358"/>
        <v>0</v>
      </c>
      <c r="Z220" s="172">
        <f t="shared" si="358"/>
        <v>0</v>
      </c>
      <c r="AA220" s="172">
        <f t="shared" si="358"/>
        <v>0</v>
      </c>
      <c r="AB220" s="172">
        <f t="shared" si="358"/>
        <v>0</v>
      </c>
      <c r="AC220" s="172">
        <f t="shared" si="358"/>
        <v>0</v>
      </c>
      <c r="AD220" s="172">
        <f t="shared" si="358"/>
        <v>0</v>
      </c>
      <c r="AE220" s="164"/>
      <c r="AF220" s="172">
        <f>SUM(AF219:AF219)</f>
        <v>0</v>
      </c>
      <c r="AG220" s="164"/>
      <c r="AH220" s="172">
        <f t="shared" ref="AH220:AZ220" si="359">SUM(AH219:AH219)</f>
        <v>0</v>
      </c>
      <c r="AI220" s="172">
        <f t="shared" si="359"/>
        <v>0</v>
      </c>
      <c r="AJ220" s="172">
        <f t="shared" si="359"/>
        <v>0</v>
      </c>
      <c r="AK220" s="172">
        <f t="shared" si="359"/>
        <v>0</v>
      </c>
      <c r="AL220" s="172">
        <f t="shared" si="359"/>
        <v>0</v>
      </c>
      <c r="AM220" s="172">
        <f t="shared" si="359"/>
        <v>0</v>
      </c>
      <c r="AN220" s="172">
        <f t="shared" si="359"/>
        <v>0</v>
      </c>
      <c r="AO220" s="172">
        <f t="shared" si="359"/>
        <v>0</v>
      </c>
      <c r="AP220" s="172">
        <f t="shared" si="359"/>
        <v>0</v>
      </c>
      <c r="AQ220" s="172">
        <f t="shared" si="359"/>
        <v>0</v>
      </c>
      <c r="AR220" s="172">
        <f t="shared" si="359"/>
        <v>0</v>
      </c>
      <c r="AS220" s="172">
        <f t="shared" si="359"/>
        <v>0</v>
      </c>
      <c r="AT220" s="172">
        <f t="shared" si="359"/>
        <v>0</v>
      </c>
      <c r="AU220" s="172">
        <f t="shared" si="359"/>
        <v>0</v>
      </c>
      <c r="AV220" s="172">
        <f t="shared" si="359"/>
        <v>0</v>
      </c>
      <c r="AW220" s="172">
        <f t="shared" si="359"/>
        <v>0</v>
      </c>
      <c r="AX220" s="172">
        <f t="shared" si="359"/>
        <v>0</v>
      </c>
      <c r="AY220" s="172">
        <f t="shared" si="359"/>
        <v>0</v>
      </c>
      <c r="AZ220" s="172">
        <f t="shared" si="359"/>
        <v>0</v>
      </c>
      <c r="BA220" s="164"/>
      <c r="BB220" s="172">
        <f t="shared" ref="BB220:CT220" si="360">SUM(BB219:BB219)</f>
        <v>0</v>
      </c>
      <c r="BC220" s="172">
        <f t="shared" si="360"/>
        <v>0</v>
      </c>
      <c r="BD220" s="172">
        <f t="shared" si="360"/>
        <v>0</v>
      </c>
      <c r="BE220" s="172">
        <f t="shared" si="360"/>
        <v>0</v>
      </c>
      <c r="BF220" s="172">
        <f t="shared" si="360"/>
        <v>0</v>
      </c>
      <c r="BG220" s="172">
        <f t="shared" si="360"/>
        <v>0</v>
      </c>
      <c r="BH220" s="172">
        <f t="shared" si="360"/>
        <v>0</v>
      </c>
      <c r="BI220" s="172">
        <f t="shared" si="360"/>
        <v>0</v>
      </c>
      <c r="BJ220" s="172">
        <f t="shared" si="360"/>
        <v>0</v>
      </c>
      <c r="BK220" s="172">
        <f t="shared" si="360"/>
        <v>0</v>
      </c>
      <c r="BL220" s="172">
        <f t="shared" si="360"/>
        <v>0</v>
      </c>
      <c r="BM220" s="172">
        <f t="shared" si="360"/>
        <v>0</v>
      </c>
      <c r="BN220" s="172">
        <f t="shared" si="360"/>
        <v>0</v>
      </c>
      <c r="BO220" s="172">
        <f t="shared" si="360"/>
        <v>0</v>
      </c>
      <c r="BP220" s="172">
        <f t="shared" si="360"/>
        <v>0</v>
      </c>
      <c r="BQ220" s="172">
        <f t="shared" si="360"/>
        <v>0</v>
      </c>
      <c r="BR220" s="172">
        <f t="shared" si="360"/>
        <v>0</v>
      </c>
      <c r="BS220" s="172">
        <f t="shared" si="360"/>
        <v>0</v>
      </c>
      <c r="BT220" s="172">
        <f t="shared" si="360"/>
        <v>0</v>
      </c>
      <c r="BU220" s="172">
        <f t="shared" si="360"/>
        <v>0</v>
      </c>
      <c r="BV220" s="172">
        <f t="shared" si="360"/>
        <v>0</v>
      </c>
      <c r="BW220" s="172">
        <f t="shared" si="360"/>
        <v>0</v>
      </c>
      <c r="BX220" s="172">
        <f t="shared" si="360"/>
        <v>0</v>
      </c>
      <c r="BY220" s="172">
        <f t="shared" si="360"/>
        <v>0</v>
      </c>
      <c r="BZ220" s="172">
        <f t="shared" si="360"/>
        <v>0</v>
      </c>
      <c r="CA220" s="172">
        <f t="shared" si="360"/>
        <v>0</v>
      </c>
      <c r="CB220" s="172">
        <f t="shared" si="360"/>
        <v>0</v>
      </c>
      <c r="CC220" s="172">
        <f t="shared" si="360"/>
        <v>0</v>
      </c>
      <c r="CD220" s="172">
        <f t="shared" si="360"/>
        <v>0</v>
      </c>
      <c r="CE220" s="172">
        <f t="shared" si="360"/>
        <v>0</v>
      </c>
      <c r="CF220" s="172">
        <f t="shared" si="360"/>
        <v>0</v>
      </c>
      <c r="CG220" s="172">
        <f t="shared" si="360"/>
        <v>0</v>
      </c>
      <c r="CH220" s="172">
        <f t="shared" si="360"/>
        <v>0</v>
      </c>
      <c r="CI220" s="172">
        <f t="shared" si="360"/>
        <v>0</v>
      </c>
      <c r="CJ220" s="172">
        <f t="shared" si="360"/>
        <v>0</v>
      </c>
      <c r="CK220" s="172">
        <f t="shared" si="360"/>
        <v>0</v>
      </c>
      <c r="CL220" s="172">
        <f t="shared" si="360"/>
        <v>0</v>
      </c>
      <c r="CM220" s="172">
        <f t="shared" si="360"/>
        <v>0</v>
      </c>
      <c r="CN220" s="172">
        <f t="shared" si="360"/>
        <v>0</v>
      </c>
      <c r="CO220" s="172">
        <f t="shared" si="360"/>
        <v>0</v>
      </c>
      <c r="CP220" s="172">
        <f t="shared" si="360"/>
        <v>0</v>
      </c>
      <c r="CQ220" s="172">
        <f t="shared" si="360"/>
        <v>0</v>
      </c>
      <c r="CR220" s="172">
        <f t="shared" si="360"/>
        <v>0</v>
      </c>
      <c r="CS220" s="172">
        <f t="shared" si="360"/>
        <v>0</v>
      </c>
      <c r="CT220" s="172">
        <f t="shared" si="360"/>
        <v>0</v>
      </c>
      <c r="CU220" s="17">
        <f t="shared" si="293"/>
        <v>3280.5</v>
      </c>
      <c r="CV220" s="25">
        <f t="shared" si="294"/>
        <v>0</v>
      </c>
      <c r="CW220" s="176"/>
      <c r="CX220" s="164"/>
      <c r="CY220" s="164"/>
    </row>
    <row r="221" spans="1:103" x14ac:dyDescent="0.2">
      <c r="A221" s="2">
        <v>45883</v>
      </c>
      <c r="B221" s="3" t="s">
        <v>465</v>
      </c>
      <c r="C221" s="4" t="s">
        <v>558</v>
      </c>
      <c r="D221" s="5" t="s">
        <v>466</v>
      </c>
      <c r="E221" s="6" t="s">
        <v>455</v>
      </c>
      <c r="F221" s="7" t="s">
        <v>467</v>
      </c>
      <c r="G221" s="8" t="s">
        <v>457</v>
      </c>
      <c r="H221" s="9">
        <v>54670</v>
      </c>
      <c r="I221" s="10" t="s">
        <v>468</v>
      </c>
      <c r="J221" s="11" t="s">
        <v>469</v>
      </c>
      <c r="K221" s="12">
        <v>6.5</v>
      </c>
      <c r="L221" s="13">
        <v>350</v>
      </c>
      <c r="M221" s="14">
        <f t="shared" ref="M221:M222" si="361">L221*K221</f>
        <v>2275</v>
      </c>
      <c r="N221" s="15"/>
      <c r="O221" s="16" t="s">
        <v>137</v>
      </c>
      <c r="P221" s="17">
        <f>M221*0.01</f>
        <v>22.75</v>
      </c>
      <c r="Q221" s="18"/>
      <c r="R221" s="17">
        <f>M221+P221-Q221</f>
        <v>2297.75</v>
      </c>
      <c r="S221" s="19"/>
      <c r="T221" s="19"/>
      <c r="U221" s="19"/>
      <c r="V221" s="19"/>
      <c r="W221" s="17"/>
      <c r="X221" s="20"/>
      <c r="Y221" s="19"/>
      <c r="Z221" s="19"/>
      <c r="AA221" s="19"/>
      <c r="AB221" s="19"/>
      <c r="AC221" s="19"/>
      <c r="AD221" s="19"/>
      <c r="AE221" s="5"/>
      <c r="AF221" s="19"/>
      <c r="AG221" s="5"/>
      <c r="AH221" s="17"/>
      <c r="AI221" s="19"/>
      <c r="AJ221" s="19"/>
      <c r="AK221" s="19"/>
      <c r="AL221" s="19"/>
      <c r="AM221" s="17"/>
      <c r="AN221" s="19"/>
      <c r="AO221" s="19"/>
      <c r="AP221" s="19"/>
      <c r="AQ221" s="19"/>
      <c r="AR221" s="19"/>
      <c r="AS221" s="21"/>
      <c r="AT221" s="5"/>
      <c r="AU221" s="19"/>
      <c r="AV221" s="5"/>
      <c r="AW221" s="22"/>
      <c r="AX221" s="19"/>
      <c r="AY221" s="5"/>
      <c r="AZ221" s="19"/>
      <c r="BA221" s="5"/>
      <c r="BB221" s="5"/>
      <c r="BC221" s="19"/>
      <c r="BD221" s="19"/>
      <c r="BE221" s="19"/>
      <c r="BF221" s="19"/>
      <c r="BG221" s="19"/>
      <c r="BH221" s="19"/>
      <c r="BI221" s="19"/>
      <c r="BJ221" s="19"/>
      <c r="BK221" s="13"/>
      <c r="BL221" s="5"/>
      <c r="BM221" s="5"/>
      <c r="BN221" s="19"/>
      <c r="BO221" s="17"/>
      <c r="BP221" s="19"/>
      <c r="BQ221" s="17"/>
      <c r="BR221" s="19"/>
      <c r="BS221" s="13"/>
      <c r="BT221" s="5"/>
      <c r="BU221" s="23"/>
      <c r="BV221" s="23"/>
      <c r="BW221" s="24"/>
      <c r="BX221" s="5"/>
      <c r="BY221" s="5"/>
      <c r="BZ221" s="5"/>
      <c r="CA221" s="24"/>
      <c r="CB221" s="24"/>
      <c r="CC221" s="24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>
        <f t="shared" si="293"/>
        <v>2275</v>
      </c>
      <c r="CV221" s="25">
        <f t="shared" si="294"/>
        <v>0</v>
      </c>
      <c r="CW221" s="26"/>
      <c r="CX221" s="5"/>
      <c r="CY221" s="5"/>
    </row>
    <row r="222" spans="1:103" x14ac:dyDescent="0.2">
      <c r="A222" s="2"/>
      <c r="B222" s="3"/>
      <c r="C222" s="4"/>
      <c r="D222" s="5"/>
      <c r="E222" s="6"/>
      <c r="F222" s="7"/>
      <c r="G222" s="8"/>
      <c r="H222" s="9"/>
      <c r="I222" s="10"/>
      <c r="J222" s="11" t="s">
        <v>470</v>
      </c>
      <c r="K222" s="12">
        <v>10.45</v>
      </c>
      <c r="L222" s="13">
        <v>380</v>
      </c>
      <c r="M222" s="14">
        <f t="shared" si="361"/>
        <v>3970.9999999999995</v>
      </c>
      <c r="N222" s="15"/>
      <c r="O222" s="16" t="s">
        <v>137</v>
      </c>
      <c r="P222" s="17">
        <f>M222*0.01</f>
        <v>39.709999999999994</v>
      </c>
      <c r="Q222" s="18"/>
      <c r="R222" s="17">
        <f t="shared" ref="R222" si="362">M222+P222-Q222</f>
        <v>4010.7099999999996</v>
      </c>
      <c r="S222" s="19"/>
      <c r="T222" s="19"/>
      <c r="U222" s="19"/>
      <c r="V222" s="19"/>
      <c r="W222" s="17"/>
      <c r="X222" s="20"/>
      <c r="Y222" s="19"/>
      <c r="Z222" s="19"/>
      <c r="AA222" s="19"/>
      <c r="AB222" s="19"/>
      <c r="AC222" s="19"/>
      <c r="AD222" s="19"/>
      <c r="AE222" s="5"/>
      <c r="AF222" s="19"/>
      <c r="AG222" s="5"/>
      <c r="AH222" s="17"/>
      <c r="AI222" s="19"/>
      <c r="AJ222" s="19"/>
      <c r="AK222" s="19"/>
      <c r="AL222" s="19"/>
      <c r="AM222" s="17"/>
      <c r="AN222" s="19"/>
      <c r="AO222" s="19"/>
      <c r="AP222" s="19"/>
      <c r="AQ222" s="19"/>
      <c r="AR222" s="19"/>
      <c r="AS222" s="21"/>
      <c r="AT222" s="5"/>
      <c r="AU222" s="19"/>
      <c r="AV222" s="5"/>
      <c r="AW222" s="22"/>
      <c r="AX222" s="19"/>
      <c r="AY222" s="5"/>
      <c r="AZ222" s="19"/>
      <c r="BA222" s="5"/>
      <c r="BB222" s="5"/>
      <c r="BC222" s="19"/>
      <c r="BD222" s="19"/>
      <c r="BE222" s="19"/>
      <c r="BF222" s="19"/>
      <c r="BG222" s="19"/>
      <c r="BH222" s="19"/>
      <c r="BI222" s="19"/>
      <c r="BJ222" s="19"/>
      <c r="BK222" s="13"/>
      <c r="BL222" s="5"/>
      <c r="BM222" s="5"/>
      <c r="BN222" s="19"/>
      <c r="BO222" s="17"/>
      <c r="BP222" s="19"/>
      <c r="BQ222" s="17"/>
      <c r="BR222" s="19"/>
      <c r="BS222" s="13"/>
      <c r="BT222" s="5"/>
      <c r="BU222" s="23"/>
      <c r="BV222" s="23"/>
      <c r="BW222" s="24"/>
      <c r="BX222" s="5"/>
      <c r="BY222" s="5"/>
      <c r="BZ222" s="5"/>
      <c r="CA222" s="24"/>
      <c r="CB222" s="24"/>
      <c r="CC222" s="24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>
        <f t="shared" si="293"/>
        <v>3970.9999999999995</v>
      </c>
      <c r="CV222" s="25">
        <f t="shared" si="294"/>
        <v>0</v>
      </c>
      <c r="CW222" s="26"/>
      <c r="CX222" s="5"/>
      <c r="CY222" s="5"/>
    </row>
    <row r="223" spans="1:103" x14ac:dyDescent="0.2">
      <c r="A223" s="161"/>
      <c r="B223" s="162"/>
      <c r="C223" s="163"/>
      <c r="D223" s="164"/>
      <c r="E223" s="165"/>
      <c r="F223" s="166"/>
      <c r="G223" s="167"/>
      <c r="H223" s="168"/>
      <c r="I223" s="168"/>
      <c r="J223" s="169"/>
      <c r="K223" s="170"/>
      <c r="L223" s="171"/>
      <c r="M223" s="172">
        <f>SUM(M221:M222)</f>
        <v>6246</v>
      </c>
      <c r="N223" s="172">
        <f>M223</f>
        <v>6246</v>
      </c>
      <c r="O223" s="173" t="s">
        <v>137</v>
      </c>
      <c r="P223" s="172">
        <f>SUM(P221:P222)</f>
        <v>62.459999999999994</v>
      </c>
      <c r="Q223" s="172"/>
      <c r="R223" s="172">
        <f>SUM(R221:R222)</f>
        <v>6308.4599999999991</v>
      </c>
      <c r="S223" s="172">
        <f t="shared" ref="S223:AD223" si="363">SUM(S221:S221)</f>
        <v>0</v>
      </c>
      <c r="T223" s="172">
        <f t="shared" si="363"/>
        <v>0</v>
      </c>
      <c r="U223" s="172">
        <f t="shared" si="363"/>
        <v>0</v>
      </c>
      <c r="V223" s="172">
        <f t="shared" si="363"/>
        <v>0</v>
      </c>
      <c r="W223" s="172">
        <f t="shared" si="363"/>
        <v>0</v>
      </c>
      <c r="X223" s="172">
        <f t="shared" si="363"/>
        <v>0</v>
      </c>
      <c r="Y223" s="172">
        <f t="shared" si="363"/>
        <v>0</v>
      </c>
      <c r="Z223" s="172">
        <f t="shared" si="363"/>
        <v>0</v>
      </c>
      <c r="AA223" s="172">
        <f t="shared" si="363"/>
        <v>0</v>
      </c>
      <c r="AB223" s="172">
        <f t="shared" si="363"/>
        <v>0</v>
      </c>
      <c r="AC223" s="172">
        <f t="shared" si="363"/>
        <v>0</v>
      </c>
      <c r="AD223" s="172">
        <f t="shared" si="363"/>
        <v>0</v>
      </c>
      <c r="AE223" s="164"/>
      <c r="AF223" s="172">
        <f>SUM(AF221:AF221)</f>
        <v>0</v>
      </c>
      <c r="AG223" s="164"/>
      <c r="AH223" s="172">
        <f t="shared" ref="AH223:AZ223" si="364">SUM(AH221:AH221)</f>
        <v>0</v>
      </c>
      <c r="AI223" s="172">
        <f t="shared" si="364"/>
        <v>0</v>
      </c>
      <c r="AJ223" s="172">
        <f t="shared" si="364"/>
        <v>0</v>
      </c>
      <c r="AK223" s="172">
        <f t="shared" si="364"/>
        <v>0</v>
      </c>
      <c r="AL223" s="172">
        <f t="shared" si="364"/>
        <v>0</v>
      </c>
      <c r="AM223" s="172">
        <f t="shared" si="364"/>
        <v>0</v>
      </c>
      <c r="AN223" s="172">
        <f t="shared" si="364"/>
        <v>0</v>
      </c>
      <c r="AO223" s="172">
        <f t="shared" si="364"/>
        <v>0</v>
      </c>
      <c r="AP223" s="172">
        <f t="shared" si="364"/>
        <v>0</v>
      </c>
      <c r="AQ223" s="172">
        <f t="shared" si="364"/>
        <v>0</v>
      </c>
      <c r="AR223" s="172">
        <f t="shared" si="364"/>
        <v>0</v>
      </c>
      <c r="AS223" s="172">
        <f t="shared" si="364"/>
        <v>0</v>
      </c>
      <c r="AT223" s="172">
        <f t="shared" si="364"/>
        <v>0</v>
      </c>
      <c r="AU223" s="172">
        <f t="shared" si="364"/>
        <v>0</v>
      </c>
      <c r="AV223" s="172">
        <f t="shared" si="364"/>
        <v>0</v>
      </c>
      <c r="AW223" s="172">
        <f t="shared" si="364"/>
        <v>0</v>
      </c>
      <c r="AX223" s="172">
        <f t="shared" si="364"/>
        <v>0</v>
      </c>
      <c r="AY223" s="172">
        <f t="shared" si="364"/>
        <v>0</v>
      </c>
      <c r="AZ223" s="172">
        <f t="shared" si="364"/>
        <v>0</v>
      </c>
      <c r="BA223" s="164"/>
      <c r="BB223" s="172">
        <f t="shared" ref="BB223:CT223" si="365">SUM(BB221:BB221)</f>
        <v>0</v>
      </c>
      <c r="BC223" s="172">
        <f t="shared" si="365"/>
        <v>0</v>
      </c>
      <c r="BD223" s="172">
        <f t="shared" si="365"/>
        <v>0</v>
      </c>
      <c r="BE223" s="172">
        <f t="shared" si="365"/>
        <v>0</v>
      </c>
      <c r="BF223" s="172">
        <f t="shared" si="365"/>
        <v>0</v>
      </c>
      <c r="BG223" s="172">
        <f t="shared" si="365"/>
        <v>0</v>
      </c>
      <c r="BH223" s="172">
        <f t="shared" si="365"/>
        <v>0</v>
      </c>
      <c r="BI223" s="172">
        <f t="shared" si="365"/>
        <v>0</v>
      </c>
      <c r="BJ223" s="172">
        <f t="shared" si="365"/>
        <v>0</v>
      </c>
      <c r="BK223" s="172">
        <f t="shared" si="365"/>
        <v>0</v>
      </c>
      <c r="BL223" s="172">
        <f t="shared" si="365"/>
        <v>0</v>
      </c>
      <c r="BM223" s="172">
        <f t="shared" si="365"/>
        <v>0</v>
      </c>
      <c r="BN223" s="172">
        <f t="shared" si="365"/>
        <v>0</v>
      </c>
      <c r="BO223" s="172">
        <f t="shared" si="365"/>
        <v>0</v>
      </c>
      <c r="BP223" s="172">
        <f t="shared" si="365"/>
        <v>0</v>
      </c>
      <c r="BQ223" s="172">
        <f t="shared" si="365"/>
        <v>0</v>
      </c>
      <c r="BR223" s="172">
        <f t="shared" si="365"/>
        <v>0</v>
      </c>
      <c r="BS223" s="172">
        <f t="shared" si="365"/>
        <v>0</v>
      </c>
      <c r="BT223" s="172">
        <f t="shared" si="365"/>
        <v>0</v>
      </c>
      <c r="BU223" s="172">
        <f t="shared" si="365"/>
        <v>0</v>
      </c>
      <c r="BV223" s="172">
        <f t="shared" si="365"/>
        <v>0</v>
      </c>
      <c r="BW223" s="172">
        <f t="shared" si="365"/>
        <v>0</v>
      </c>
      <c r="BX223" s="172">
        <f t="shared" si="365"/>
        <v>0</v>
      </c>
      <c r="BY223" s="172">
        <f t="shared" si="365"/>
        <v>0</v>
      </c>
      <c r="BZ223" s="172">
        <f t="shared" si="365"/>
        <v>0</v>
      </c>
      <c r="CA223" s="172">
        <f t="shared" si="365"/>
        <v>0</v>
      </c>
      <c r="CB223" s="172">
        <f t="shared" si="365"/>
        <v>0</v>
      </c>
      <c r="CC223" s="172">
        <f t="shared" si="365"/>
        <v>0</v>
      </c>
      <c r="CD223" s="172">
        <f t="shared" si="365"/>
        <v>0</v>
      </c>
      <c r="CE223" s="172">
        <f t="shared" si="365"/>
        <v>0</v>
      </c>
      <c r="CF223" s="172">
        <f t="shared" si="365"/>
        <v>0</v>
      </c>
      <c r="CG223" s="172">
        <f t="shared" si="365"/>
        <v>0</v>
      </c>
      <c r="CH223" s="172">
        <f t="shared" si="365"/>
        <v>0</v>
      </c>
      <c r="CI223" s="172">
        <f t="shared" si="365"/>
        <v>0</v>
      </c>
      <c r="CJ223" s="172">
        <f t="shared" si="365"/>
        <v>0</v>
      </c>
      <c r="CK223" s="172">
        <f t="shared" si="365"/>
        <v>0</v>
      </c>
      <c r="CL223" s="172">
        <f t="shared" si="365"/>
        <v>0</v>
      </c>
      <c r="CM223" s="172">
        <f t="shared" si="365"/>
        <v>0</v>
      </c>
      <c r="CN223" s="172">
        <f t="shared" si="365"/>
        <v>0</v>
      </c>
      <c r="CO223" s="172">
        <f t="shared" si="365"/>
        <v>0</v>
      </c>
      <c r="CP223" s="172">
        <f t="shared" si="365"/>
        <v>0</v>
      </c>
      <c r="CQ223" s="172">
        <f t="shared" si="365"/>
        <v>0</v>
      </c>
      <c r="CR223" s="172">
        <f t="shared" si="365"/>
        <v>0</v>
      </c>
      <c r="CS223" s="172">
        <f t="shared" si="365"/>
        <v>0</v>
      </c>
      <c r="CT223" s="172">
        <f t="shared" si="365"/>
        <v>0</v>
      </c>
      <c r="CU223" s="17">
        <f t="shared" si="293"/>
        <v>6245.9999999999991</v>
      </c>
      <c r="CV223" s="25">
        <f t="shared" si="294"/>
        <v>0</v>
      </c>
      <c r="CW223" s="176"/>
      <c r="CX223" s="164"/>
      <c r="CY223" s="164"/>
    </row>
    <row r="224" spans="1:103" x14ac:dyDescent="0.2">
      <c r="A224" s="2">
        <v>45883</v>
      </c>
      <c r="B224" s="3" t="s">
        <v>322</v>
      </c>
      <c r="C224" s="4" t="s">
        <v>559</v>
      </c>
      <c r="D224" s="5" t="s">
        <v>323</v>
      </c>
      <c r="E224" s="6" t="s">
        <v>324</v>
      </c>
      <c r="F224" s="7"/>
      <c r="G224" s="8" t="s">
        <v>325</v>
      </c>
      <c r="H224" s="9">
        <v>259360</v>
      </c>
      <c r="I224" s="10"/>
      <c r="J224" s="11" t="s">
        <v>226</v>
      </c>
      <c r="K224" s="12">
        <v>1</v>
      </c>
      <c r="L224" s="13">
        <v>500</v>
      </c>
      <c r="M224" s="14">
        <f t="shared" ref="M224" si="366">L224*K224</f>
        <v>500</v>
      </c>
      <c r="N224" s="15"/>
      <c r="O224" s="16" t="s">
        <v>111</v>
      </c>
      <c r="P224" s="17">
        <f>M224/1.12*0.01</f>
        <v>4.4642857142857144</v>
      </c>
      <c r="Q224" s="18">
        <f>M224/1.12*0.12</f>
        <v>53.571428571428562</v>
      </c>
      <c r="R224" s="5"/>
      <c r="S224" s="19"/>
      <c r="T224" s="19"/>
      <c r="U224" s="19"/>
      <c r="V224" s="19"/>
      <c r="W224" s="17"/>
      <c r="X224" s="20"/>
      <c r="Y224" s="19"/>
      <c r="Z224" s="19"/>
      <c r="AA224" s="19"/>
      <c r="AB224" s="19"/>
      <c r="AC224" s="19"/>
      <c r="AD224" s="19"/>
      <c r="AE224" s="5"/>
      <c r="AF224" s="19"/>
      <c r="AG224" s="5"/>
      <c r="AH224" s="17"/>
      <c r="AI224" s="19"/>
      <c r="AJ224" s="19"/>
      <c r="AK224" s="19"/>
      <c r="AL224" s="19"/>
      <c r="AM224" s="17"/>
      <c r="AN224" s="19"/>
      <c r="AO224" s="19"/>
      <c r="AP224" s="19"/>
      <c r="AQ224" s="19"/>
      <c r="AR224" s="19"/>
      <c r="AS224" s="21"/>
      <c r="AT224" s="5"/>
      <c r="AU224" s="19"/>
      <c r="AV224" s="5"/>
      <c r="AW224" s="22"/>
      <c r="AX224" s="19"/>
      <c r="AY224" s="5"/>
      <c r="AZ224" s="19"/>
      <c r="BA224" s="5"/>
      <c r="BB224" s="17">
        <f>M224+P224-Q224</f>
        <v>450.89285714285717</v>
      </c>
      <c r="BC224" s="19"/>
      <c r="BD224" s="19"/>
      <c r="BE224" s="19"/>
      <c r="BF224" s="19"/>
      <c r="BG224" s="19"/>
      <c r="BH224" s="19"/>
      <c r="BI224" s="19"/>
      <c r="BJ224" s="19"/>
      <c r="BK224" s="13"/>
      <c r="BL224" s="5"/>
      <c r="BM224" s="5"/>
      <c r="BN224" s="19"/>
      <c r="BO224" s="17"/>
      <c r="BP224" s="19"/>
      <c r="BQ224" s="17"/>
      <c r="BR224" s="19"/>
      <c r="BS224" s="13"/>
      <c r="BT224" s="5"/>
      <c r="BU224" s="23"/>
      <c r="BV224" s="23"/>
      <c r="BW224" s="24"/>
      <c r="BX224" s="5"/>
      <c r="BY224" s="5"/>
      <c r="BZ224" s="5"/>
      <c r="CA224" s="24"/>
      <c r="CB224" s="24"/>
      <c r="CC224" s="24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>
        <f t="shared" si="293"/>
        <v>500</v>
      </c>
      <c r="CV224" s="25">
        <f t="shared" si="294"/>
        <v>0</v>
      </c>
      <c r="CW224" s="26"/>
      <c r="CX224" s="5"/>
      <c r="CY224" s="5"/>
    </row>
    <row r="225" spans="1:103" x14ac:dyDescent="0.2">
      <c r="A225" s="27"/>
      <c r="B225" s="28"/>
      <c r="C225" s="29"/>
      <c r="D225" s="30"/>
      <c r="E225" s="31"/>
      <c r="F225" s="32"/>
      <c r="G225" s="33"/>
      <c r="H225" s="34"/>
      <c r="I225" s="34"/>
      <c r="J225" s="35"/>
      <c r="K225" s="36"/>
      <c r="L225" s="37"/>
      <c r="M225" s="38">
        <f>SUM(M224:M224)</f>
        <v>500</v>
      </c>
      <c r="N225" s="38"/>
      <c r="O225" s="39" t="s">
        <v>111</v>
      </c>
      <c r="P225" s="38">
        <f>SUM(P224:P224)</f>
        <v>4.4642857142857144</v>
      </c>
      <c r="Q225" s="38">
        <f>SUM(Q224:Q224)</f>
        <v>53.571428571428562</v>
      </c>
      <c r="R225" s="30"/>
      <c r="S225" s="38">
        <f t="shared" ref="S225:AD225" si="367">SUM(S224:S224)</f>
        <v>0</v>
      </c>
      <c r="T225" s="38">
        <f t="shared" si="367"/>
        <v>0</v>
      </c>
      <c r="U225" s="38">
        <f t="shared" si="367"/>
        <v>0</v>
      </c>
      <c r="V225" s="38">
        <f t="shared" si="367"/>
        <v>0</v>
      </c>
      <c r="W225" s="38">
        <f t="shared" si="367"/>
        <v>0</v>
      </c>
      <c r="X225" s="38">
        <f t="shared" si="367"/>
        <v>0</v>
      </c>
      <c r="Y225" s="38">
        <f t="shared" si="367"/>
        <v>0</v>
      </c>
      <c r="Z225" s="38">
        <f t="shared" si="367"/>
        <v>0</v>
      </c>
      <c r="AA225" s="38">
        <f t="shared" si="367"/>
        <v>0</v>
      </c>
      <c r="AB225" s="38">
        <f t="shared" si="367"/>
        <v>0</v>
      </c>
      <c r="AC225" s="38">
        <f t="shared" si="367"/>
        <v>0</v>
      </c>
      <c r="AD225" s="38">
        <f t="shared" si="367"/>
        <v>0</v>
      </c>
      <c r="AE225" s="30"/>
      <c r="AF225" s="38">
        <f>SUM(AF224:AF224)</f>
        <v>0</v>
      </c>
      <c r="AG225" s="30"/>
      <c r="AH225" s="38">
        <f t="shared" ref="AH225:AZ225" si="368">SUM(AH224:AH224)</f>
        <v>0</v>
      </c>
      <c r="AI225" s="38">
        <f t="shared" si="368"/>
        <v>0</v>
      </c>
      <c r="AJ225" s="38">
        <f t="shared" si="368"/>
        <v>0</v>
      </c>
      <c r="AK225" s="38">
        <f t="shared" si="368"/>
        <v>0</v>
      </c>
      <c r="AL225" s="38">
        <f t="shared" si="368"/>
        <v>0</v>
      </c>
      <c r="AM225" s="38">
        <f t="shared" si="368"/>
        <v>0</v>
      </c>
      <c r="AN225" s="38">
        <f t="shared" si="368"/>
        <v>0</v>
      </c>
      <c r="AO225" s="38">
        <f t="shared" si="368"/>
        <v>0</v>
      </c>
      <c r="AP225" s="38">
        <f t="shared" si="368"/>
        <v>0</v>
      </c>
      <c r="AQ225" s="38">
        <f t="shared" si="368"/>
        <v>0</v>
      </c>
      <c r="AR225" s="38">
        <f t="shared" si="368"/>
        <v>0</v>
      </c>
      <c r="AS225" s="38">
        <f t="shared" si="368"/>
        <v>0</v>
      </c>
      <c r="AT225" s="38">
        <f t="shared" si="368"/>
        <v>0</v>
      </c>
      <c r="AU225" s="38">
        <f t="shared" si="368"/>
        <v>0</v>
      </c>
      <c r="AV225" s="38">
        <f t="shared" si="368"/>
        <v>0</v>
      </c>
      <c r="AW225" s="38">
        <f t="shared" si="368"/>
        <v>0</v>
      </c>
      <c r="AX225" s="38">
        <f t="shared" si="368"/>
        <v>0</v>
      </c>
      <c r="AY225" s="38">
        <f t="shared" si="368"/>
        <v>0</v>
      </c>
      <c r="AZ225" s="38">
        <f t="shared" si="368"/>
        <v>0</v>
      </c>
      <c r="BA225" s="30"/>
      <c r="BB225" s="38">
        <f>SUM(BB224:BB224)</f>
        <v>450.89285714285717</v>
      </c>
      <c r="BC225" s="38">
        <f t="shared" ref="BC225:CT225" si="369">SUM(BC224:BC224)</f>
        <v>0</v>
      </c>
      <c r="BD225" s="38">
        <f t="shared" si="369"/>
        <v>0</v>
      </c>
      <c r="BE225" s="38">
        <f t="shared" si="369"/>
        <v>0</v>
      </c>
      <c r="BF225" s="38">
        <f t="shared" si="369"/>
        <v>0</v>
      </c>
      <c r="BG225" s="38">
        <f t="shared" si="369"/>
        <v>0</v>
      </c>
      <c r="BH225" s="38">
        <f t="shared" si="369"/>
        <v>0</v>
      </c>
      <c r="BI225" s="38">
        <f t="shared" si="369"/>
        <v>0</v>
      </c>
      <c r="BJ225" s="38">
        <f t="shared" si="369"/>
        <v>0</v>
      </c>
      <c r="BK225" s="38">
        <f t="shared" si="369"/>
        <v>0</v>
      </c>
      <c r="BL225" s="38">
        <f t="shared" si="369"/>
        <v>0</v>
      </c>
      <c r="BM225" s="38">
        <f t="shared" si="369"/>
        <v>0</v>
      </c>
      <c r="BN225" s="38">
        <f t="shared" si="369"/>
        <v>0</v>
      </c>
      <c r="BO225" s="38">
        <f t="shared" si="369"/>
        <v>0</v>
      </c>
      <c r="BP225" s="38">
        <f t="shared" si="369"/>
        <v>0</v>
      </c>
      <c r="BQ225" s="38">
        <f t="shared" si="369"/>
        <v>0</v>
      </c>
      <c r="BR225" s="38">
        <f t="shared" si="369"/>
        <v>0</v>
      </c>
      <c r="BS225" s="38">
        <f t="shared" si="369"/>
        <v>0</v>
      </c>
      <c r="BT225" s="38">
        <f t="shared" si="369"/>
        <v>0</v>
      </c>
      <c r="BU225" s="38">
        <f t="shared" si="369"/>
        <v>0</v>
      </c>
      <c r="BV225" s="38">
        <f t="shared" si="369"/>
        <v>0</v>
      </c>
      <c r="BW225" s="38">
        <f t="shared" si="369"/>
        <v>0</v>
      </c>
      <c r="BX225" s="38">
        <f t="shared" si="369"/>
        <v>0</v>
      </c>
      <c r="BY225" s="38">
        <f t="shared" si="369"/>
        <v>0</v>
      </c>
      <c r="BZ225" s="38">
        <f t="shared" si="369"/>
        <v>0</v>
      </c>
      <c r="CA225" s="38">
        <f t="shared" si="369"/>
        <v>0</v>
      </c>
      <c r="CB225" s="38">
        <f t="shared" si="369"/>
        <v>0</v>
      </c>
      <c r="CC225" s="38">
        <f t="shared" si="369"/>
        <v>0</v>
      </c>
      <c r="CD225" s="38">
        <f t="shared" si="369"/>
        <v>0</v>
      </c>
      <c r="CE225" s="38">
        <f t="shared" si="369"/>
        <v>0</v>
      </c>
      <c r="CF225" s="38">
        <f t="shared" si="369"/>
        <v>0</v>
      </c>
      <c r="CG225" s="38">
        <f t="shared" si="369"/>
        <v>0</v>
      </c>
      <c r="CH225" s="38">
        <f t="shared" si="369"/>
        <v>0</v>
      </c>
      <c r="CI225" s="38">
        <f t="shared" si="369"/>
        <v>0</v>
      </c>
      <c r="CJ225" s="38">
        <f t="shared" si="369"/>
        <v>0</v>
      </c>
      <c r="CK225" s="38">
        <f t="shared" si="369"/>
        <v>0</v>
      </c>
      <c r="CL225" s="38">
        <f t="shared" si="369"/>
        <v>0</v>
      </c>
      <c r="CM225" s="38">
        <f t="shared" si="369"/>
        <v>0</v>
      </c>
      <c r="CN225" s="38">
        <f t="shared" si="369"/>
        <v>0</v>
      </c>
      <c r="CO225" s="38">
        <f t="shared" si="369"/>
        <v>0</v>
      </c>
      <c r="CP225" s="38">
        <f t="shared" si="369"/>
        <v>0</v>
      </c>
      <c r="CQ225" s="38">
        <f t="shared" si="369"/>
        <v>0</v>
      </c>
      <c r="CR225" s="38">
        <f t="shared" si="369"/>
        <v>0</v>
      </c>
      <c r="CS225" s="38">
        <f t="shared" si="369"/>
        <v>0</v>
      </c>
      <c r="CT225" s="38">
        <f t="shared" si="369"/>
        <v>0</v>
      </c>
      <c r="CU225" s="17">
        <f t="shared" si="293"/>
        <v>500</v>
      </c>
      <c r="CV225" s="25">
        <f t="shared" si="294"/>
        <v>0</v>
      </c>
      <c r="CW225" s="40"/>
      <c r="CX225" s="30"/>
      <c r="CY225" s="30"/>
    </row>
    <row r="226" spans="1:103" x14ac:dyDescent="0.2">
      <c r="A226" s="2">
        <v>45884</v>
      </c>
      <c r="B226" s="3" t="s">
        <v>322</v>
      </c>
      <c r="C226" s="4" t="s">
        <v>560</v>
      </c>
      <c r="D226" s="5" t="s">
        <v>323</v>
      </c>
      <c r="E226" s="6" t="s">
        <v>327</v>
      </c>
      <c r="F226" s="7"/>
      <c r="G226" s="8"/>
      <c r="H226" s="9" t="s">
        <v>326</v>
      </c>
      <c r="I226" s="10"/>
      <c r="J226" s="11" t="s">
        <v>226</v>
      </c>
      <c r="K226" s="12">
        <v>1</v>
      </c>
      <c r="L226" s="13">
        <v>716</v>
      </c>
      <c r="M226" s="14">
        <f t="shared" ref="M226" si="370">L226*K226</f>
        <v>716</v>
      </c>
      <c r="N226" s="15"/>
      <c r="O226" s="16" t="s">
        <v>137</v>
      </c>
      <c r="P226" s="17"/>
      <c r="Q226" s="18"/>
      <c r="R226" s="5"/>
      <c r="S226" s="19"/>
      <c r="T226" s="19"/>
      <c r="U226" s="19"/>
      <c r="V226" s="19"/>
      <c r="W226" s="17"/>
      <c r="X226" s="20"/>
      <c r="Y226" s="19"/>
      <c r="Z226" s="19"/>
      <c r="AA226" s="19"/>
      <c r="AB226" s="19"/>
      <c r="AC226" s="19"/>
      <c r="AD226" s="19"/>
      <c r="AE226" s="5"/>
      <c r="AF226" s="19"/>
      <c r="AG226" s="5"/>
      <c r="AH226" s="17"/>
      <c r="AI226" s="19"/>
      <c r="AJ226" s="19"/>
      <c r="AK226" s="19"/>
      <c r="AL226" s="19"/>
      <c r="AM226" s="17"/>
      <c r="AN226" s="19"/>
      <c r="AO226" s="19"/>
      <c r="AP226" s="19"/>
      <c r="AQ226" s="19"/>
      <c r="AR226" s="19"/>
      <c r="AS226" s="21"/>
      <c r="AT226" s="5"/>
      <c r="AU226" s="19"/>
      <c r="AV226" s="5"/>
      <c r="AW226" s="22"/>
      <c r="AX226" s="19"/>
      <c r="AY226" s="5"/>
      <c r="AZ226" s="19"/>
      <c r="BA226" s="5"/>
      <c r="BB226" s="17">
        <f>M226+P226-Q226</f>
        <v>716</v>
      </c>
      <c r="BC226" s="19"/>
      <c r="BD226" s="19"/>
      <c r="BE226" s="19"/>
      <c r="BF226" s="19"/>
      <c r="BG226" s="19"/>
      <c r="BH226" s="19"/>
      <c r="BI226" s="19"/>
      <c r="BJ226" s="19"/>
      <c r="BK226" s="13"/>
      <c r="BL226" s="5"/>
      <c r="BM226" s="5"/>
      <c r="BN226" s="19"/>
      <c r="BO226" s="17"/>
      <c r="BP226" s="19"/>
      <c r="BQ226" s="17"/>
      <c r="BR226" s="19"/>
      <c r="BS226" s="13"/>
      <c r="BT226" s="5"/>
      <c r="BU226" s="23"/>
      <c r="BV226" s="23"/>
      <c r="BW226" s="24"/>
      <c r="BX226" s="5"/>
      <c r="BY226" s="5"/>
      <c r="BZ226" s="5"/>
      <c r="CA226" s="24"/>
      <c r="CB226" s="24"/>
      <c r="CC226" s="24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>
        <f t="shared" si="293"/>
        <v>716</v>
      </c>
      <c r="CV226" s="25">
        <f t="shared" si="294"/>
        <v>0</v>
      </c>
      <c r="CW226" s="26"/>
      <c r="CX226" s="5"/>
      <c r="CY226" s="5"/>
    </row>
    <row r="227" spans="1:103" x14ac:dyDescent="0.2">
      <c r="A227" s="27"/>
      <c r="B227" s="28"/>
      <c r="C227" s="29"/>
      <c r="D227" s="30"/>
      <c r="E227" s="31"/>
      <c r="F227" s="32"/>
      <c r="G227" s="33"/>
      <c r="H227" s="34"/>
      <c r="I227" s="34"/>
      <c r="J227" s="35"/>
      <c r="K227" s="36"/>
      <c r="L227" s="37"/>
      <c r="M227" s="38">
        <f>SUM(M226:M226)</f>
        <v>716</v>
      </c>
      <c r="N227" s="38"/>
      <c r="O227" s="39" t="s">
        <v>137</v>
      </c>
      <c r="P227" s="38"/>
      <c r="Q227" s="38"/>
      <c r="R227" s="30"/>
      <c r="S227" s="38">
        <f t="shared" ref="S227:AD227" si="371">SUM(S226:S226)</f>
        <v>0</v>
      </c>
      <c r="T227" s="38">
        <f t="shared" si="371"/>
        <v>0</v>
      </c>
      <c r="U227" s="38">
        <f t="shared" si="371"/>
        <v>0</v>
      </c>
      <c r="V227" s="38">
        <f t="shared" si="371"/>
        <v>0</v>
      </c>
      <c r="W227" s="38">
        <f t="shared" si="371"/>
        <v>0</v>
      </c>
      <c r="X227" s="38">
        <f t="shared" si="371"/>
        <v>0</v>
      </c>
      <c r="Y227" s="38">
        <f t="shared" si="371"/>
        <v>0</v>
      </c>
      <c r="Z227" s="38">
        <f t="shared" si="371"/>
        <v>0</v>
      </c>
      <c r="AA227" s="38">
        <f t="shared" si="371"/>
        <v>0</v>
      </c>
      <c r="AB227" s="38">
        <f t="shared" si="371"/>
        <v>0</v>
      </c>
      <c r="AC227" s="38">
        <f t="shared" si="371"/>
        <v>0</v>
      </c>
      <c r="AD227" s="38">
        <f t="shared" si="371"/>
        <v>0</v>
      </c>
      <c r="AE227" s="30"/>
      <c r="AF227" s="38">
        <f>SUM(AF226:AF226)</f>
        <v>0</v>
      </c>
      <c r="AG227" s="30"/>
      <c r="AH227" s="38">
        <f t="shared" ref="AH227:AZ227" si="372">SUM(AH226:AH226)</f>
        <v>0</v>
      </c>
      <c r="AI227" s="38">
        <f t="shared" si="372"/>
        <v>0</v>
      </c>
      <c r="AJ227" s="38">
        <f t="shared" si="372"/>
        <v>0</v>
      </c>
      <c r="AK227" s="38">
        <f t="shared" si="372"/>
        <v>0</v>
      </c>
      <c r="AL227" s="38">
        <f t="shared" si="372"/>
        <v>0</v>
      </c>
      <c r="AM227" s="38">
        <f t="shared" si="372"/>
        <v>0</v>
      </c>
      <c r="AN227" s="38">
        <f t="shared" si="372"/>
        <v>0</v>
      </c>
      <c r="AO227" s="38">
        <f t="shared" si="372"/>
        <v>0</v>
      </c>
      <c r="AP227" s="38">
        <f t="shared" si="372"/>
        <v>0</v>
      </c>
      <c r="AQ227" s="38">
        <f t="shared" si="372"/>
        <v>0</v>
      </c>
      <c r="AR227" s="38">
        <f t="shared" si="372"/>
        <v>0</v>
      </c>
      <c r="AS227" s="38">
        <f t="shared" si="372"/>
        <v>0</v>
      </c>
      <c r="AT227" s="38">
        <f t="shared" si="372"/>
        <v>0</v>
      </c>
      <c r="AU227" s="38">
        <f t="shared" si="372"/>
        <v>0</v>
      </c>
      <c r="AV227" s="38">
        <f t="shared" si="372"/>
        <v>0</v>
      </c>
      <c r="AW227" s="38">
        <f t="shared" si="372"/>
        <v>0</v>
      </c>
      <c r="AX227" s="38">
        <f t="shared" si="372"/>
        <v>0</v>
      </c>
      <c r="AY227" s="38">
        <f t="shared" si="372"/>
        <v>0</v>
      </c>
      <c r="AZ227" s="38">
        <f t="shared" si="372"/>
        <v>0</v>
      </c>
      <c r="BA227" s="30"/>
      <c r="BB227" s="38">
        <f>SUM(BB226:BB226)</f>
        <v>716</v>
      </c>
      <c r="BC227" s="38">
        <f t="shared" ref="BC227:CT227" si="373">SUM(BC226:BC226)</f>
        <v>0</v>
      </c>
      <c r="BD227" s="38">
        <f t="shared" si="373"/>
        <v>0</v>
      </c>
      <c r="BE227" s="38">
        <f t="shared" si="373"/>
        <v>0</v>
      </c>
      <c r="BF227" s="38">
        <f t="shared" si="373"/>
        <v>0</v>
      </c>
      <c r="BG227" s="38">
        <f t="shared" si="373"/>
        <v>0</v>
      </c>
      <c r="BH227" s="38">
        <f t="shared" si="373"/>
        <v>0</v>
      </c>
      <c r="BI227" s="38">
        <f t="shared" si="373"/>
        <v>0</v>
      </c>
      <c r="BJ227" s="38">
        <f t="shared" si="373"/>
        <v>0</v>
      </c>
      <c r="BK227" s="38">
        <f t="shared" si="373"/>
        <v>0</v>
      </c>
      <c r="BL227" s="38">
        <f t="shared" si="373"/>
        <v>0</v>
      </c>
      <c r="BM227" s="38">
        <f t="shared" si="373"/>
        <v>0</v>
      </c>
      <c r="BN227" s="38">
        <f t="shared" si="373"/>
        <v>0</v>
      </c>
      <c r="BO227" s="38">
        <f t="shared" si="373"/>
        <v>0</v>
      </c>
      <c r="BP227" s="38">
        <f t="shared" si="373"/>
        <v>0</v>
      </c>
      <c r="BQ227" s="38">
        <f t="shared" si="373"/>
        <v>0</v>
      </c>
      <c r="BR227" s="38">
        <f t="shared" si="373"/>
        <v>0</v>
      </c>
      <c r="BS227" s="38">
        <f t="shared" si="373"/>
        <v>0</v>
      </c>
      <c r="BT227" s="38">
        <f t="shared" si="373"/>
        <v>0</v>
      </c>
      <c r="BU227" s="38">
        <f t="shared" si="373"/>
        <v>0</v>
      </c>
      <c r="BV227" s="38">
        <f t="shared" si="373"/>
        <v>0</v>
      </c>
      <c r="BW227" s="38">
        <f t="shared" si="373"/>
        <v>0</v>
      </c>
      <c r="BX227" s="38">
        <f t="shared" si="373"/>
        <v>0</v>
      </c>
      <c r="BY227" s="38">
        <f t="shared" si="373"/>
        <v>0</v>
      </c>
      <c r="BZ227" s="38">
        <f t="shared" si="373"/>
        <v>0</v>
      </c>
      <c r="CA227" s="38">
        <f t="shared" si="373"/>
        <v>0</v>
      </c>
      <c r="CB227" s="38">
        <f t="shared" si="373"/>
        <v>0</v>
      </c>
      <c r="CC227" s="38">
        <f t="shared" si="373"/>
        <v>0</v>
      </c>
      <c r="CD227" s="38">
        <f t="shared" si="373"/>
        <v>0</v>
      </c>
      <c r="CE227" s="38">
        <f t="shared" si="373"/>
        <v>0</v>
      </c>
      <c r="CF227" s="38">
        <f t="shared" si="373"/>
        <v>0</v>
      </c>
      <c r="CG227" s="38">
        <f t="shared" si="373"/>
        <v>0</v>
      </c>
      <c r="CH227" s="38">
        <f t="shared" si="373"/>
        <v>0</v>
      </c>
      <c r="CI227" s="38">
        <f t="shared" si="373"/>
        <v>0</v>
      </c>
      <c r="CJ227" s="38">
        <f t="shared" si="373"/>
        <v>0</v>
      </c>
      <c r="CK227" s="38">
        <f t="shared" si="373"/>
        <v>0</v>
      </c>
      <c r="CL227" s="38">
        <f t="shared" si="373"/>
        <v>0</v>
      </c>
      <c r="CM227" s="38">
        <f t="shared" si="373"/>
        <v>0</v>
      </c>
      <c r="CN227" s="38">
        <f t="shared" si="373"/>
        <v>0</v>
      </c>
      <c r="CO227" s="38">
        <f t="shared" si="373"/>
        <v>0</v>
      </c>
      <c r="CP227" s="38">
        <f t="shared" si="373"/>
        <v>0</v>
      </c>
      <c r="CQ227" s="38">
        <f t="shared" si="373"/>
        <v>0</v>
      </c>
      <c r="CR227" s="38">
        <f t="shared" si="373"/>
        <v>0</v>
      </c>
      <c r="CS227" s="38">
        <f t="shared" si="373"/>
        <v>0</v>
      </c>
      <c r="CT227" s="38">
        <f t="shared" si="373"/>
        <v>0</v>
      </c>
      <c r="CU227" s="17">
        <f t="shared" si="293"/>
        <v>716</v>
      </c>
      <c r="CV227" s="25">
        <f t="shared" si="294"/>
        <v>0</v>
      </c>
      <c r="CW227" s="40"/>
      <c r="CX227" s="30"/>
      <c r="CY227" s="30"/>
    </row>
    <row r="228" spans="1:103" x14ac:dyDescent="0.2">
      <c r="A228" s="2">
        <v>45883</v>
      </c>
      <c r="B228" s="3" t="s">
        <v>322</v>
      </c>
      <c r="C228" s="4" t="s">
        <v>561</v>
      </c>
      <c r="D228" s="5" t="s">
        <v>323</v>
      </c>
      <c r="E228" s="6" t="s">
        <v>134</v>
      </c>
      <c r="F228" s="7"/>
      <c r="G228" s="8"/>
      <c r="H228" s="9"/>
      <c r="I228" s="10"/>
      <c r="J228" s="11" t="s">
        <v>135</v>
      </c>
      <c r="K228" s="12">
        <v>1</v>
      </c>
      <c r="L228" s="13">
        <v>535</v>
      </c>
      <c r="M228" s="14">
        <f t="shared" ref="M228" si="374">L228*K228</f>
        <v>535</v>
      </c>
      <c r="N228" s="15"/>
      <c r="O228" s="16" t="s">
        <v>137</v>
      </c>
      <c r="P228" s="17"/>
      <c r="Q228" s="18"/>
      <c r="R228" s="5"/>
      <c r="S228" s="19"/>
      <c r="T228" s="19"/>
      <c r="U228" s="19"/>
      <c r="V228" s="19"/>
      <c r="W228" s="17"/>
      <c r="X228" s="20"/>
      <c r="Y228" s="19"/>
      <c r="Z228" s="19"/>
      <c r="AA228" s="19"/>
      <c r="AB228" s="19"/>
      <c r="AC228" s="19"/>
      <c r="AD228" s="19"/>
      <c r="AE228" s="5"/>
      <c r="AF228" s="19"/>
      <c r="AG228" s="5"/>
      <c r="AH228" s="17"/>
      <c r="AI228" s="19"/>
      <c r="AJ228" s="19"/>
      <c r="AK228" s="19"/>
      <c r="AL228" s="19"/>
      <c r="AM228" s="17"/>
      <c r="AN228" s="19"/>
      <c r="AO228" s="19"/>
      <c r="AP228" s="19"/>
      <c r="AQ228" s="19"/>
      <c r="AR228" s="19"/>
      <c r="AS228" s="21"/>
      <c r="AT228" s="5"/>
      <c r="AU228" s="19"/>
      <c r="AV228" s="5"/>
      <c r="AW228" s="22"/>
      <c r="AX228" s="19"/>
      <c r="AY228" s="5"/>
      <c r="AZ228" s="19"/>
      <c r="BA228" s="5"/>
      <c r="BB228" s="5"/>
      <c r="BC228" s="19"/>
      <c r="BD228" s="19"/>
      <c r="BE228" s="19"/>
      <c r="BF228" s="19"/>
      <c r="BG228" s="19"/>
      <c r="BH228" s="19"/>
      <c r="BI228" s="19"/>
      <c r="BJ228" s="19"/>
      <c r="BK228" s="13"/>
      <c r="BL228" s="5"/>
      <c r="BM228" s="5"/>
      <c r="BN228" s="19"/>
      <c r="BO228" s="17">
        <f>M228+P228-Q228</f>
        <v>535</v>
      </c>
      <c r="BP228" s="19"/>
      <c r="BQ228" s="17"/>
      <c r="BR228" s="19"/>
      <c r="BS228" s="13"/>
      <c r="BT228" s="5"/>
      <c r="BU228" s="23"/>
      <c r="BV228" s="23"/>
      <c r="BW228" s="24"/>
      <c r="BX228" s="5"/>
      <c r="BY228" s="5"/>
      <c r="BZ228" s="5"/>
      <c r="CA228" s="24"/>
      <c r="CB228" s="24"/>
      <c r="CC228" s="24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>
        <f t="shared" si="293"/>
        <v>535</v>
      </c>
      <c r="CV228" s="25">
        <f t="shared" si="294"/>
        <v>0</v>
      </c>
      <c r="CW228" s="26"/>
      <c r="CX228" s="5"/>
      <c r="CY228" s="5"/>
    </row>
    <row r="229" spans="1:103" x14ac:dyDescent="0.2">
      <c r="A229" s="161"/>
      <c r="B229" s="162"/>
      <c r="C229" s="163"/>
      <c r="D229" s="164"/>
      <c r="E229" s="165"/>
      <c r="F229" s="166"/>
      <c r="G229" s="167"/>
      <c r="H229" s="168"/>
      <c r="I229" s="168"/>
      <c r="J229" s="169"/>
      <c r="K229" s="170"/>
      <c r="L229" s="171"/>
      <c r="M229" s="172">
        <f>SUM(M228:M228)</f>
        <v>535</v>
      </c>
      <c r="N229" s="172">
        <f>M229+M227+M225</f>
        <v>1751</v>
      </c>
      <c r="O229" s="173" t="s">
        <v>137</v>
      </c>
      <c r="P229" s="172"/>
      <c r="Q229" s="172"/>
      <c r="R229" s="164"/>
      <c r="S229" s="172">
        <f t="shared" ref="S229:AD229" si="375">SUM(S228:S228)</f>
        <v>0</v>
      </c>
      <c r="T229" s="172">
        <f t="shared" si="375"/>
        <v>0</v>
      </c>
      <c r="U229" s="172">
        <f t="shared" si="375"/>
        <v>0</v>
      </c>
      <c r="V229" s="172">
        <f t="shared" si="375"/>
        <v>0</v>
      </c>
      <c r="W229" s="172">
        <f t="shared" si="375"/>
        <v>0</v>
      </c>
      <c r="X229" s="172">
        <f t="shared" si="375"/>
        <v>0</v>
      </c>
      <c r="Y229" s="172">
        <f t="shared" si="375"/>
        <v>0</v>
      </c>
      <c r="Z229" s="172">
        <f t="shared" si="375"/>
        <v>0</v>
      </c>
      <c r="AA229" s="172">
        <f t="shared" si="375"/>
        <v>0</v>
      </c>
      <c r="AB229" s="172">
        <f t="shared" si="375"/>
        <v>0</v>
      </c>
      <c r="AC229" s="172">
        <f t="shared" si="375"/>
        <v>0</v>
      </c>
      <c r="AD229" s="172">
        <f t="shared" si="375"/>
        <v>0</v>
      </c>
      <c r="AE229" s="164"/>
      <c r="AF229" s="172">
        <f>SUM(AF228:AF228)</f>
        <v>0</v>
      </c>
      <c r="AG229" s="164"/>
      <c r="AH229" s="172">
        <f t="shared" ref="AH229:AZ229" si="376">SUM(AH228:AH228)</f>
        <v>0</v>
      </c>
      <c r="AI229" s="172">
        <f t="shared" si="376"/>
        <v>0</v>
      </c>
      <c r="AJ229" s="172">
        <f t="shared" si="376"/>
        <v>0</v>
      </c>
      <c r="AK229" s="172">
        <f t="shared" si="376"/>
        <v>0</v>
      </c>
      <c r="AL229" s="172">
        <f t="shared" si="376"/>
        <v>0</v>
      </c>
      <c r="AM229" s="172">
        <f t="shared" si="376"/>
        <v>0</v>
      </c>
      <c r="AN229" s="172">
        <f t="shared" si="376"/>
        <v>0</v>
      </c>
      <c r="AO229" s="172">
        <f t="shared" si="376"/>
        <v>0</v>
      </c>
      <c r="AP229" s="172">
        <f t="shared" si="376"/>
        <v>0</v>
      </c>
      <c r="AQ229" s="172">
        <f t="shared" si="376"/>
        <v>0</v>
      </c>
      <c r="AR229" s="172">
        <f t="shared" si="376"/>
        <v>0</v>
      </c>
      <c r="AS229" s="172">
        <f t="shared" si="376"/>
        <v>0</v>
      </c>
      <c r="AT229" s="172">
        <f t="shared" si="376"/>
        <v>0</v>
      </c>
      <c r="AU229" s="172">
        <f t="shared" si="376"/>
        <v>0</v>
      </c>
      <c r="AV229" s="172">
        <f t="shared" si="376"/>
        <v>0</v>
      </c>
      <c r="AW229" s="172">
        <f t="shared" si="376"/>
        <v>0</v>
      </c>
      <c r="AX229" s="172">
        <f t="shared" si="376"/>
        <v>0</v>
      </c>
      <c r="AY229" s="172">
        <f t="shared" si="376"/>
        <v>0</v>
      </c>
      <c r="AZ229" s="172">
        <f t="shared" si="376"/>
        <v>0</v>
      </c>
      <c r="BA229" s="164"/>
      <c r="BB229" s="172">
        <f t="shared" ref="BB229:CT229" si="377">SUM(BB228:BB228)</f>
        <v>0</v>
      </c>
      <c r="BC229" s="172">
        <f t="shared" si="377"/>
        <v>0</v>
      </c>
      <c r="BD229" s="172">
        <f t="shared" si="377"/>
        <v>0</v>
      </c>
      <c r="BE229" s="172">
        <f t="shared" si="377"/>
        <v>0</v>
      </c>
      <c r="BF229" s="172">
        <f t="shared" si="377"/>
        <v>0</v>
      </c>
      <c r="BG229" s="172">
        <f t="shared" si="377"/>
        <v>0</v>
      </c>
      <c r="BH229" s="172">
        <f t="shared" si="377"/>
        <v>0</v>
      </c>
      <c r="BI229" s="172">
        <f t="shared" si="377"/>
        <v>0</v>
      </c>
      <c r="BJ229" s="172">
        <f t="shared" si="377"/>
        <v>0</v>
      </c>
      <c r="BK229" s="172">
        <f t="shared" si="377"/>
        <v>0</v>
      </c>
      <c r="BL229" s="172">
        <f t="shared" si="377"/>
        <v>0</v>
      </c>
      <c r="BM229" s="172">
        <f t="shared" si="377"/>
        <v>0</v>
      </c>
      <c r="BN229" s="172">
        <f t="shared" si="377"/>
        <v>0</v>
      </c>
      <c r="BO229" s="172">
        <f>SUM(BO228:BO228)</f>
        <v>535</v>
      </c>
      <c r="BP229" s="172">
        <f t="shared" si="377"/>
        <v>0</v>
      </c>
      <c r="BQ229" s="172">
        <f t="shared" si="377"/>
        <v>0</v>
      </c>
      <c r="BR229" s="172">
        <f t="shared" si="377"/>
        <v>0</v>
      </c>
      <c r="BS229" s="172">
        <f t="shared" si="377"/>
        <v>0</v>
      </c>
      <c r="BT229" s="172">
        <f t="shared" si="377"/>
        <v>0</v>
      </c>
      <c r="BU229" s="172">
        <f t="shared" si="377"/>
        <v>0</v>
      </c>
      <c r="BV229" s="172">
        <f t="shared" si="377"/>
        <v>0</v>
      </c>
      <c r="BW229" s="172">
        <f t="shared" si="377"/>
        <v>0</v>
      </c>
      <c r="BX229" s="172">
        <f t="shared" si="377"/>
        <v>0</v>
      </c>
      <c r="BY229" s="172">
        <f t="shared" si="377"/>
        <v>0</v>
      </c>
      <c r="BZ229" s="172">
        <f t="shared" si="377"/>
        <v>0</v>
      </c>
      <c r="CA229" s="172">
        <f t="shared" si="377"/>
        <v>0</v>
      </c>
      <c r="CB229" s="172">
        <f t="shared" si="377"/>
        <v>0</v>
      </c>
      <c r="CC229" s="172">
        <f t="shared" si="377"/>
        <v>0</v>
      </c>
      <c r="CD229" s="172">
        <f t="shared" si="377"/>
        <v>0</v>
      </c>
      <c r="CE229" s="172">
        <f t="shared" si="377"/>
        <v>0</v>
      </c>
      <c r="CF229" s="172">
        <f t="shared" si="377"/>
        <v>0</v>
      </c>
      <c r="CG229" s="172">
        <f t="shared" si="377"/>
        <v>0</v>
      </c>
      <c r="CH229" s="172">
        <f t="shared" si="377"/>
        <v>0</v>
      </c>
      <c r="CI229" s="172">
        <f t="shared" si="377"/>
        <v>0</v>
      </c>
      <c r="CJ229" s="172">
        <f t="shared" si="377"/>
        <v>0</v>
      </c>
      <c r="CK229" s="172">
        <f t="shared" si="377"/>
        <v>0</v>
      </c>
      <c r="CL229" s="172">
        <f t="shared" si="377"/>
        <v>0</v>
      </c>
      <c r="CM229" s="172">
        <f t="shared" si="377"/>
        <v>0</v>
      </c>
      <c r="CN229" s="172">
        <f t="shared" si="377"/>
        <v>0</v>
      </c>
      <c r="CO229" s="172">
        <f t="shared" si="377"/>
        <v>0</v>
      </c>
      <c r="CP229" s="172">
        <f t="shared" si="377"/>
        <v>0</v>
      </c>
      <c r="CQ229" s="172">
        <f t="shared" si="377"/>
        <v>0</v>
      </c>
      <c r="CR229" s="172">
        <f t="shared" si="377"/>
        <v>0</v>
      </c>
      <c r="CS229" s="172">
        <f t="shared" si="377"/>
        <v>0</v>
      </c>
      <c r="CT229" s="172">
        <f t="shared" si="377"/>
        <v>0</v>
      </c>
      <c r="CU229" s="17">
        <f t="shared" si="293"/>
        <v>535</v>
      </c>
      <c r="CV229" s="25">
        <f t="shared" si="294"/>
        <v>0</v>
      </c>
      <c r="CW229" s="176"/>
      <c r="CX229" s="164"/>
      <c r="CY229" s="164"/>
    </row>
    <row r="230" spans="1:103" x14ac:dyDescent="0.2">
      <c r="A230" s="2">
        <v>45886</v>
      </c>
      <c r="B230" s="3" t="s">
        <v>472</v>
      </c>
      <c r="C230" s="4" t="s">
        <v>563</v>
      </c>
      <c r="D230" s="5" t="s">
        <v>473</v>
      </c>
      <c r="E230" s="6" t="s">
        <v>474</v>
      </c>
      <c r="F230" s="7" t="s">
        <v>475</v>
      </c>
      <c r="G230" s="8" t="s">
        <v>286</v>
      </c>
      <c r="H230" s="9">
        <v>370</v>
      </c>
      <c r="I230" s="10"/>
      <c r="J230" s="11" t="s">
        <v>310</v>
      </c>
      <c r="K230" s="12">
        <v>1</v>
      </c>
      <c r="L230" s="13">
        <v>350</v>
      </c>
      <c r="M230" s="14">
        <f t="shared" ref="M230" si="378">L230*K230</f>
        <v>350</v>
      </c>
      <c r="N230" s="15"/>
      <c r="O230" s="16" t="s">
        <v>137</v>
      </c>
      <c r="P230" s="17">
        <f>M230*0.02</f>
        <v>7</v>
      </c>
      <c r="Q230" s="18"/>
      <c r="R230" s="5"/>
      <c r="S230" s="19"/>
      <c r="T230" s="19"/>
      <c r="U230" s="19"/>
      <c r="V230" s="19"/>
      <c r="W230" s="17"/>
      <c r="X230" s="20"/>
      <c r="Y230" s="19"/>
      <c r="Z230" s="19"/>
      <c r="AA230" s="19"/>
      <c r="AB230" s="19"/>
      <c r="AC230" s="19"/>
      <c r="AD230" s="19"/>
      <c r="AE230" s="5"/>
      <c r="AF230" s="19"/>
      <c r="AG230" s="5"/>
      <c r="AH230" s="17"/>
      <c r="AI230" s="19"/>
      <c r="AJ230" s="19"/>
      <c r="AK230" s="19"/>
      <c r="AL230" s="19"/>
      <c r="AM230" s="17"/>
      <c r="AN230" s="19"/>
      <c r="AO230" s="19"/>
      <c r="AP230" s="19"/>
      <c r="AQ230" s="19"/>
      <c r="AR230" s="19"/>
      <c r="AS230" s="21"/>
      <c r="AT230" s="5"/>
      <c r="AU230" s="19"/>
      <c r="AV230" s="5"/>
      <c r="AW230" s="22"/>
      <c r="AX230" s="19"/>
      <c r="AY230" s="5"/>
      <c r="AZ230" s="17">
        <f>M230+P230-Q230</f>
        <v>357</v>
      </c>
      <c r="BA230" s="5"/>
      <c r="BB230" s="5"/>
      <c r="BC230" s="19"/>
      <c r="BD230" s="19"/>
      <c r="BE230" s="19"/>
      <c r="BF230" s="19"/>
      <c r="BG230" s="19"/>
      <c r="BH230" s="19"/>
      <c r="BI230" s="19"/>
      <c r="BJ230" s="19"/>
      <c r="BK230" s="13"/>
      <c r="BL230" s="5"/>
      <c r="BM230" s="5"/>
      <c r="BN230" s="19"/>
      <c r="BO230" s="17"/>
      <c r="BP230" s="19"/>
      <c r="BQ230" s="17"/>
      <c r="BR230" s="19"/>
      <c r="BS230" s="13"/>
      <c r="BT230" s="5"/>
      <c r="BU230" s="23"/>
      <c r="BV230" s="23"/>
      <c r="BW230" s="24"/>
      <c r="BX230" s="5"/>
      <c r="BY230" s="5"/>
      <c r="BZ230" s="5"/>
      <c r="CA230" s="24"/>
      <c r="CB230" s="24"/>
      <c r="CC230" s="24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>
        <f t="shared" si="293"/>
        <v>350</v>
      </c>
      <c r="CV230" s="25">
        <f t="shared" si="294"/>
        <v>0</v>
      </c>
      <c r="CW230" s="26"/>
      <c r="CX230" s="5"/>
      <c r="CY230" s="5"/>
    </row>
    <row r="231" spans="1:103" x14ac:dyDescent="0.2">
      <c r="A231" s="27"/>
      <c r="B231" s="28"/>
      <c r="C231" s="29"/>
      <c r="D231" s="30"/>
      <c r="E231" s="31"/>
      <c r="F231" s="32"/>
      <c r="G231" s="33"/>
      <c r="H231" s="34"/>
      <c r="I231" s="34"/>
      <c r="J231" s="35"/>
      <c r="K231" s="36"/>
      <c r="L231" s="37"/>
      <c r="M231" s="38">
        <f>SUM(M230:M230)</f>
        <v>350</v>
      </c>
      <c r="N231" s="38"/>
      <c r="O231" s="39" t="s">
        <v>137</v>
      </c>
      <c r="P231" s="38">
        <f>SUM(P230:P230)</f>
        <v>7</v>
      </c>
      <c r="Q231" s="38"/>
      <c r="R231" s="30"/>
      <c r="S231" s="38">
        <f t="shared" ref="S231:AD231" si="379">SUM(S230:S230)</f>
        <v>0</v>
      </c>
      <c r="T231" s="38">
        <f t="shared" si="379"/>
        <v>0</v>
      </c>
      <c r="U231" s="38">
        <f t="shared" si="379"/>
        <v>0</v>
      </c>
      <c r="V231" s="38">
        <f t="shared" si="379"/>
        <v>0</v>
      </c>
      <c r="W231" s="38">
        <f t="shared" si="379"/>
        <v>0</v>
      </c>
      <c r="X231" s="38">
        <f t="shared" si="379"/>
        <v>0</v>
      </c>
      <c r="Y231" s="38">
        <f t="shared" si="379"/>
        <v>0</v>
      </c>
      <c r="Z231" s="38">
        <f t="shared" si="379"/>
        <v>0</v>
      </c>
      <c r="AA231" s="38">
        <f t="shared" si="379"/>
        <v>0</v>
      </c>
      <c r="AB231" s="38">
        <f t="shared" si="379"/>
        <v>0</v>
      </c>
      <c r="AC231" s="38">
        <f t="shared" si="379"/>
        <v>0</v>
      </c>
      <c r="AD231" s="38">
        <f t="shared" si="379"/>
        <v>0</v>
      </c>
      <c r="AE231" s="30"/>
      <c r="AF231" s="38">
        <f>SUM(AF230:AF230)</f>
        <v>0</v>
      </c>
      <c r="AG231" s="30"/>
      <c r="AH231" s="38">
        <f t="shared" ref="AH231:AY231" si="380">SUM(AH230:AH230)</f>
        <v>0</v>
      </c>
      <c r="AI231" s="38">
        <f t="shared" si="380"/>
        <v>0</v>
      </c>
      <c r="AJ231" s="38">
        <f t="shared" si="380"/>
        <v>0</v>
      </c>
      <c r="AK231" s="38">
        <f t="shared" si="380"/>
        <v>0</v>
      </c>
      <c r="AL231" s="38">
        <f t="shared" si="380"/>
        <v>0</v>
      </c>
      <c r="AM231" s="38">
        <f t="shared" si="380"/>
        <v>0</v>
      </c>
      <c r="AN231" s="38">
        <f t="shared" si="380"/>
        <v>0</v>
      </c>
      <c r="AO231" s="38">
        <f t="shared" si="380"/>
        <v>0</v>
      </c>
      <c r="AP231" s="38">
        <f t="shared" si="380"/>
        <v>0</v>
      </c>
      <c r="AQ231" s="38">
        <f t="shared" si="380"/>
        <v>0</v>
      </c>
      <c r="AR231" s="38">
        <f t="shared" si="380"/>
        <v>0</v>
      </c>
      <c r="AS231" s="38">
        <f t="shared" si="380"/>
        <v>0</v>
      </c>
      <c r="AT231" s="38">
        <f t="shared" si="380"/>
        <v>0</v>
      </c>
      <c r="AU231" s="38">
        <f t="shared" si="380"/>
        <v>0</v>
      </c>
      <c r="AV231" s="38">
        <f t="shared" si="380"/>
        <v>0</v>
      </c>
      <c r="AW231" s="38">
        <f t="shared" si="380"/>
        <v>0</v>
      </c>
      <c r="AX231" s="38">
        <f t="shared" si="380"/>
        <v>0</v>
      </c>
      <c r="AY231" s="38">
        <f t="shared" si="380"/>
        <v>0</v>
      </c>
      <c r="AZ231" s="38">
        <f>SUM(AZ230:AZ230)</f>
        <v>357</v>
      </c>
      <c r="BA231" s="30"/>
      <c r="BB231" s="38">
        <f t="shared" ref="BB231:CT231" si="381">SUM(BB230:BB230)</f>
        <v>0</v>
      </c>
      <c r="BC231" s="38">
        <f t="shared" si="381"/>
        <v>0</v>
      </c>
      <c r="BD231" s="38">
        <f t="shared" si="381"/>
        <v>0</v>
      </c>
      <c r="BE231" s="38">
        <f t="shared" si="381"/>
        <v>0</v>
      </c>
      <c r="BF231" s="38">
        <f t="shared" si="381"/>
        <v>0</v>
      </c>
      <c r="BG231" s="38">
        <f t="shared" si="381"/>
        <v>0</v>
      </c>
      <c r="BH231" s="38">
        <f t="shared" si="381"/>
        <v>0</v>
      </c>
      <c r="BI231" s="38">
        <f t="shared" si="381"/>
        <v>0</v>
      </c>
      <c r="BJ231" s="38">
        <f t="shared" si="381"/>
        <v>0</v>
      </c>
      <c r="BK231" s="38">
        <f t="shared" si="381"/>
        <v>0</v>
      </c>
      <c r="BL231" s="38">
        <f t="shared" si="381"/>
        <v>0</v>
      </c>
      <c r="BM231" s="38">
        <f t="shared" si="381"/>
        <v>0</v>
      </c>
      <c r="BN231" s="38">
        <f t="shared" si="381"/>
        <v>0</v>
      </c>
      <c r="BO231" s="38">
        <f t="shared" si="381"/>
        <v>0</v>
      </c>
      <c r="BP231" s="38">
        <f t="shared" si="381"/>
        <v>0</v>
      </c>
      <c r="BQ231" s="38">
        <f t="shared" si="381"/>
        <v>0</v>
      </c>
      <c r="BR231" s="38">
        <f t="shared" si="381"/>
        <v>0</v>
      </c>
      <c r="BS231" s="38">
        <f t="shared" si="381"/>
        <v>0</v>
      </c>
      <c r="BT231" s="38">
        <f t="shared" si="381"/>
        <v>0</v>
      </c>
      <c r="BU231" s="38">
        <f t="shared" si="381"/>
        <v>0</v>
      </c>
      <c r="BV231" s="38">
        <f t="shared" si="381"/>
        <v>0</v>
      </c>
      <c r="BW231" s="38">
        <f t="shared" si="381"/>
        <v>0</v>
      </c>
      <c r="BX231" s="38">
        <f t="shared" si="381"/>
        <v>0</v>
      </c>
      <c r="BY231" s="38">
        <f t="shared" si="381"/>
        <v>0</v>
      </c>
      <c r="BZ231" s="38">
        <f t="shared" si="381"/>
        <v>0</v>
      </c>
      <c r="CA231" s="38">
        <f t="shared" si="381"/>
        <v>0</v>
      </c>
      <c r="CB231" s="38">
        <f t="shared" si="381"/>
        <v>0</v>
      </c>
      <c r="CC231" s="38">
        <f t="shared" si="381"/>
        <v>0</v>
      </c>
      <c r="CD231" s="38">
        <f t="shared" si="381"/>
        <v>0</v>
      </c>
      <c r="CE231" s="38">
        <f t="shared" si="381"/>
        <v>0</v>
      </c>
      <c r="CF231" s="38">
        <f t="shared" si="381"/>
        <v>0</v>
      </c>
      <c r="CG231" s="38">
        <f t="shared" si="381"/>
        <v>0</v>
      </c>
      <c r="CH231" s="38">
        <f t="shared" si="381"/>
        <v>0</v>
      </c>
      <c r="CI231" s="38">
        <f t="shared" si="381"/>
        <v>0</v>
      </c>
      <c r="CJ231" s="38">
        <f t="shared" si="381"/>
        <v>0</v>
      </c>
      <c r="CK231" s="38">
        <f t="shared" si="381"/>
        <v>0</v>
      </c>
      <c r="CL231" s="38">
        <f t="shared" si="381"/>
        <v>0</v>
      </c>
      <c r="CM231" s="38">
        <f t="shared" si="381"/>
        <v>0</v>
      </c>
      <c r="CN231" s="38">
        <f t="shared" si="381"/>
        <v>0</v>
      </c>
      <c r="CO231" s="38">
        <f t="shared" si="381"/>
        <v>0</v>
      </c>
      <c r="CP231" s="38">
        <f t="shared" si="381"/>
        <v>0</v>
      </c>
      <c r="CQ231" s="38">
        <f t="shared" si="381"/>
        <v>0</v>
      </c>
      <c r="CR231" s="38">
        <f t="shared" si="381"/>
        <v>0</v>
      </c>
      <c r="CS231" s="38">
        <f t="shared" si="381"/>
        <v>0</v>
      </c>
      <c r="CT231" s="38">
        <f t="shared" si="381"/>
        <v>0</v>
      </c>
      <c r="CU231" s="17">
        <f t="shared" si="293"/>
        <v>350</v>
      </c>
      <c r="CV231" s="25">
        <f t="shared" si="294"/>
        <v>0</v>
      </c>
      <c r="CW231" s="40"/>
      <c r="CX231" s="30"/>
      <c r="CY231" s="30"/>
    </row>
    <row r="232" spans="1:103" x14ac:dyDescent="0.2">
      <c r="A232" s="2">
        <v>45886</v>
      </c>
      <c r="B232" s="3" t="s">
        <v>472</v>
      </c>
      <c r="C232" s="4" t="s">
        <v>562</v>
      </c>
      <c r="D232" s="5" t="s">
        <v>473</v>
      </c>
      <c r="E232" s="6" t="s">
        <v>474</v>
      </c>
      <c r="F232" s="7" t="s">
        <v>475</v>
      </c>
      <c r="G232" s="8" t="s">
        <v>286</v>
      </c>
      <c r="H232" s="9">
        <v>371</v>
      </c>
      <c r="I232" s="10"/>
      <c r="J232" s="11" t="s">
        <v>310</v>
      </c>
      <c r="K232" s="12">
        <v>1</v>
      </c>
      <c r="L232" s="13">
        <v>350</v>
      </c>
      <c r="M232" s="14">
        <f>L232*K232</f>
        <v>350</v>
      </c>
      <c r="N232" s="15"/>
      <c r="O232" s="16" t="s">
        <v>137</v>
      </c>
      <c r="P232" s="17">
        <f>M232/1.12*0.02</f>
        <v>6.2499999999999991</v>
      </c>
      <c r="Q232" s="18"/>
      <c r="R232" s="5"/>
      <c r="S232" s="19"/>
      <c r="T232" s="19"/>
      <c r="U232" s="19"/>
      <c r="V232" s="19"/>
      <c r="W232" s="17"/>
      <c r="X232" s="20"/>
      <c r="Y232" s="19"/>
      <c r="Z232" s="19"/>
      <c r="AA232" s="19"/>
      <c r="AB232" s="19"/>
      <c r="AC232" s="19"/>
      <c r="AD232" s="19"/>
      <c r="AE232" s="5"/>
      <c r="AF232" s="19"/>
      <c r="AG232" s="5"/>
      <c r="AH232" s="17"/>
      <c r="AI232" s="19"/>
      <c r="AJ232" s="19"/>
      <c r="AK232" s="19"/>
      <c r="AL232" s="19"/>
      <c r="AM232" s="17"/>
      <c r="AN232" s="19"/>
      <c r="AO232" s="19"/>
      <c r="AP232" s="19"/>
      <c r="AQ232" s="19"/>
      <c r="AR232" s="19"/>
      <c r="AS232" s="21"/>
      <c r="AT232" s="5"/>
      <c r="AU232" s="19"/>
      <c r="AV232" s="5"/>
      <c r="AW232" s="22"/>
      <c r="AX232" s="19"/>
      <c r="AY232" s="5"/>
      <c r="AZ232" s="17">
        <f>M232+P232-Q232</f>
        <v>356.25</v>
      </c>
      <c r="BA232" s="5"/>
      <c r="BB232" s="5"/>
      <c r="BC232" s="19"/>
      <c r="BD232" s="19"/>
      <c r="BE232" s="19"/>
      <c r="BF232" s="19"/>
      <c r="BG232" s="19"/>
      <c r="BH232" s="19"/>
      <c r="BI232" s="19"/>
      <c r="BJ232" s="19"/>
      <c r="BK232" s="13"/>
      <c r="BL232" s="5"/>
      <c r="BM232" s="5"/>
      <c r="BN232" s="19"/>
      <c r="BO232" s="17"/>
      <c r="BP232" s="19"/>
      <c r="BQ232" s="17"/>
      <c r="BR232" s="19"/>
      <c r="BS232" s="13"/>
      <c r="BT232" s="5"/>
      <c r="BU232" s="23"/>
      <c r="BV232" s="23"/>
      <c r="BW232" s="24"/>
      <c r="BX232" s="5"/>
      <c r="BY232" s="5"/>
      <c r="BZ232" s="5"/>
      <c r="CA232" s="24"/>
      <c r="CB232" s="24"/>
      <c r="CC232" s="24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>
        <f t="shared" si="293"/>
        <v>350</v>
      </c>
      <c r="CV232" s="25">
        <f t="shared" si="294"/>
        <v>0</v>
      </c>
      <c r="CW232" s="26"/>
      <c r="CX232" s="5"/>
      <c r="CY232" s="5"/>
    </row>
    <row r="233" spans="1:103" x14ac:dyDescent="0.2">
      <c r="A233" s="161"/>
      <c r="B233" s="162"/>
      <c r="C233" s="163"/>
      <c r="D233" s="164"/>
      <c r="E233" s="165"/>
      <c r="F233" s="166"/>
      <c r="G233" s="167"/>
      <c r="H233" s="168"/>
      <c r="I233" s="168"/>
      <c r="J233" s="169"/>
      <c r="K233" s="170"/>
      <c r="L233" s="171"/>
      <c r="M233" s="172">
        <f>SUM(M232:M232)</f>
        <v>350</v>
      </c>
      <c r="N233" s="172">
        <f>M233+M231</f>
        <v>700</v>
      </c>
      <c r="O233" s="173" t="s">
        <v>137</v>
      </c>
      <c r="P233" s="172">
        <f>SUM(P232:P232)</f>
        <v>6.2499999999999991</v>
      </c>
      <c r="Q233" s="172"/>
      <c r="R233" s="164"/>
      <c r="S233" s="172">
        <f t="shared" ref="S233:AD233" si="382">SUM(S232:S232)</f>
        <v>0</v>
      </c>
      <c r="T233" s="172">
        <f t="shared" si="382"/>
        <v>0</v>
      </c>
      <c r="U233" s="172">
        <f t="shared" si="382"/>
        <v>0</v>
      </c>
      <c r="V233" s="172">
        <f t="shared" si="382"/>
        <v>0</v>
      </c>
      <c r="W233" s="172">
        <f t="shared" si="382"/>
        <v>0</v>
      </c>
      <c r="X233" s="172">
        <f t="shared" si="382"/>
        <v>0</v>
      </c>
      <c r="Y233" s="172">
        <f t="shared" si="382"/>
        <v>0</v>
      </c>
      <c r="Z233" s="172">
        <f t="shared" si="382"/>
        <v>0</v>
      </c>
      <c r="AA233" s="172">
        <f t="shared" si="382"/>
        <v>0</v>
      </c>
      <c r="AB233" s="172">
        <f t="shared" si="382"/>
        <v>0</v>
      </c>
      <c r="AC233" s="172">
        <f t="shared" si="382"/>
        <v>0</v>
      </c>
      <c r="AD233" s="172">
        <f t="shared" si="382"/>
        <v>0</v>
      </c>
      <c r="AE233" s="164"/>
      <c r="AF233" s="172">
        <f>SUM(AF232:AF232)</f>
        <v>0</v>
      </c>
      <c r="AG233" s="164"/>
      <c r="AH233" s="172">
        <f t="shared" ref="AH233:AZ233" si="383">SUM(AH232:AH232)</f>
        <v>0</v>
      </c>
      <c r="AI233" s="172">
        <f t="shared" si="383"/>
        <v>0</v>
      </c>
      <c r="AJ233" s="172">
        <f t="shared" si="383"/>
        <v>0</v>
      </c>
      <c r="AK233" s="172">
        <f t="shared" si="383"/>
        <v>0</v>
      </c>
      <c r="AL233" s="172">
        <f t="shared" si="383"/>
        <v>0</v>
      </c>
      <c r="AM233" s="172">
        <f t="shared" si="383"/>
        <v>0</v>
      </c>
      <c r="AN233" s="172">
        <f t="shared" si="383"/>
        <v>0</v>
      </c>
      <c r="AO233" s="172">
        <f t="shared" si="383"/>
        <v>0</v>
      </c>
      <c r="AP233" s="172">
        <f t="shared" si="383"/>
        <v>0</v>
      </c>
      <c r="AQ233" s="172">
        <f t="shared" si="383"/>
        <v>0</v>
      </c>
      <c r="AR233" s="172">
        <f t="shared" si="383"/>
        <v>0</v>
      </c>
      <c r="AS233" s="172">
        <f t="shared" si="383"/>
        <v>0</v>
      </c>
      <c r="AT233" s="172">
        <f t="shared" si="383"/>
        <v>0</v>
      </c>
      <c r="AU233" s="172">
        <f t="shared" si="383"/>
        <v>0</v>
      </c>
      <c r="AV233" s="172">
        <f t="shared" si="383"/>
        <v>0</v>
      </c>
      <c r="AW233" s="172">
        <f t="shared" si="383"/>
        <v>0</v>
      </c>
      <c r="AX233" s="172">
        <f t="shared" si="383"/>
        <v>0</v>
      </c>
      <c r="AY233" s="172">
        <f t="shared" si="383"/>
        <v>0</v>
      </c>
      <c r="AZ233" s="172">
        <f t="shared" si="383"/>
        <v>356.25</v>
      </c>
      <c r="BA233" s="164"/>
      <c r="BB233" s="172">
        <f t="shared" ref="BB233:CT233" si="384">SUM(BB232:BB232)</f>
        <v>0</v>
      </c>
      <c r="BC233" s="172">
        <f t="shared" si="384"/>
        <v>0</v>
      </c>
      <c r="BD233" s="172">
        <f t="shared" si="384"/>
        <v>0</v>
      </c>
      <c r="BE233" s="172">
        <f t="shared" si="384"/>
        <v>0</v>
      </c>
      <c r="BF233" s="172">
        <f t="shared" si="384"/>
        <v>0</v>
      </c>
      <c r="BG233" s="172">
        <f t="shared" si="384"/>
        <v>0</v>
      </c>
      <c r="BH233" s="172">
        <f t="shared" si="384"/>
        <v>0</v>
      </c>
      <c r="BI233" s="172">
        <f t="shared" si="384"/>
        <v>0</v>
      </c>
      <c r="BJ233" s="172">
        <f t="shared" si="384"/>
        <v>0</v>
      </c>
      <c r="BK233" s="172">
        <f t="shared" si="384"/>
        <v>0</v>
      </c>
      <c r="BL233" s="172">
        <f t="shared" si="384"/>
        <v>0</v>
      </c>
      <c r="BM233" s="172">
        <f t="shared" si="384"/>
        <v>0</v>
      </c>
      <c r="BN233" s="172">
        <f t="shared" si="384"/>
        <v>0</v>
      </c>
      <c r="BO233" s="172">
        <f t="shared" si="384"/>
        <v>0</v>
      </c>
      <c r="BP233" s="172">
        <f t="shared" si="384"/>
        <v>0</v>
      </c>
      <c r="BQ233" s="172">
        <f t="shared" si="384"/>
        <v>0</v>
      </c>
      <c r="BR233" s="172">
        <f t="shared" si="384"/>
        <v>0</v>
      </c>
      <c r="BS233" s="172">
        <f t="shared" si="384"/>
        <v>0</v>
      </c>
      <c r="BT233" s="172">
        <f t="shared" si="384"/>
        <v>0</v>
      </c>
      <c r="BU233" s="172">
        <f t="shared" si="384"/>
        <v>0</v>
      </c>
      <c r="BV233" s="172">
        <f t="shared" si="384"/>
        <v>0</v>
      </c>
      <c r="BW233" s="172">
        <f t="shared" si="384"/>
        <v>0</v>
      </c>
      <c r="BX233" s="172">
        <f t="shared" si="384"/>
        <v>0</v>
      </c>
      <c r="BY233" s="172">
        <f t="shared" si="384"/>
        <v>0</v>
      </c>
      <c r="BZ233" s="172">
        <f t="shared" si="384"/>
        <v>0</v>
      </c>
      <c r="CA233" s="172">
        <f t="shared" si="384"/>
        <v>0</v>
      </c>
      <c r="CB233" s="172">
        <f t="shared" si="384"/>
        <v>0</v>
      </c>
      <c r="CC233" s="172">
        <f t="shared" si="384"/>
        <v>0</v>
      </c>
      <c r="CD233" s="172">
        <f t="shared" si="384"/>
        <v>0</v>
      </c>
      <c r="CE233" s="172">
        <f t="shared" si="384"/>
        <v>0</v>
      </c>
      <c r="CF233" s="172">
        <f t="shared" si="384"/>
        <v>0</v>
      </c>
      <c r="CG233" s="172">
        <f t="shared" si="384"/>
        <v>0</v>
      </c>
      <c r="CH233" s="172">
        <f t="shared" si="384"/>
        <v>0</v>
      </c>
      <c r="CI233" s="172">
        <f t="shared" si="384"/>
        <v>0</v>
      </c>
      <c r="CJ233" s="172">
        <f t="shared" si="384"/>
        <v>0</v>
      </c>
      <c r="CK233" s="172">
        <f t="shared" si="384"/>
        <v>0</v>
      </c>
      <c r="CL233" s="172">
        <f t="shared" si="384"/>
        <v>0</v>
      </c>
      <c r="CM233" s="172">
        <f t="shared" si="384"/>
        <v>0</v>
      </c>
      <c r="CN233" s="172">
        <f t="shared" si="384"/>
        <v>0</v>
      </c>
      <c r="CO233" s="172">
        <f t="shared" si="384"/>
        <v>0</v>
      </c>
      <c r="CP233" s="172">
        <f t="shared" si="384"/>
        <v>0</v>
      </c>
      <c r="CQ233" s="172">
        <f t="shared" si="384"/>
        <v>0</v>
      </c>
      <c r="CR233" s="172">
        <f t="shared" si="384"/>
        <v>0</v>
      </c>
      <c r="CS233" s="172">
        <f t="shared" si="384"/>
        <v>0</v>
      </c>
      <c r="CT233" s="172">
        <f t="shared" si="384"/>
        <v>0</v>
      </c>
      <c r="CU233" s="17">
        <f t="shared" si="293"/>
        <v>350</v>
      </c>
      <c r="CV233" s="25">
        <f t="shared" si="294"/>
        <v>0</v>
      </c>
      <c r="CW233" s="176"/>
      <c r="CX233" s="164"/>
      <c r="CY233" s="164"/>
    </row>
    <row r="234" spans="1:103" ht="21" x14ac:dyDescent="0.35">
      <c r="A234" s="160"/>
      <c r="B234" s="160"/>
      <c r="C234" s="160"/>
      <c r="D234" s="160"/>
      <c r="E234" s="160"/>
      <c r="F234" s="160"/>
      <c r="G234" s="160"/>
      <c r="H234" s="160"/>
      <c r="I234" s="160"/>
      <c r="J234" s="160"/>
      <c r="K234" s="160"/>
      <c r="L234" s="160"/>
      <c r="M234" s="160"/>
      <c r="N234" s="179">
        <f>N233+N229+N223+N220+N218+N216+N214+N212+N210+N199+N179+N153+N147+N145+N137+N135+N129</f>
        <v>57358.530129599996</v>
      </c>
      <c r="O234" s="160"/>
      <c r="P234" s="178">
        <f>P233+P231+P229+P227+P225+P223+P220+P218+P216+P214+P212+P210+P207+P204+P199+P196+P185+P183+P179+P177+P175+P173+P171+P169+P167+P165+P163+P161+P159+P157+P155+P153+P151+P149+P147+P145+P143+P141+P139+P137+P135+P133+P131+P129+P127+P125+P123+P121+P119+P113+P111</f>
        <v>591.46598329999995</v>
      </c>
      <c r="Q234" s="178">
        <f t="shared" ref="Q234:CB234" si="385">Q233+Q231+Q229+Q227+Q225+Q223+Q220+Q218+Q216+Q214+Q212+Q210+Q207+Q204+Q199+Q196+Q185+Q183+Q179+Q177+Q175+Q173+Q171+Q169+Q167+Q165+Q163+Q161+Q159+Q157+Q155+Q153+Q151+Q149+Q147+Q145+Q143+Q141+Q139+Q137+Q135+Q133+Q131+Q129+Q127+Q125+Q123+Q121+Q119+Q113+Q111</f>
        <v>3091.9050138857133</v>
      </c>
      <c r="R234" s="178">
        <f t="shared" si="385"/>
        <v>26825.712706157145</v>
      </c>
      <c r="S234" s="178">
        <f t="shared" si="385"/>
        <v>0</v>
      </c>
      <c r="T234" s="178">
        <f t="shared" si="385"/>
        <v>0</v>
      </c>
      <c r="U234" s="178">
        <f t="shared" si="385"/>
        <v>0</v>
      </c>
      <c r="V234" s="178">
        <f t="shared" si="385"/>
        <v>4250.3125</v>
      </c>
      <c r="W234" s="178">
        <f t="shared" si="385"/>
        <v>2230.1160714285716</v>
      </c>
      <c r="X234" s="178">
        <f t="shared" si="385"/>
        <v>0</v>
      </c>
      <c r="Y234" s="178">
        <f t="shared" si="385"/>
        <v>0</v>
      </c>
      <c r="Z234" s="178">
        <f t="shared" si="385"/>
        <v>0</v>
      </c>
      <c r="AA234" s="178">
        <f t="shared" si="385"/>
        <v>0</v>
      </c>
      <c r="AB234" s="178">
        <f t="shared" si="385"/>
        <v>0</v>
      </c>
      <c r="AC234" s="178">
        <f t="shared" si="385"/>
        <v>0</v>
      </c>
      <c r="AD234" s="178">
        <f t="shared" si="385"/>
        <v>0</v>
      </c>
      <c r="AE234" s="178">
        <f t="shared" si="385"/>
        <v>0</v>
      </c>
      <c r="AF234" s="178">
        <f t="shared" si="385"/>
        <v>0</v>
      </c>
      <c r="AG234" s="178">
        <f t="shared" si="385"/>
        <v>0</v>
      </c>
      <c r="AH234" s="178">
        <f t="shared" si="385"/>
        <v>2185.7142857142853</v>
      </c>
      <c r="AI234" s="178">
        <f t="shared" si="385"/>
        <v>0</v>
      </c>
      <c r="AJ234" s="178">
        <f t="shared" si="385"/>
        <v>0</v>
      </c>
      <c r="AK234" s="178">
        <f t="shared" si="385"/>
        <v>1821.4285714285716</v>
      </c>
      <c r="AL234" s="178">
        <f t="shared" si="385"/>
        <v>1320.5357142857142</v>
      </c>
      <c r="AM234" s="178">
        <f t="shared" si="385"/>
        <v>0</v>
      </c>
      <c r="AN234" s="178">
        <f t="shared" si="385"/>
        <v>0</v>
      </c>
      <c r="AO234" s="178">
        <f t="shared" si="385"/>
        <v>0</v>
      </c>
      <c r="AP234" s="178">
        <f t="shared" si="385"/>
        <v>0</v>
      </c>
      <c r="AQ234" s="178">
        <f t="shared" si="385"/>
        <v>0</v>
      </c>
      <c r="AR234" s="178">
        <f t="shared" si="385"/>
        <v>0</v>
      </c>
      <c r="AS234" s="178">
        <f t="shared" si="385"/>
        <v>0</v>
      </c>
      <c r="AT234" s="178">
        <f t="shared" si="385"/>
        <v>0</v>
      </c>
      <c r="AU234" s="178">
        <f t="shared" si="385"/>
        <v>0</v>
      </c>
      <c r="AV234" s="178">
        <f t="shared" si="385"/>
        <v>0</v>
      </c>
      <c r="AW234" s="178">
        <f t="shared" si="385"/>
        <v>0</v>
      </c>
      <c r="AX234" s="178">
        <f t="shared" si="385"/>
        <v>0</v>
      </c>
      <c r="AY234" s="178">
        <f t="shared" si="385"/>
        <v>0</v>
      </c>
      <c r="AZ234" s="178">
        <f t="shared" si="385"/>
        <v>5313.4500000000007</v>
      </c>
      <c r="BA234" s="178">
        <f t="shared" si="385"/>
        <v>0</v>
      </c>
      <c r="BB234" s="178">
        <f t="shared" si="385"/>
        <v>4876.1473214285706</v>
      </c>
      <c r="BC234" s="178">
        <f t="shared" si="385"/>
        <v>126.25</v>
      </c>
      <c r="BD234" s="178">
        <f t="shared" si="385"/>
        <v>0</v>
      </c>
      <c r="BE234" s="178">
        <f t="shared" si="385"/>
        <v>0</v>
      </c>
      <c r="BF234" s="178">
        <f t="shared" si="385"/>
        <v>0</v>
      </c>
      <c r="BG234" s="178">
        <f t="shared" si="385"/>
        <v>0</v>
      </c>
      <c r="BH234" s="178">
        <f t="shared" si="385"/>
        <v>0</v>
      </c>
      <c r="BI234" s="178">
        <f t="shared" si="385"/>
        <v>0</v>
      </c>
      <c r="BJ234" s="178">
        <f t="shared" si="385"/>
        <v>0</v>
      </c>
      <c r="BK234" s="178">
        <f t="shared" si="385"/>
        <v>0</v>
      </c>
      <c r="BL234" s="178">
        <f t="shared" si="385"/>
        <v>0</v>
      </c>
      <c r="BM234" s="178">
        <f t="shared" si="385"/>
        <v>0</v>
      </c>
      <c r="BN234" s="178">
        <f t="shared" si="385"/>
        <v>0</v>
      </c>
      <c r="BO234" s="178">
        <f t="shared" si="385"/>
        <v>1193.2142857142858</v>
      </c>
      <c r="BP234" s="178">
        <f t="shared" si="385"/>
        <v>0</v>
      </c>
      <c r="BQ234" s="178">
        <f t="shared" si="385"/>
        <v>0</v>
      </c>
      <c r="BR234" s="178">
        <f t="shared" si="385"/>
        <v>0</v>
      </c>
      <c r="BS234" s="178">
        <f t="shared" si="385"/>
        <v>4615.2096428571431</v>
      </c>
      <c r="BT234" s="178">
        <f t="shared" si="385"/>
        <v>0</v>
      </c>
      <c r="BU234" s="178">
        <f t="shared" si="385"/>
        <v>0</v>
      </c>
      <c r="BV234" s="178">
        <f t="shared" si="385"/>
        <v>100</v>
      </c>
      <c r="BW234" s="178">
        <f t="shared" si="385"/>
        <v>0</v>
      </c>
      <c r="BX234" s="178">
        <f t="shared" si="385"/>
        <v>0</v>
      </c>
      <c r="BY234" s="178">
        <f t="shared" si="385"/>
        <v>0</v>
      </c>
      <c r="BZ234" s="178">
        <f t="shared" si="385"/>
        <v>0</v>
      </c>
      <c r="CA234" s="178">
        <f t="shared" si="385"/>
        <v>0</v>
      </c>
      <c r="CB234" s="178">
        <f t="shared" si="385"/>
        <v>0</v>
      </c>
      <c r="CC234" s="178">
        <f t="shared" ref="CC234:CY234" si="386">CC233+CC231+CC229+CC227+CC225+CC223+CC220+CC218+CC216+CC214+CC212+CC210+CC207+CC204+CC199+CC196+CC185+CC183+CC179+CC177+CC175+CC173+CC171+CC169+CC167+CC165+CC163+CC161+CC159+CC157+CC155+CC153+CC151+CC149+CC147+CC145+CC143+CC141+CC139+CC137+CC135+CC133+CC131+CC129+CC127+CC125+CC123+CC121+CC119+CC113+CC111</f>
        <v>0</v>
      </c>
      <c r="CD234" s="178">
        <f t="shared" si="386"/>
        <v>0</v>
      </c>
      <c r="CE234" s="178">
        <f t="shared" si="386"/>
        <v>0</v>
      </c>
      <c r="CF234" s="178">
        <f t="shared" si="386"/>
        <v>0</v>
      </c>
      <c r="CG234" s="178">
        <f t="shared" si="386"/>
        <v>0</v>
      </c>
      <c r="CH234" s="178">
        <f t="shared" si="386"/>
        <v>0</v>
      </c>
      <c r="CI234" s="178">
        <f t="shared" si="386"/>
        <v>0</v>
      </c>
      <c r="CJ234" s="178">
        <f t="shared" si="386"/>
        <v>0</v>
      </c>
      <c r="CK234" s="178">
        <f t="shared" si="386"/>
        <v>0</v>
      </c>
      <c r="CL234" s="178">
        <f t="shared" si="386"/>
        <v>0</v>
      </c>
      <c r="CM234" s="178">
        <f t="shared" si="386"/>
        <v>0</v>
      </c>
      <c r="CN234" s="178">
        <f t="shared" si="386"/>
        <v>0</v>
      </c>
      <c r="CO234" s="178">
        <f t="shared" si="386"/>
        <v>0</v>
      </c>
      <c r="CP234" s="178">
        <f t="shared" si="386"/>
        <v>0</v>
      </c>
      <c r="CQ234" s="178">
        <f t="shared" si="386"/>
        <v>0</v>
      </c>
      <c r="CR234" s="178">
        <f t="shared" si="386"/>
        <v>0</v>
      </c>
      <c r="CS234" s="178">
        <f t="shared" si="386"/>
        <v>0</v>
      </c>
      <c r="CT234" s="178">
        <f t="shared" si="386"/>
        <v>0</v>
      </c>
      <c r="CU234" s="180">
        <f t="shared" si="386"/>
        <v>57358.530129599996</v>
      </c>
      <c r="CV234" s="178">
        <f t="shared" si="386"/>
        <v>0</v>
      </c>
      <c r="CW234" s="178">
        <f t="shared" si="386"/>
        <v>0</v>
      </c>
      <c r="CX234" s="178">
        <f t="shared" si="386"/>
        <v>0</v>
      </c>
      <c r="CY234" s="178">
        <f t="shared" si="386"/>
        <v>0</v>
      </c>
    </row>
    <row r="240" spans="1:103" x14ac:dyDescent="0.2">
      <c r="A240" s="2">
        <v>45882</v>
      </c>
      <c r="B240" s="3" t="s">
        <v>564</v>
      </c>
      <c r="C240" s="4" t="s">
        <v>696</v>
      </c>
      <c r="D240" s="5" t="s">
        <v>565</v>
      </c>
      <c r="E240" s="6" t="s">
        <v>566</v>
      </c>
      <c r="F240" s="7" t="s">
        <v>567</v>
      </c>
      <c r="G240" s="8" t="s">
        <v>695</v>
      </c>
      <c r="H240" s="9">
        <v>2080101542404010</v>
      </c>
      <c r="I240" s="10"/>
      <c r="J240" s="11" t="s">
        <v>568</v>
      </c>
      <c r="K240" s="12">
        <v>1</v>
      </c>
      <c r="L240" s="13">
        <v>1241.78</v>
      </c>
      <c r="M240" s="14">
        <f t="shared" ref="M240" si="387">L240*K240</f>
        <v>1241.78</v>
      </c>
      <c r="N240" s="15"/>
      <c r="O240" s="16" t="s">
        <v>111</v>
      </c>
      <c r="P240" s="17">
        <f>M240/1.12*0.02</f>
        <v>22.174642857142853</v>
      </c>
      <c r="Q240" s="18">
        <f>M240/1.12*0.12</f>
        <v>133.04785714285711</v>
      </c>
      <c r="R240" s="5"/>
      <c r="S240" s="19"/>
      <c r="T240" s="19"/>
      <c r="U240" s="19"/>
      <c r="V240" s="19"/>
      <c r="W240" s="17"/>
      <c r="X240" s="20"/>
      <c r="Y240" s="19"/>
      <c r="Z240" s="19"/>
      <c r="AA240" s="19"/>
      <c r="AB240" s="19"/>
      <c r="AC240" s="19"/>
      <c r="AD240" s="19"/>
      <c r="AE240" s="5"/>
      <c r="AF240" s="19"/>
      <c r="AG240" s="5"/>
      <c r="AH240" s="17"/>
      <c r="AI240" s="19"/>
      <c r="AJ240" s="19"/>
      <c r="AK240" s="19"/>
      <c r="AL240" s="19"/>
      <c r="AM240" s="17"/>
      <c r="AN240" s="19"/>
      <c r="AO240" s="19"/>
      <c r="AP240" s="19"/>
      <c r="AQ240" s="19"/>
      <c r="AR240" s="19"/>
      <c r="AS240" s="21"/>
      <c r="AT240" s="5"/>
      <c r="AU240" s="19"/>
      <c r="AV240" s="5"/>
      <c r="AW240" s="22"/>
      <c r="AX240" s="19"/>
      <c r="AY240" s="5"/>
      <c r="AZ240" s="19"/>
      <c r="BA240" s="5"/>
      <c r="BB240" s="5"/>
      <c r="BC240" s="19"/>
      <c r="BD240" s="19"/>
      <c r="BE240" s="19"/>
      <c r="BF240" s="19"/>
      <c r="BG240" s="19"/>
      <c r="BH240" s="19"/>
      <c r="BI240" s="19"/>
      <c r="BJ240" s="19"/>
      <c r="BK240" s="13"/>
      <c r="BL240" s="5"/>
      <c r="BM240" s="5"/>
      <c r="BN240" s="19"/>
      <c r="BO240" s="17"/>
      <c r="BP240" s="19"/>
      <c r="BQ240" s="17">
        <f>M240+P240-Q240</f>
        <v>1130.9067857142857</v>
      </c>
      <c r="BR240" s="19"/>
      <c r="BS240" s="13"/>
      <c r="BT240" s="5"/>
      <c r="BU240" s="23"/>
      <c r="BV240" s="23"/>
      <c r="BW240" s="24"/>
      <c r="BX240" s="5"/>
      <c r="BY240" s="5"/>
      <c r="BZ240" s="5"/>
      <c r="CA240" s="24"/>
      <c r="CB240" s="24"/>
      <c r="CC240" s="24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>
        <f>SUM(Q240:CT240)-P240</f>
        <v>1241.78</v>
      </c>
      <c r="CV240" s="25">
        <f>CU240-M240</f>
        <v>0</v>
      </c>
      <c r="CW240" s="26"/>
      <c r="CX240" s="5"/>
      <c r="CY240" s="5"/>
    </row>
    <row r="241" spans="1:103" x14ac:dyDescent="0.2">
      <c r="A241" s="161"/>
      <c r="B241" s="162"/>
      <c r="C241" s="163"/>
      <c r="D241" s="164"/>
      <c r="E241" s="165"/>
      <c r="F241" s="166"/>
      <c r="G241" s="167"/>
      <c r="H241" s="168"/>
      <c r="I241" s="168"/>
      <c r="J241" s="169"/>
      <c r="K241" s="170"/>
      <c r="L241" s="171"/>
      <c r="M241" s="172">
        <f>SUM(M240:M240)</f>
        <v>1241.78</v>
      </c>
      <c r="N241" s="172">
        <f>M241</f>
        <v>1241.78</v>
      </c>
      <c r="O241" s="173" t="s">
        <v>111</v>
      </c>
      <c r="P241" s="172">
        <f>SUM(P240:P240)</f>
        <v>22.174642857142853</v>
      </c>
      <c r="Q241" s="172">
        <f>SUM(Q240:Q240)</f>
        <v>133.04785714285711</v>
      </c>
      <c r="R241" s="164"/>
      <c r="S241" s="172">
        <f t="shared" ref="S241:AD241" si="388">SUM(S240:S240)</f>
        <v>0</v>
      </c>
      <c r="T241" s="172">
        <f t="shared" si="388"/>
        <v>0</v>
      </c>
      <c r="U241" s="172">
        <f t="shared" si="388"/>
        <v>0</v>
      </c>
      <c r="V241" s="172">
        <f t="shared" si="388"/>
        <v>0</v>
      </c>
      <c r="W241" s="172">
        <f t="shared" si="388"/>
        <v>0</v>
      </c>
      <c r="X241" s="172">
        <f t="shared" si="388"/>
        <v>0</v>
      </c>
      <c r="Y241" s="172">
        <f t="shared" si="388"/>
        <v>0</v>
      </c>
      <c r="Z241" s="172">
        <f t="shared" si="388"/>
        <v>0</v>
      </c>
      <c r="AA241" s="172">
        <f t="shared" si="388"/>
        <v>0</v>
      </c>
      <c r="AB241" s="172">
        <f t="shared" si="388"/>
        <v>0</v>
      </c>
      <c r="AC241" s="172">
        <f t="shared" si="388"/>
        <v>0</v>
      </c>
      <c r="AD241" s="172">
        <f t="shared" si="388"/>
        <v>0</v>
      </c>
      <c r="AE241" s="164"/>
      <c r="AF241" s="172">
        <f>SUM(AF240:AF240)</f>
        <v>0</v>
      </c>
      <c r="AG241" s="164"/>
      <c r="AH241" s="172">
        <f t="shared" ref="AH241:AY241" si="389">SUM(AH240:AH240)</f>
        <v>0</v>
      </c>
      <c r="AI241" s="172">
        <f t="shared" si="389"/>
        <v>0</v>
      </c>
      <c r="AJ241" s="172">
        <f t="shared" si="389"/>
        <v>0</v>
      </c>
      <c r="AK241" s="172">
        <f t="shared" si="389"/>
        <v>0</v>
      </c>
      <c r="AL241" s="172">
        <f t="shared" si="389"/>
        <v>0</v>
      </c>
      <c r="AM241" s="172">
        <f t="shared" si="389"/>
        <v>0</v>
      </c>
      <c r="AN241" s="172">
        <f t="shared" si="389"/>
        <v>0</v>
      </c>
      <c r="AO241" s="172">
        <f t="shared" si="389"/>
        <v>0</v>
      </c>
      <c r="AP241" s="172">
        <f t="shared" si="389"/>
        <v>0</v>
      </c>
      <c r="AQ241" s="172">
        <f t="shared" si="389"/>
        <v>0</v>
      </c>
      <c r="AR241" s="172">
        <f t="shared" si="389"/>
        <v>0</v>
      </c>
      <c r="AS241" s="172">
        <f t="shared" si="389"/>
        <v>0</v>
      </c>
      <c r="AT241" s="172">
        <f t="shared" si="389"/>
        <v>0</v>
      </c>
      <c r="AU241" s="172">
        <f t="shared" si="389"/>
        <v>0</v>
      </c>
      <c r="AV241" s="172">
        <f t="shared" si="389"/>
        <v>0</v>
      </c>
      <c r="AW241" s="172">
        <f t="shared" si="389"/>
        <v>0</v>
      </c>
      <c r="AX241" s="172">
        <f t="shared" si="389"/>
        <v>0</v>
      </c>
      <c r="AY241" s="172">
        <f t="shared" si="389"/>
        <v>0</v>
      </c>
      <c r="AZ241" s="172">
        <f>SUM(AZ240:AZ240)</f>
        <v>0</v>
      </c>
      <c r="BA241" s="164"/>
      <c r="BB241" s="172">
        <f t="shared" ref="BB241:CT241" si="390">SUM(BB240:BB240)</f>
        <v>0</v>
      </c>
      <c r="BC241" s="172">
        <f t="shared" si="390"/>
        <v>0</v>
      </c>
      <c r="BD241" s="172">
        <f t="shared" si="390"/>
        <v>0</v>
      </c>
      <c r="BE241" s="172">
        <f t="shared" si="390"/>
        <v>0</v>
      </c>
      <c r="BF241" s="172">
        <f t="shared" si="390"/>
        <v>0</v>
      </c>
      <c r="BG241" s="172">
        <f t="shared" si="390"/>
        <v>0</v>
      </c>
      <c r="BH241" s="172">
        <f t="shared" si="390"/>
        <v>0</v>
      </c>
      <c r="BI241" s="172">
        <f t="shared" si="390"/>
        <v>0</v>
      </c>
      <c r="BJ241" s="172">
        <f t="shared" si="390"/>
        <v>0</v>
      </c>
      <c r="BK241" s="172">
        <f t="shared" si="390"/>
        <v>0</v>
      </c>
      <c r="BL241" s="172">
        <f t="shared" si="390"/>
        <v>0</v>
      </c>
      <c r="BM241" s="172">
        <f t="shared" si="390"/>
        <v>0</v>
      </c>
      <c r="BN241" s="172">
        <f t="shared" si="390"/>
        <v>0</v>
      </c>
      <c r="BO241" s="172">
        <f t="shared" si="390"/>
        <v>0</v>
      </c>
      <c r="BP241" s="172">
        <f t="shared" si="390"/>
        <v>0</v>
      </c>
      <c r="BQ241" s="172">
        <f>SUM(BQ240:BQ240)</f>
        <v>1130.9067857142857</v>
      </c>
      <c r="BR241" s="172">
        <f t="shared" si="390"/>
        <v>0</v>
      </c>
      <c r="BS241" s="172">
        <f t="shared" si="390"/>
        <v>0</v>
      </c>
      <c r="BT241" s="172">
        <f t="shared" si="390"/>
        <v>0</v>
      </c>
      <c r="BU241" s="172">
        <f t="shared" si="390"/>
        <v>0</v>
      </c>
      <c r="BV241" s="172">
        <f t="shared" si="390"/>
        <v>0</v>
      </c>
      <c r="BW241" s="172">
        <f t="shared" si="390"/>
        <v>0</v>
      </c>
      <c r="BX241" s="172">
        <f t="shared" si="390"/>
        <v>0</v>
      </c>
      <c r="BY241" s="172">
        <f t="shared" si="390"/>
        <v>0</v>
      </c>
      <c r="BZ241" s="172">
        <f t="shared" si="390"/>
        <v>0</v>
      </c>
      <c r="CA241" s="172">
        <f t="shared" si="390"/>
        <v>0</v>
      </c>
      <c r="CB241" s="172">
        <f t="shared" si="390"/>
        <v>0</v>
      </c>
      <c r="CC241" s="172">
        <f t="shared" si="390"/>
        <v>0</v>
      </c>
      <c r="CD241" s="172">
        <f t="shared" si="390"/>
        <v>0</v>
      </c>
      <c r="CE241" s="172">
        <f t="shared" si="390"/>
        <v>0</v>
      </c>
      <c r="CF241" s="172">
        <f t="shared" si="390"/>
        <v>0</v>
      </c>
      <c r="CG241" s="172">
        <f t="shared" si="390"/>
        <v>0</v>
      </c>
      <c r="CH241" s="172">
        <f t="shared" si="390"/>
        <v>0</v>
      </c>
      <c r="CI241" s="172">
        <f t="shared" si="390"/>
        <v>0</v>
      </c>
      <c r="CJ241" s="172">
        <f t="shared" si="390"/>
        <v>0</v>
      </c>
      <c r="CK241" s="172">
        <f t="shared" si="390"/>
        <v>0</v>
      </c>
      <c r="CL241" s="172">
        <f t="shared" si="390"/>
        <v>0</v>
      </c>
      <c r="CM241" s="172">
        <f t="shared" si="390"/>
        <v>0</v>
      </c>
      <c r="CN241" s="172">
        <f t="shared" si="390"/>
        <v>0</v>
      </c>
      <c r="CO241" s="172">
        <f t="shared" si="390"/>
        <v>0</v>
      </c>
      <c r="CP241" s="172">
        <f t="shared" si="390"/>
        <v>0</v>
      </c>
      <c r="CQ241" s="172">
        <f t="shared" si="390"/>
        <v>0</v>
      </c>
      <c r="CR241" s="172">
        <f t="shared" si="390"/>
        <v>0</v>
      </c>
      <c r="CS241" s="172">
        <f t="shared" si="390"/>
        <v>0</v>
      </c>
      <c r="CT241" s="172">
        <f t="shared" si="390"/>
        <v>0</v>
      </c>
      <c r="CU241" s="17">
        <f t="shared" ref="CU241:CU304" si="391">SUM(Q241:CT241)-P241</f>
        <v>1241.78</v>
      </c>
      <c r="CV241" s="25">
        <f t="shared" ref="CV241:CV304" si="392">CU241-M241</f>
        <v>0</v>
      </c>
      <c r="CW241" s="176"/>
      <c r="CX241" s="164"/>
      <c r="CY241" s="164"/>
    </row>
    <row r="242" spans="1:103" x14ac:dyDescent="0.2">
      <c r="A242" s="2">
        <v>45883</v>
      </c>
      <c r="B242" s="3" t="s">
        <v>640</v>
      </c>
      <c r="C242" s="4" t="s">
        <v>697</v>
      </c>
      <c r="D242" s="5" t="s">
        <v>133</v>
      </c>
      <c r="E242" s="6" t="s">
        <v>641</v>
      </c>
      <c r="F242" s="7" t="s">
        <v>229</v>
      </c>
      <c r="G242" s="8" t="s">
        <v>149</v>
      </c>
      <c r="H242" s="9">
        <v>267006</v>
      </c>
      <c r="I242" s="10" t="s">
        <v>642</v>
      </c>
      <c r="J242" s="11" t="s">
        <v>643</v>
      </c>
      <c r="K242" s="12">
        <v>20</v>
      </c>
      <c r="L242" s="13">
        <v>65</v>
      </c>
      <c r="M242" s="14">
        <f t="shared" ref="M242:M245" si="393">L242*K242</f>
        <v>1300</v>
      </c>
      <c r="N242" s="15"/>
      <c r="O242" s="16" t="s">
        <v>111</v>
      </c>
      <c r="P242" s="17">
        <f>M242/1.12*0.01</f>
        <v>11.607142857142856</v>
      </c>
      <c r="Q242" s="18">
        <f>M242/1.12*0.12</f>
        <v>139.28571428571425</v>
      </c>
      <c r="R242" s="17">
        <f>M242+P242-Q242</f>
        <v>1172.3214285714287</v>
      </c>
      <c r="S242" s="19"/>
      <c r="T242" s="19"/>
      <c r="U242" s="19"/>
      <c r="V242" s="19"/>
      <c r="W242" s="17"/>
      <c r="X242" s="20"/>
      <c r="Y242" s="19"/>
      <c r="Z242" s="19"/>
      <c r="AA242" s="19"/>
      <c r="AB242" s="19"/>
      <c r="AC242" s="19"/>
      <c r="AD242" s="19"/>
      <c r="AE242" s="5"/>
      <c r="AF242" s="19"/>
      <c r="AG242" s="5"/>
      <c r="AH242" s="17"/>
      <c r="AI242" s="19"/>
      <c r="AJ242" s="19"/>
      <c r="AK242" s="19"/>
      <c r="AL242" s="19"/>
      <c r="AM242" s="17"/>
      <c r="AN242" s="19"/>
      <c r="AO242" s="19"/>
      <c r="AP242" s="19"/>
      <c r="AQ242" s="19"/>
      <c r="AR242" s="19"/>
      <c r="AS242" s="21"/>
      <c r="AT242" s="5"/>
      <c r="AU242" s="19"/>
      <c r="AV242" s="5"/>
      <c r="AW242" s="22"/>
      <c r="AX242" s="19"/>
      <c r="AY242" s="5"/>
      <c r="AZ242" s="19"/>
      <c r="BA242" s="5"/>
      <c r="BB242" s="5"/>
      <c r="BC242" s="19"/>
      <c r="BD242" s="19"/>
      <c r="BE242" s="19"/>
      <c r="BF242" s="19"/>
      <c r="BG242" s="19"/>
      <c r="BH242" s="19"/>
      <c r="BI242" s="19"/>
      <c r="BJ242" s="19"/>
      <c r="BK242" s="13"/>
      <c r="BL242" s="5"/>
      <c r="BM242" s="5"/>
      <c r="BN242" s="19"/>
      <c r="BO242" s="17"/>
      <c r="BP242" s="19"/>
      <c r="BQ242" s="17"/>
      <c r="BR242" s="19"/>
      <c r="BS242" s="13"/>
      <c r="BT242" s="5"/>
      <c r="BU242" s="23"/>
      <c r="BV242" s="23"/>
      <c r="BW242" s="24"/>
      <c r="BX242" s="5"/>
      <c r="BY242" s="5"/>
      <c r="BZ242" s="5"/>
      <c r="CA242" s="24"/>
      <c r="CB242" s="24"/>
      <c r="CC242" s="24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>
        <f t="shared" si="391"/>
        <v>1300</v>
      </c>
      <c r="CV242" s="25">
        <f t="shared" si="392"/>
        <v>0</v>
      </c>
      <c r="CW242" s="26"/>
      <c r="CX242" s="5"/>
      <c r="CY242" s="5"/>
    </row>
    <row r="243" spans="1:103" x14ac:dyDescent="0.2">
      <c r="A243" s="2"/>
      <c r="B243" s="3"/>
      <c r="C243" s="4"/>
      <c r="D243" s="5"/>
      <c r="E243" s="6"/>
      <c r="F243" s="7"/>
      <c r="G243" s="8"/>
      <c r="H243" s="9"/>
      <c r="I243" s="10"/>
      <c r="J243" s="11" t="s">
        <v>644</v>
      </c>
      <c r="K243" s="12">
        <v>10</v>
      </c>
      <c r="L243" s="13">
        <v>47</v>
      </c>
      <c r="M243" s="14">
        <f t="shared" si="393"/>
        <v>470</v>
      </c>
      <c r="N243" s="15"/>
      <c r="O243" s="16" t="s">
        <v>111</v>
      </c>
      <c r="P243" s="17">
        <f t="shared" ref="P243:P244" si="394">M243/1.12*0.01</f>
        <v>4.1964285714285712</v>
      </c>
      <c r="Q243" s="18">
        <f t="shared" ref="Q243:Q244" si="395">M243/1.12*0.12</f>
        <v>50.357142857142854</v>
      </c>
      <c r="R243" s="17">
        <f t="shared" ref="R243:R245" si="396">M243+P243-Q243</f>
        <v>423.83928571428572</v>
      </c>
      <c r="S243" s="19"/>
      <c r="T243" s="19"/>
      <c r="U243" s="19"/>
      <c r="V243" s="19"/>
      <c r="W243" s="17"/>
      <c r="X243" s="20"/>
      <c r="Y243" s="19"/>
      <c r="Z243" s="19"/>
      <c r="AA243" s="19"/>
      <c r="AB243" s="19"/>
      <c r="AC243" s="19"/>
      <c r="AD243" s="19"/>
      <c r="AE243" s="5"/>
      <c r="AF243" s="19"/>
      <c r="AG243" s="5"/>
      <c r="AH243" s="17"/>
      <c r="AI243" s="19"/>
      <c r="AJ243" s="19"/>
      <c r="AK243" s="19"/>
      <c r="AL243" s="19"/>
      <c r="AM243" s="17"/>
      <c r="AN243" s="19"/>
      <c r="AO243" s="19"/>
      <c r="AP243" s="19"/>
      <c r="AQ243" s="19"/>
      <c r="AR243" s="19"/>
      <c r="AS243" s="21"/>
      <c r="AT243" s="5"/>
      <c r="AU243" s="19"/>
      <c r="AV243" s="5"/>
      <c r="AW243" s="22"/>
      <c r="AX243" s="19"/>
      <c r="AY243" s="5"/>
      <c r="AZ243" s="19"/>
      <c r="BA243" s="5"/>
      <c r="BB243" s="5"/>
      <c r="BC243" s="19"/>
      <c r="BD243" s="19"/>
      <c r="BE243" s="19"/>
      <c r="BF243" s="19"/>
      <c r="BG243" s="19"/>
      <c r="BH243" s="19"/>
      <c r="BI243" s="19"/>
      <c r="BJ243" s="19"/>
      <c r="BK243" s="13"/>
      <c r="BL243" s="5"/>
      <c r="BM243" s="5"/>
      <c r="BN243" s="19"/>
      <c r="BO243" s="17"/>
      <c r="BP243" s="19"/>
      <c r="BQ243" s="17"/>
      <c r="BR243" s="19"/>
      <c r="BS243" s="13"/>
      <c r="BT243" s="5"/>
      <c r="BU243" s="23"/>
      <c r="BV243" s="23"/>
      <c r="BW243" s="24"/>
      <c r="BX243" s="5"/>
      <c r="BY243" s="5"/>
      <c r="BZ243" s="5"/>
      <c r="CA243" s="24"/>
      <c r="CB243" s="24"/>
      <c r="CC243" s="24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>
        <f t="shared" si="391"/>
        <v>470</v>
      </c>
      <c r="CV243" s="25">
        <f t="shared" si="392"/>
        <v>0</v>
      </c>
      <c r="CW243" s="26"/>
      <c r="CX243" s="5"/>
      <c r="CY243" s="5"/>
    </row>
    <row r="244" spans="1:103" x14ac:dyDescent="0.2">
      <c r="A244" s="2"/>
      <c r="B244" s="3"/>
      <c r="C244" s="4"/>
      <c r="D244" s="5"/>
      <c r="E244" s="6"/>
      <c r="F244" s="7"/>
      <c r="G244" s="8"/>
      <c r="H244" s="9"/>
      <c r="I244" s="10"/>
      <c r="J244" s="11" t="s">
        <v>645</v>
      </c>
      <c r="K244" s="12">
        <v>2</v>
      </c>
      <c r="L244" s="13">
        <v>49.5</v>
      </c>
      <c r="M244" s="14">
        <f t="shared" si="393"/>
        <v>99</v>
      </c>
      <c r="N244" s="15"/>
      <c r="O244" s="16" t="s">
        <v>111</v>
      </c>
      <c r="P244" s="17">
        <f t="shared" si="394"/>
        <v>0.8839285714285714</v>
      </c>
      <c r="Q244" s="18">
        <f t="shared" si="395"/>
        <v>10.607142857142856</v>
      </c>
      <c r="R244" s="17">
        <f t="shared" si="396"/>
        <v>89.276785714285708</v>
      </c>
      <c r="S244" s="19"/>
      <c r="T244" s="19"/>
      <c r="U244" s="19"/>
      <c r="V244" s="19"/>
      <c r="W244" s="17"/>
      <c r="X244" s="20"/>
      <c r="Y244" s="19"/>
      <c r="Z244" s="19"/>
      <c r="AA244" s="19"/>
      <c r="AB244" s="19"/>
      <c r="AC244" s="19"/>
      <c r="AD244" s="19"/>
      <c r="AE244" s="5"/>
      <c r="AF244" s="19"/>
      <c r="AG244" s="5"/>
      <c r="AH244" s="17"/>
      <c r="AI244" s="19"/>
      <c r="AJ244" s="19"/>
      <c r="AK244" s="19"/>
      <c r="AL244" s="19"/>
      <c r="AM244" s="17"/>
      <c r="AN244" s="19"/>
      <c r="AO244" s="19"/>
      <c r="AP244" s="19"/>
      <c r="AQ244" s="19"/>
      <c r="AR244" s="19"/>
      <c r="AS244" s="21"/>
      <c r="AT244" s="5"/>
      <c r="AU244" s="19"/>
      <c r="AV244" s="5"/>
      <c r="AW244" s="22"/>
      <c r="AX244" s="19"/>
      <c r="AY244" s="5"/>
      <c r="AZ244" s="19"/>
      <c r="BA244" s="5"/>
      <c r="BB244" s="5"/>
      <c r="BC244" s="19"/>
      <c r="BD244" s="19"/>
      <c r="BE244" s="19"/>
      <c r="BF244" s="19"/>
      <c r="BG244" s="19"/>
      <c r="BH244" s="19"/>
      <c r="BI244" s="19"/>
      <c r="BJ244" s="19"/>
      <c r="BK244" s="13"/>
      <c r="BL244" s="5"/>
      <c r="BM244" s="5"/>
      <c r="BN244" s="19"/>
      <c r="BO244" s="17"/>
      <c r="BP244" s="19"/>
      <c r="BQ244" s="17"/>
      <c r="BR244" s="19"/>
      <c r="BS244" s="13"/>
      <c r="BT244" s="5"/>
      <c r="BU244" s="23"/>
      <c r="BV244" s="23"/>
      <c r="BW244" s="24"/>
      <c r="BX244" s="5"/>
      <c r="BY244" s="5"/>
      <c r="BZ244" s="5"/>
      <c r="CA244" s="24"/>
      <c r="CB244" s="24"/>
      <c r="CC244" s="24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>
        <f t="shared" si="391"/>
        <v>99</v>
      </c>
      <c r="CV244" s="25">
        <f t="shared" si="392"/>
        <v>0</v>
      </c>
      <c r="CW244" s="26"/>
      <c r="CX244" s="5"/>
      <c r="CY244" s="5"/>
    </row>
    <row r="245" spans="1:103" x14ac:dyDescent="0.2">
      <c r="A245" s="2"/>
      <c r="B245" s="3"/>
      <c r="C245" s="4"/>
      <c r="D245" s="5"/>
      <c r="E245" s="6"/>
      <c r="F245" s="7"/>
      <c r="G245" s="8"/>
      <c r="H245" s="9"/>
      <c r="I245" s="10"/>
      <c r="J245" s="11" t="s">
        <v>646</v>
      </c>
      <c r="K245" s="12">
        <v>3</v>
      </c>
      <c r="L245" s="13">
        <v>150</v>
      </c>
      <c r="M245" s="14">
        <f t="shared" si="393"/>
        <v>450</v>
      </c>
      <c r="N245" s="15"/>
      <c r="O245" s="16" t="s">
        <v>137</v>
      </c>
      <c r="P245" s="17">
        <f>M245*0.01</f>
        <v>4.5</v>
      </c>
      <c r="Q245" s="18"/>
      <c r="R245" s="17">
        <f t="shared" si="396"/>
        <v>454.5</v>
      </c>
      <c r="S245" s="19"/>
      <c r="T245" s="19"/>
      <c r="U245" s="19"/>
      <c r="V245" s="19"/>
      <c r="W245" s="17"/>
      <c r="X245" s="20"/>
      <c r="Y245" s="19"/>
      <c r="Z245" s="19"/>
      <c r="AA245" s="19"/>
      <c r="AB245" s="19"/>
      <c r="AC245" s="19"/>
      <c r="AD245" s="19"/>
      <c r="AE245" s="5"/>
      <c r="AF245" s="19"/>
      <c r="AG245" s="5"/>
      <c r="AH245" s="17"/>
      <c r="AI245" s="19"/>
      <c r="AJ245" s="19"/>
      <c r="AK245" s="19"/>
      <c r="AL245" s="19"/>
      <c r="AM245" s="17"/>
      <c r="AN245" s="19"/>
      <c r="AO245" s="19"/>
      <c r="AP245" s="19"/>
      <c r="AQ245" s="19"/>
      <c r="AR245" s="19"/>
      <c r="AS245" s="21"/>
      <c r="AT245" s="5"/>
      <c r="AU245" s="19"/>
      <c r="AV245" s="5"/>
      <c r="AW245" s="22"/>
      <c r="AX245" s="19"/>
      <c r="AY245" s="5"/>
      <c r="AZ245" s="19"/>
      <c r="BA245" s="5"/>
      <c r="BB245" s="5"/>
      <c r="BC245" s="19"/>
      <c r="BD245" s="19"/>
      <c r="BE245" s="19"/>
      <c r="BF245" s="19"/>
      <c r="BG245" s="19"/>
      <c r="BH245" s="19"/>
      <c r="BI245" s="19"/>
      <c r="BJ245" s="19"/>
      <c r="BK245" s="13"/>
      <c r="BL245" s="5"/>
      <c r="BM245" s="5"/>
      <c r="BN245" s="19"/>
      <c r="BO245" s="17"/>
      <c r="BP245" s="19"/>
      <c r="BQ245" s="17"/>
      <c r="BR245" s="19"/>
      <c r="BS245" s="13"/>
      <c r="BT245" s="5"/>
      <c r="BU245" s="23"/>
      <c r="BV245" s="23"/>
      <c r="BW245" s="24"/>
      <c r="BX245" s="5"/>
      <c r="BY245" s="5"/>
      <c r="BZ245" s="5"/>
      <c r="CA245" s="24"/>
      <c r="CB245" s="24"/>
      <c r="CC245" s="24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>
        <f t="shared" si="391"/>
        <v>450</v>
      </c>
      <c r="CV245" s="25">
        <f t="shared" si="392"/>
        <v>0</v>
      </c>
      <c r="CW245" s="26"/>
      <c r="CX245" s="5"/>
      <c r="CY245" s="5"/>
    </row>
    <row r="246" spans="1:103" x14ac:dyDescent="0.2">
      <c r="A246" s="27"/>
      <c r="B246" s="28"/>
      <c r="C246" s="29"/>
      <c r="D246" s="30"/>
      <c r="E246" s="31"/>
      <c r="F246" s="32"/>
      <c r="G246" s="33"/>
      <c r="H246" s="34"/>
      <c r="I246" s="34"/>
      <c r="J246" s="35"/>
      <c r="K246" s="36"/>
      <c r="L246" s="37"/>
      <c r="M246" s="38">
        <f>SUM(M242:M245)</f>
        <v>2319</v>
      </c>
      <c r="N246" s="38"/>
      <c r="O246" s="39" t="s">
        <v>111</v>
      </c>
      <c r="P246" s="38">
        <f>SUM(P242:P245)</f>
        <v>21.1875</v>
      </c>
      <c r="Q246" s="38">
        <f>SUM(Q242:Q245)</f>
        <v>200.24999999999997</v>
      </c>
      <c r="R246" s="38">
        <f>SUM(R242:R245)</f>
        <v>2139.9375</v>
      </c>
      <c r="S246" s="38">
        <f t="shared" ref="S246:AD246" si="397">SUM(S242:S242)</f>
        <v>0</v>
      </c>
      <c r="T246" s="38">
        <f t="shared" si="397"/>
        <v>0</v>
      </c>
      <c r="U246" s="38">
        <f t="shared" si="397"/>
        <v>0</v>
      </c>
      <c r="V246" s="38">
        <f t="shared" si="397"/>
        <v>0</v>
      </c>
      <c r="W246" s="38">
        <f t="shared" si="397"/>
        <v>0</v>
      </c>
      <c r="X246" s="38">
        <f t="shared" si="397"/>
        <v>0</v>
      </c>
      <c r="Y246" s="38">
        <f t="shared" si="397"/>
        <v>0</v>
      </c>
      <c r="Z246" s="38">
        <f t="shared" si="397"/>
        <v>0</v>
      </c>
      <c r="AA246" s="38">
        <f t="shared" si="397"/>
        <v>0</v>
      </c>
      <c r="AB246" s="38">
        <f t="shared" si="397"/>
        <v>0</v>
      </c>
      <c r="AC246" s="38">
        <f t="shared" si="397"/>
        <v>0</v>
      </c>
      <c r="AD246" s="38">
        <f t="shared" si="397"/>
        <v>0</v>
      </c>
      <c r="AE246" s="30"/>
      <c r="AF246" s="38">
        <f>SUM(AF242:AF242)</f>
        <v>0</v>
      </c>
      <c r="AG246" s="30"/>
      <c r="AH246" s="38">
        <f t="shared" ref="AH246:AZ246" si="398">SUM(AH242:AH242)</f>
        <v>0</v>
      </c>
      <c r="AI246" s="38">
        <f t="shared" si="398"/>
        <v>0</v>
      </c>
      <c r="AJ246" s="38">
        <f t="shared" si="398"/>
        <v>0</v>
      </c>
      <c r="AK246" s="38">
        <f t="shared" si="398"/>
        <v>0</v>
      </c>
      <c r="AL246" s="38">
        <f t="shared" si="398"/>
        <v>0</v>
      </c>
      <c r="AM246" s="38">
        <f t="shared" si="398"/>
        <v>0</v>
      </c>
      <c r="AN246" s="38">
        <f t="shared" si="398"/>
        <v>0</v>
      </c>
      <c r="AO246" s="38">
        <f t="shared" si="398"/>
        <v>0</v>
      </c>
      <c r="AP246" s="38">
        <f t="shared" si="398"/>
        <v>0</v>
      </c>
      <c r="AQ246" s="38">
        <f t="shared" si="398"/>
        <v>0</v>
      </c>
      <c r="AR246" s="38">
        <f t="shared" si="398"/>
        <v>0</v>
      </c>
      <c r="AS246" s="38">
        <f t="shared" si="398"/>
        <v>0</v>
      </c>
      <c r="AT246" s="38">
        <f t="shared" si="398"/>
        <v>0</v>
      </c>
      <c r="AU246" s="38">
        <f t="shared" si="398"/>
        <v>0</v>
      </c>
      <c r="AV246" s="38">
        <f t="shared" si="398"/>
        <v>0</v>
      </c>
      <c r="AW246" s="38">
        <f t="shared" si="398"/>
        <v>0</v>
      </c>
      <c r="AX246" s="38">
        <f t="shared" si="398"/>
        <v>0</v>
      </c>
      <c r="AY246" s="38">
        <f t="shared" si="398"/>
        <v>0</v>
      </c>
      <c r="AZ246" s="38">
        <f t="shared" si="398"/>
        <v>0</v>
      </c>
      <c r="BA246" s="30"/>
      <c r="BB246" s="38">
        <f t="shared" ref="BB246:CT246" si="399">SUM(BB242:BB242)</f>
        <v>0</v>
      </c>
      <c r="BC246" s="38">
        <f t="shared" si="399"/>
        <v>0</v>
      </c>
      <c r="BD246" s="38">
        <f t="shared" si="399"/>
        <v>0</v>
      </c>
      <c r="BE246" s="38">
        <f t="shared" si="399"/>
        <v>0</v>
      </c>
      <c r="BF246" s="38">
        <f t="shared" si="399"/>
        <v>0</v>
      </c>
      <c r="BG246" s="38">
        <f t="shared" si="399"/>
        <v>0</v>
      </c>
      <c r="BH246" s="38">
        <f t="shared" si="399"/>
        <v>0</v>
      </c>
      <c r="BI246" s="38">
        <f t="shared" si="399"/>
        <v>0</v>
      </c>
      <c r="BJ246" s="38">
        <f t="shared" si="399"/>
        <v>0</v>
      </c>
      <c r="BK246" s="38">
        <f t="shared" si="399"/>
        <v>0</v>
      </c>
      <c r="BL246" s="38">
        <f t="shared" si="399"/>
        <v>0</v>
      </c>
      <c r="BM246" s="38">
        <f t="shared" si="399"/>
        <v>0</v>
      </c>
      <c r="BN246" s="38">
        <f t="shared" si="399"/>
        <v>0</v>
      </c>
      <c r="BO246" s="38">
        <f t="shared" si="399"/>
        <v>0</v>
      </c>
      <c r="BP246" s="38">
        <f t="shared" si="399"/>
        <v>0</v>
      </c>
      <c r="BQ246" s="38">
        <f t="shared" si="399"/>
        <v>0</v>
      </c>
      <c r="BR246" s="38">
        <f t="shared" si="399"/>
        <v>0</v>
      </c>
      <c r="BS246" s="38">
        <f t="shared" si="399"/>
        <v>0</v>
      </c>
      <c r="BT246" s="38">
        <f t="shared" si="399"/>
        <v>0</v>
      </c>
      <c r="BU246" s="38">
        <f t="shared" si="399"/>
        <v>0</v>
      </c>
      <c r="BV246" s="38">
        <f t="shared" si="399"/>
        <v>0</v>
      </c>
      <c r="BW246" s="38">
        <f t="shared" si="399"/>
        <v>0</v>
      </c>
      <c r="BX246" s="38">
        <f t="shared" si="399"/>
        <v>0</v>
      </c>
      <c r="BY246" s="38">
        <f t="shared" si="399"/>
        <v>0</v>
      </c>
      <c r="BZ246" s="38">
        <f t="shared" si="399"/>
        <v>0</v>
      </c>
      <c r="CA246" s="38">
        <f t="shared" si="399"/>
        <v>0</v>
      </c>
      <c r="CB246" s="38">
        <f t="shared" si="399"/>
        <v>0</v>
      </c>
      <c r="CC246" s="38">
        <f t="shared" si="399"/>
        <v>0</v>
      </c>
      <c r="CD246" s="38">
        <f t="shared" si="399"/>
        <v>0</v>
      </c>
      <c r="CE246" s="38">
        <f t="shared" si="399"/>
        <v>0</v>
      </c>
      <c r="CF246" s="38">
        <f t="shared" si="399"/>
        <v>0</v>
      </c>
      <c r="CG246" s="38">
        <f t="shared" si="399"/>
        <v>0</v>
      </c>
      <c r="CH246" s="38">
        <f t="shared" si="399"/>
        <v>0</v>
      </c>
      <c r="CI246" s="38">
        <f t="shared" si="399"/>
        <v>0</v>
      </c>
      <c r="CJ246" s="38">
        <f t="shared" si="399"/>
        <v>0</v>
      </c>
      <c r="CK246" s="38">
        <f t="shared" si="399"/>
        <v>0</v>
      </c>
      <c r="CL246" s="38">
        <f t="shared" si="399"/>
        <v>0</v>
      </c>
      <c r="CM246" s="38">
        <f t="shared" si="399"/>
        <v>0</v>
      </c>
      <c r="CN246" s="38">
        <f t="shared" si="399"/>
        <v>0</v>
      </c>
      <c r="CO246" s="38">
        <f t="shared" si="399"/>
        <v>0</v>
      </c>
      <c r="CP246" s="38">
        <f t="shared" si="399"/>
        <v>0</v>
      </c>
      <c r="CQ246" s="38">
        <f t="shared" si="399"/>
        <v>0</v>
      </c>
      <c r="CR246" s="38">
        <f t="shared" si="399"/>
        <v>0</v>
      </c>
      <c r="CS246" s="38">
        <f t="shared" si="399"/>
        <v>0</v>
      </c>
      <c r="CT246" s="38">
        <f t="shared" si="399"/>
        <v>0</v>
      </c>
      <c r="CU246" s="17">
        <f t="shared" si="391"/>
        <v>2319</v>
      </c>
      <c r="CV246" s="25">
        <f t="shared" si="392"/>
        <v>0</v>
      </c>
      <c r="CW246" s="40"/>
      <c r="CX246" s="30"/>
      <c r="CY246" s="30"/>
    </row>
    <row r="247" spans="1:103" x14ac:dyDescent="0.2">
      <c r="A247" s="2">
        <v>45883</v>
      </c>
      <c r="B247" s="3" t="s">
        <v>640</v>
      </c>
      <c r="C247" s="4" t="s">
        <v>698</v>
      </c>
      <c r="D247" s="5" t="s">
        <v>133</v>
      </c>
      <c r="E247" s="6" t="s">
        <v>650</v>
      </c>
      <c r="F247" s="7"/>
      <c r="G247" s="8"/>
      <c r="H247" s="9"/>
      <c r="I247" s="10" t="s">
        <v>648</v>
      </c>
      <c r="J247" s="11" t="s">
        <v>649</v>
      </c>
      <c r="K247" s="12">
        <v>1.75</v>
      </c>
      <c r="L247" s="13">
        <v>120</v>
      </c>
      <c r="M247" s="14">
        <f t="shared" ref="M247" si="400">L247*K247</f>
        <v>210</v>
      </c>
      <c r="N247" s="15"/>
      <c r="O247" s="16" t="s">
        <v>137</v>
      </c>
      <c r="P247" s="17"/>
      <c r="Q247" s="18"/>
      <c r="R247" s="17">
        <f>M247+P247-Q247</f>
        <v>210</v>
      </c>
      <c r="S247" s="19"/>
      <c r="T247" s="19"/>
      <c r="U247" s="19"/>
      <c r="V247" s="19"/>
      <c r="W247" s="17"/>
      <c r="X247" s="20"/>
      <c r="Y247" s="19"/>
      <c r="Z247" s="19"/>
      <c r="AA247" s="19"/>
      <c r="AB247" s="19"/>
      <c r="AC247" s="19"/>
      <c r="AD247" s="19"/>
      <c r="AE247" s="5"/>
      <c r="AF247" s="19"/>
      <c r="AG247" s="5"/>
      <c r="AH247" s="17"/>
      <c r="AI247" s="19"/>
      <c r="AJ247" s="19"/>
      <c r="AK247" s="19"/>
      <c r="AL247" s="19"/>
      <c r="AM247" s="17"/>
      <c r="AN247" s="19"/>
      <c r="AO247" s="19"/>
      <c r="AP247" s="19"/>
      <c r="AQ247" s="19"/>
      <c r="AR247" s="19"/>
      <c r="AS247" s="21"/>
      <c r="AT247" s="5"/>
      <c r="AU247" s="19"/>
      <c r="AV247" s="5"/>
      <c r="AW247" s="22"/>
      <c r="AX247" s="19"/>
      <c r="AY247" s="5"/>
      <c r="AZ247" s="19"/>
      <c r="BA247" s="5"/>
      <c r="BB247" s="5"/>
      <c r="BC247" s="19"/>
      <c r="BD247" s="19"/>
      <c r="BE247" s="19"/>
      <c r="BF247" s="19"/>
      <c r="BG247" s="19"/>
      <c r="BH247" s="19"/>
      <c r="BI247" s="19"/>
      <c r="BJ247" s="19"/>
      <c r="BK247" s="13"/>
      <c r="BL247" s="5"/>
      <c r="BM247" s="5"/>
      <c r="BN247" s="19"/>
      <c r="BO247" s="17"/>
      <c r="BP247" s="19"/>
      <c r="BQ247" s="17"/>
      <c r="BR247" s="19"/>
      <c r="BS247" s="13"/>
      <c r="BT247" s="5"/>
      <c r="BU247" s="23"/>
      <c r="BV247" s="23"/>
      <c r="BW247" s="24"/>
      <c r="BX247" s="5"/>
      <c r="BY247" s="5"/>
      <c r="BZ247" s="5"/>
      <c r="CA247" s="24"/>
      <c r="CB247" s="24"/>
      <c r="CC247" s="24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>
        <f t="shared" si="391"/>
        <v>210</v>
      </c>
      <c r="CV247" s="25">
        <f t="shared" si="392"/>
        <v>0</v>
      </c>
      <c r="CW247" s="26"/>
      <c r="CX247" s="5"/>
      <c r="CY247" s="5"/>
    </row>
    <row r="248" spans="1:103" x14ac:dyDescent="0.2">
      <c r="A248" s="27"/>
      <c r="B248" s="28"/>
      <c r="C248" s="29"/>
      <c r="D248" s="30"/>
      <c r="E248" s="31"/>
      <c r="F248" s="32"/>
      <c r="G248" s="33"/>
      <c r="H248" s="34"/>
      <c r="I248" s="34"/>
      <c r="J248" s="35"/>
      <c r="K248" s="36"/>
      <c r="L248" s="37"/>
      <c r="M248" s="38">
        <f>SUM(M247:M247)</f>
        <v>210</v>
      </c>
      <c r="N248" s="38"/>
      <c r="O248" s="39" t="s">
        <v>137</v>
      </c>
      <c r="P248" s="38"/>
      <c r="Q248" s="38"/>
      <c r="R248" s="38">
        <f>SUM(R247:R247)</f>
        <v>210</v>
      </c>
      <c r="S248" s="38">
        <f t="shared" ref="S248:AD248" si="401">SUM(S247:S247)</f>
        <v>0</v>
      </c>
      <c r="T248" s="38">
        <f t="shared" si="401"/>
        <v>0</v>
      </c>
      <c r="U248" s="38">
        <f t="shared" si="401"/>
        <v>0</v>
      </c>
      <c r="V248" s="38">
        <f t="shared" si="401"/>
        <v>0</v>
      </c>
      <c r="W248" s="38">
        <f t="shared" si="401"/>
        <v>0</v>
      </c>
      <c r="X248" s="38">
        <f t="shared" si="401"/>
        <v>0</v>
      </c>
      <c r="Y248" s="38">
        <f t="shared" si="401"/>
        <v>0</v>
      </c>
      <c r="Z248" s="38">
        <f t="shared" si="401"/>
        <v>0</v>
      </c>
      <c r="AA248" s="38">
        <f t="shared" si="401"/>
        <v>0</v>
      </c>
      <c r="AB248" s="38">
        <f t="shared" si="401"/>
        <v>0</v>
      </c>
      <c r="AC248" s="38">
        <f t="shared" si="401"/>
        <v>0</v>
      </c>
      <c r="AD248" s="38">
        <f t="shared" si="401"/>
        <v>0</v>
      </c>
      <c r="AE248" s="30"/>
      <c r="AF248" s="38">
        <f>SUM(AF247:AF247)</f>
        <v>0</v>
      </c>
      <c r="AG248" s="30"/>
      <c r="AH248" s="38">
        <f t="shared" ref="AH248:AZ248" si="402">SUM(AH247:AH247)</f>
        <v>0</v>
      </c>
      <c r="AI248" s="38">
        <f t="shared" si="402"/>
        <v>0</v>
      </c>
      <c r="AJ248" s="38">
        <f t="shared" si="402"/>
        <v>0</v>
      </c>
      <c r="AK248" s="38">
        <f t="shared" si="402"/>
        <v>0</v>
      </c>
      <c r="AL248" s="38">
        <f t="shared" si="402"/>
        <v>0</v>
      </c>
      <c r="AM248" s="38">
        <f t="shared" si="402"/>
        <v>0</v>
      </c>
      <c r="AN248" s="38">
        <f t="shared" si="402"/>
        <v>0</v>
      </c>
      <c r="AO248" s="38">
        <f t="shared" si="402"/>
        <v>0</v>
      </c>
      <c r="AP248" s="38">
        <f t="shared" si="402"/>
        <v>0</v>
      </c>
      <c r="AQ248" s="38">
        <f t="shared" si="402"/>
        <v>0</v>
      </c>
      <c r="AR248" s="38">
        <f t="shared" si="402"/>
        <v>0</v>
      </c>
      <c r="AS248" s="38">
        <f t="shared" si="402"/>
        <v>0</v>
      </c>
      <c r="AT248" s="38">
        <f t="shared" si="402"/>
        <v>0</v>
      </c>
      <c r="AU248" s="38">
        <f t="shared" si="402"/>
        <v>0</v>
      </c>
      <c r="AV248" s="38">
        <f t="shared" si="402"/>
        <v>0</v>
      </c>
      <c r="AW248" s="38">
        <f t="shared" si="402"/>
        <v>0</v>
      </c>
      <c r="AX248" s="38">
        <f t="shared" si="402"/>
        <v>0</v>
      </c>
      <c r="AY248" s="38">
        <f t="shared" si="402"/>
        <v>0</v>
      </c>
      <c r="AZ248" s="38">
        <f t="shared" si="402"/>
        <v>0</v>
      </c>
      <c r="BA248" s="30"/>
      <c r="BB248" s="38">
        <f t="shared" ref="BB248:CT248" si="403">SUM(BB247:BB247)</f>
        <v>0</v>
      </c>
      <c r="BC248" s="38">
        <f t="shared" si="403"/>
        <v>0</v>
      </c>
      <c r="BD248" s="38">
        <f t="shared" si="403"/>
        <v>0</v>
      </c>
      <c r="BE248" s="38">
        <f t="shared" si="403"/>
        <v>0</v>
      </c>
      <c r="BF248" s="38">
        <f t="shared" si="403"/>
        <v>0</v>
      </c>
      <c r="BG248" s="38">
        <f t="shared" si="403"/>
        <v>0</v>
      </c>
      <c r="BH248" s="38">
        <f t="shared" si="403"/>
        <v>0</v>
      </c>
      <c r="BI248" s="38">
        <f t="shared" si="403"/>
        <v>0</v>
      </c>
      <c r="BJ248" s="38">
        <f t="shared" si="403"/>
        <v>0</v>
      </c>
      <c r="BK248" s="38">
        <f t="shared" si="403"/>
        <v>0</v>
      </c>
      <c r="BL248" s="38">
        <f t="shared" si="403"/>
        <v>0</v>
      </c>
      <c r="BM248" s="38">
        <f t="shared" si="403"/>
        <v>0</v>
      </c>
      <c r="BN248" s="38">
        <f t="shared" si="403"/>
        <v>0</v>
      </c>
      <c r="BO248" s="38">
        <f t="shared" si="403"/>
        <v>0</v>
      </c>
      <c r="BP248" s="38">
        <f t="shared" si="403"/>
        <v>0</v>
      </c>
      <c r="BQ248" s="38">
        <f t="shared" si="403"/>
        <v>0</v>
      </c>
      <c r="BR248" s="38">
        <f t="shared" si="403"/>
        <v>0</v>
      </c>
      <c r="BS248" s="38">
        <f t="shared" si="403"/>
        <v>0</v>
      </c>
      <c r="BT248" s="38">
        <f t="shared" si="403"/>
        <v>0</v>
      </c>
      <c r="BU248" s="38">
        <f t="shared" si="403"/>
        <v>0</v>
      </c>
      <c r="BV248" s="38">
        <f t="shared" si="403"/>
        <v>0</v>
      </c>
      <c r="BW248" s="38">
        <f t="shared" si="403"/>
        <v>0</v>
      </c>
      <c r="BX248" s="38">
        <f t="shared" si="403"/>
        <v>0</v>
      </c>
      <c r="BY248" s="38">
        <f t="shared" si="403"/>
        <v>0</v>
      </c>
      <c r="BZ248" s="38">
        <f t="shared" si="403"/>
        <v>0</v>
      </c>
      <c r="CA248" s="38">
        <f t="shared" si="403"/>
        <v>0</v>
      </c>
      <c r="CB248" s="38">
        <f t="shared" si="403"/>
        <v>0</v>
      </c>
      <c r="CC248" s="38">
        <f t="shared" si="403"/>
        <v>0</v>
      </c>
      <c r="CD248" s="38">
        <f t="shared" si="403"/>
        <v>0</v>
      </c>
      <c r="CE248" s="38">
        <f t="shared" si="403"/>
        <v>0</v>
      </c>
      <c r="CF248" s="38">
        <f t="shared" si="403"/>
        <v>0</v>
      </c>
      <c r="CG248" s="38">
        <f t="shared" si="403"/>
        <v>0</v>
      </c>
      <c r="CH248" s="38">
        <f t="shared" si="403"/>
        <v>0</v>
      </c>
      <c r="CI248" s="38">
        <f t="shared" si="403"/>
        <v>0</v>
      </c>
      <c r="CJ248" s="38">
        <f t="shared" si="403"/>
        <v>0</v>
      </c>
      <c r="CK248" s="38">
        <f t="shared" si="403"/>
        <v>0</v>
      </c>
      <c r="CL248" s="38">
        <f t="shared" si="403"/>
        <v>0</v>
      </c>
      <c r="CM248" s="38">
        <f t="shared" si="403"/>
        <v>0</v>
      </c>
      <c r="CN248" s="38">
        <f t="shared" si="403"/>
        <v>0</v>
      </c>
      <c r="CO248" s="38">
        <f t="shared" si="403"/>
        <v>0</v>
      </c>
      <c r="CP248" s="38">
        <f t="shared" si="403"/>
        <v>0</v>
      </c>
      <c r="CQ248" s="38">
        <f t="shared" si="403"/>
        <v>0</v>
      </c>
      <c r="CR248" s="38">
        <f t="shared" si="403"/>
        <v>0</v>
      </c>
      <c r="CS248" s="38">
        <f t="shared" si="403"/>
        <v>0</v>
      </c>
      <c r="CT248" s="38">
        <f t="shared" si="403"/>
        <v>0</v>
      </c>
      <c r="CU248" s="17">
        <f t="shared" si="391"/>
        <v>210</v>
      </c>
      <c r="CV248" s="25">
        <f t="shared" si="392"/>
        <v>0</v>
      </c>
      <c r="CW248" s="40"/>
      <c r="CX248" s="30"/>
      <c r="CY248" s="30"/>
    </row>
    <row r="249" spans="1:103" x14ac:dyDescent="0.2">
      <c r="A249" s="2">
        <v>45883</v>
      </c>
      <c r="B249" s="3" t="s">
        <v>640</v>
      </c>
      <c r="C249" s="4" t="s">
        <v>699</v>
      </c>
      <c r="D249" s="5" t="s">
        <v>133</v>
      </c>
      <c r="E249" s="6" t="s">
        <v>266</v>
      </c>
      <c r="F249" s="7"/>
      <c r="G249" s="8"/>
      <c r="H249" s="9"/>
      <c r="I249" s="10"/>
      <c r="J249" s="11" t="s">
        <v>647</v>
      </c>
      <c r="K249" s="12">
        <v>5</v>
      </c>
      <c r="L249" s="13">
        <v>120</v>
      </c>
      <c r="M249" s="14">
        <f t="shared" ref="M249" si="404">L249*K249</f>
        <v>600</v>
      </c>
      <c r="N249" s="15"/>
      <c r="O249" s="16" t="s">
        <v>137</v>
      </c>
      <c r="P249" s="17"/>
      <c r="Q249" s="18"/>
      <c r="R249" s="5"/>
      <c r="S249" s="19"/>
      <c r="T249" s="19"/>
      <c r="U249" s="19"/>
      <c r="V249" s="19"/>
      <c r="W249" s="17"/>
      <c r="X249" s="20"/>
      <c r="Y249" s="19"/>
      <c r="Z249" s="19"/>
      <c r="AA249" s="19"/>
      <c r="AB249" s="19"/>
      <c r="AC249" s="19"/>
      <c r="AD249" s="19"/>
      <c r="AE249" s="5"/>
      <c r="AF249" s="19"/>
      <c r="AG249" s="5"/>
      <c r="AH249" s="17"/>
      <c r="AI249" s="19"/>
      <c r="AJ249" s="19"/>
      <c r="AK249" s="19"/>
      <c r="AL249" s="19"/>
      <c r="AM249" s="17"/>
      <c r="AN249" s="19"/>
      <c r="AO249" s="19"/>
      <c r="AP249" s="19"/>
      <c r="AQ249" s="19"/>
      <c r="AR249" s="19"/>
      <c r="AS249" s="21"/>
      <c r="AT249" s="5"/>
      <c r="AU249" s="19"/>
      <c r="AV249" s="5"/>
      <c r="AW249" s="17">
        <f>M249+P249-Q249</f>
        <v>600</v>
      </c>
      <c r="AX249" s="19"/>
      <c r="AY249" s="5"/>
      <c r="AZ249" s="19"/>
      <c r="BA249" s="5"/>
      <c r="BB249" s="5"/>
      <c r="BC249" s="19"/>
      <c r="BD249" s="19"/>
      <c r="BE249" s="19"/>
      <c r="BF249" s="19"/>
      <c r="BG249" s="19"/>
      <c r="BH249" s="19"/>
      <c r="BI249" s="19"/>
      <c r="BJ249" s="19"/>
      <c r="BK249" s="13"/>
      <c r="BL249" s="5"/>
      <c r="BM249" s="5"/>
      <c r="BN249" s="19"/>
      <c r="BO249" s="17"/>
      <c r="BP249" s="19"/>
      <c r="BQ249" s="17"/>
      <c r="BR249" s="19"/>
      <c r="BS249" s="13"/>
      <c r="BT249" s="5"/>
      <c r="BU249" s="23"/>
      <c r="BV249" s="23"/>
      <c r="BW249" s="24"/>
      <c r="BX249" s="5"/>
      <c r="BY249" s="5"/>
      <c r="BZ249" s="5"/>
      <c r="CA249" s="24"/>
      <c r="CB249" s="24"/>
      <c r="CC249" s="24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>
        <f t="shared" si="391"/>
        <v>600</v>
      </c>
      <c r="CV249" s="25">
        <f t="shared" si="392"/>
        <v>0</v>
      </c>
      <c r="CW249" s="26"/>
      <c r="CX249" s="5"/>
      <c r="CY249" s="5"/>
    </row>
    <row r="250" spans="1:103" x14ac:dyDescent="0.2">
      <c r="A250" s="161"/>
      <c r="B250" s="162"/>
      <c r="C250" s="163"/>
      <c r="D250" s="164"/>
      <c r="E250" s="165"/>
      <c r="F250" s="166"/>
      <c r="G250" s="167"/>
      <c r="H250" s="168"/>
      <c r="I250" s="168"/>
      <c r="J250" s="169"/>
      <c r="K250" s="170"/>
      <c r="L250" s="171"/>
      <c r="M250" s="172">
        <f>SUM(M249:M249)</f>
        <v>600</v>
      </c>
      <c r="N250" s="172">
        <f>M246+M248+M250</f>
        <v>3129</v>
      </c>
      <c r="O250" s="173" t="s">
        <v>137</v>
      </c>
      <c r="P250" s="172"/>
      <c r="Q250" s="172"/>
      <c r="R250" s="164"/>
      <c r="S250" s="172">
        <f t="shared" ref="S250:AD250" si="405">SUM(S249:S249)</f>
        <v>0</v>
      </c>
      <c r="T250" s="172">
        <f t="shared" si="405"/>
        <v>0</v>
      </c>
      <c r="U250" s="172">
        <f t="shared" si="405"/>
        <v>0</v>
      </c>
      <c r="V250" s="172">
        <f t="shared" si="405"/>
        <v>0</v>
      </c>
      <c r="W250" s="172">
        <f t="shared" si="405"/>
        <v>0</v>
      </c>
      <c r="X250" s="172">
        <f t="shared" si="405"/>
        <v>0</v>
      </c>
      <c r="Y250" s="172">
        <f t="shared" si="405"/>
        <v>0</v>
      </c>
      <c r="Z250" s="172">
        <f t="shared" si="405"/>
        <v>0</v>
      </c>
      <c r="AA250" s="172">
        <f t="shared" si="405"/>
        <v>0</v>
      </c>
      <c r="AB250" s="172">
        <f t="shared" si="405"/>
        <v>0</v>
      </c>
      <c r="AC250" s="172">
        <f t="shared" si="405"/>
        <v>0</v>
      </c>
      <c r="AD250" s="172">
        <f t="shared" si="405"/>
        <v>0</v>
      </c>
      <c r="AE250" s="164"/>
      <c r="AF250" s="172">
        <f>SUM(AF249:AF249)</f>
        <v>0</v>
      </c>
      <c r="AG250" s="164"/>
      <c r="AH250" s="172">
        <f t="shared" ref="AH250:AZ250" si="406">SUM(AH249:AH249)</f>
        <v>0</v>
      </c>
      <c r="AI250" s="172">
        <f t="shared" si="406"/>
        <v>0</v>
      </c>
      <c r="AJ250" s="172">
        <f t="shared" si="406"/>
        <v>0</v>
      </c>
      <c r="AK250" s="172">
        <f t="shared" si="406"/>
        <v>0</v>
      </c>
      <c r="AL250" s="172">
        <f t="shared" si="406"/>
        <v>0</v>
      </c>
      <c r="AM250" s="172">
        <f t="shared" si="406"/>
        <v>0</v>
      </c>
      <c r="AN250" s="172">
        <f t="shared" si="406"/>
        <v>0</v>
      </c>
      <c r="AO250" s="172">
        <f t="shared" si="406"/>
        <v>0</v>
      </c>
      <c r="AP250" s="172">
        <f t="shared" si="406"/>
        <v>0</v>
      </c>
      <c r="AQ250" s="172">
        <f t="shared" si="406"/>
        <v>0</v>
      </c>
      <c r="AR250" s="172">
        <f t="shared" si="406"/>
        <v>0</v>
      </c>
      <c r="AS250" s="172">
        <f t="shared" si="406"/>
        <v>0</v>
      </c>
      <c r="AT250" s="172">
        <f t="shared" si="406"/>
        <v>0</v>
      </c>
      <c r="AU250" s="172">
        <f t="shared" si="406"/>
        <v>0</v>
      </c>
      <c r="AV250" s="172">
        <f t="shared" si="406"/>
        <v>0</v>
      </c>
      <c r="AW250" s="172">
        <f>SUM(AW249:AW249)</f>
        <v>600</v>
      </c>
      <c r="AX250" s="172">
        <f t="shared" si="406"/>
        <v>0</v>
      </c>
      <c r="AY250" s="172">
        <f t="shared" si="406"/>
        <v>0</v>
      </c>
      <c r="AZ250" s="172">
        <f t="shared" si="406"/>
        <v>0</v>
      </c>
      <c r="BA250" s="164"/>
      <c r="BB250" s="172">
        <f t="shared" ref="BB250:CT250" si="407">SUM(BB249:BB249)</f>
        <v>0</v>
      </c>
      <c r="BC250" s="172">
        <f t="shared" si="407"/>
        <v>0</v>
      </c>
      <c r="BD250" s="172">
        <f t="shared" si="407"/>
        <v>0</v>
      </c>
      <c r="BE250" s="172">
        <f t="shared" si="407"/>
        <v>0</v>
      </c>
      <c r="BF250" s="172">
        <f t="shared" si="407"/>
        <v>0</v>
      </c>
      <c r="BG250" s="172">
        <f t="shared" si="407"/>
        <v>0</v>
      </c>
      <c r="BH250" s="172">
        <f t="shared" si="407"/>
        <v>0</v>
      </c>
      <c r="BI250" s="172">
        <f t="shared" si="407"/>
        <v>0</v>
      </c>
      <c r="BJ250" s="172">
        <f t="shared" si="407"/>
        <v>0</v>
      </c>
      <c r="BK250" s="172">
        <f t="shared" si="407"/>
        <v>0</v>
      </c>
      <c r="BL250" s="172">
        <f t="shared" si="407"/>
        <v>0</v>
      </c>
      <c r="BM250" s="172">
        <f t="shared" si="407"/>
        <v>0</v>
      </c>
      <c r="BN250" s="172">
        <f t="shared" si="407"/>
        <v>0</v>
      </c>
      <c r="BO250" s="172">
        <f t="shared" si="407"/>
        <v>0</v>
      </c>
      <c r="BP250" s="172">
        <f t="shared" si="407"/>
        <v>0</v>
      </c>
      <c r="BQ250" s="172">
        <f t="shared" si="407"/>
        <v>0</v>
      </c>
      <c r="BR250" s="172">
        <f t="shared" si="407"/>
        <v>0</v>
      </c>
      <c r="BS250" s="172">
        <f t="shared" si="407"/>
        <v>0</v>
      </c>
      <c r="BT250" s="172">
        <f t="shared" si="407"/>
        <v>0</v>
      </c>
      <c r="BU250" s="172">
        <f t="shared" si="407"/>
        <v>0</v>
      </c>
      <c r="BV250" s="172">
        <f t="shared" si="407"/>
        <v>0</v>
      </c>
      <c r="BW250" s="172">
        <f t="shared" si="407"/>
        <v>0</v>
      </c>
      <c r="BX250" s="172">
        <f t="shared" si="407"/>
        <v>0</v>
      </c>
      <c r="BY250" s="172">
        <f t="shared" si="407"/>
        <v>0</v>
      </c>
      <c r="BZ250" s="172">
        <f t="shared" si="407"/>
        <v>0</v>
      </c>
      <c r="CA250" s="172">
        <f t="shared" si="407"/>
        <v>0</v>
      </c>
      <c r="CB250" s="172">
        <f t="shared" si="407"/>
        <v>0</v>
      </c>
      <c r="CC250" s="172">
        <f t="shared" si="407"/>
        <v>0</v>
      </c>
      <c r="CD250" s="172">
        <f t="shared" si="407"/>
        <v>0</v>
      </c>
      <c r="CE250" s="172">
        <f t="shared" si="407"/>
        <v>0</v>
      </c>
      <c r="CF250" s="172">
        <f t="shared" si="407"/>
        <v>0</v>
      </c>
      <c r="CG250" s="172">
        <f t="shared" si="407"/>
        <v>0</v>
      </c>
      <c r="CH250" s="172">
        <f t="shared" si="407"/>
        <v>0</v>
      </c>
      <c r="CI250" s="172">
        <f t="shared" si="407"/>
        <v>0</v>
      </c>
      <c r="CJ250" s="172">
        <f t="shared" si="407"/>
        <v>0</v>
      </c>
      <c r="CK250" s="172">
        <f t="shared" si="407"/>
        <v>0</v>
      </c>
      <c r="CL250" s="172">
        <f t="shared" si="407"/>
        <v>0</v>
      </c>
      <c r="CM250" s="172">
        <f t="shared" si="407"/>
        <v>0</v>
      </c>
      <c r="CN250" s="172">
        <f t="shared" si="407"/>
        <v>0</v>
      </c>
      <c r="CO250" s="172">
        <f t="shared" si="407"/>
        <v>0</v>
      </c>
      <c r="CP250" s="172">
        <f t="shared" si="407"/>
        <v>0</v>
      </c>
      <c r="CQ250" s="172">
        <f t="shared" si="407"/>
        <v>0</v>
      </c>
      <c r="CR250" s="172">
        <f t="shared" si="407"/>
        <v>0</v>
      </c>
      <c r="CS250" s="172">
        <f t="shared" si="407"/>
        <v>0</v>
      </c>
      <c r="CT250" s="172">
        <f t="shared" si="407"/>
        <v>0</v>
      </c>
      <c r="CU250" s="17">
        <f t="shared" si="391"/>
        <v>600</v>
      </c>
      <c r="CV250" s="25">
        <f t="shared" si="392"/>
        <v>0</v>
      </c>
      <c r="CW250" s="176"/>
      <c r="CX250" s="164"/>
      <c r="CY250" s="164"/>
    </row>
    <row r="251" spans="1:103" x14ac:dyDescent="0.2">
      <c r="A251" s="2">
        <v>45885</v>
      </c>
      <c r="B251" s="3" t="s">
        <v>318</v>
      </c>
      <c r="C251" s="4" t="s">
        <v>700</v>
      </c>
      <c r="D251" s="5" t="s">
        <v>189</v>
      </c>
      <c r="E251" s="6" t="s">
        <v>578</v>
      </c>
      <c r="F251" s="7" t="s">
        <v>456</v>
      </c>
      <c r="G251" s="8" t="s">
        <v>192</v>
      </c>
      <c r="H251" s="9">
        <v>12093</v>
      </c>
      <c r="I251" s="10" t="s">
        <v>471</v>
      </c>
      <c r="J251" s="11" t="s">
        <v>321</v>
      </c>
      <c r="K251" s="12">
        <v>10</v>
      </c>
      <c r="L251" s="13">
        <v>77.3</v>
      </c>
      <c r="M251" s="14">
        <f t="shared" ref="M251:M253" si="408">L251*K251</f>
        <v>773</v>
      </c>
      <c r="N251" s="15"/>
      <c r="O251" s="16" t="s">
        <v>137</v>
      </c>
      <c r="P251" s="17">
        <f>M251*0.01</f>
        <v>7.73</v>
      </c>
      <c r="Q251" s="18"/>
      <c r="R251" s="17">
        <f>M251+P251-Q251</f>
        <v>780.73</v>
      </c>
      <c r="S251" s="19"/>
      <c r="T251" s="19"/>
      <c r="U251" s="19"/>
      <c r="V251" s="19"/>
      <c r="W251" s="17"/>
      <c r="X251" s="20"/>
      <c r="Y251" s="19"/>
      <c r="Z251" s="19"/>
      <c r="AA251" s="19"/>
      <c r="AB251" s="19"/>
      <c r="AC251" s="19"/>
      <c r="AD251" s="19"/>
      <c r="AE251" s="5"/>
      <c r="AF251" s="19"/>
      <c r="AG251" s="5"/>
      <c r="AH251" s="17"/>
      <c r="AI251" s="19"/>
      <c r="AJ251" s="19"/>
      <c r="AK251" s="19"/>
      <c r="AL251" s="19"/>
      <c r="AM251" s="17"/>
      <c r="AN251" s="19"/>
      <c r="AO251" s="19"/>
      <c r="AP251" s="19"/>
      <c r="AQ251" s="19"/>
      <c r="AR251" s="19"/>
      <c r="AS251" s="21"/>
      <c r="AT251" s="5"/>
      <c r="AU251" s="19"/>
      <c r="AV251" s="5"/>
      <c r="AW251" s="22"/>
      <c r="AX251" s="19"/>
      <c r="AY251" s="5"/>
      <c r="AZ251" s="19"/>
      <c r="BA251" s="5"/>
      <c r="BB251" s="5"/>
      <c r="BC251" s="19"/>
      <c r="BD251" s="19"/>
      <c r="BE251" s="19"/>
      <c r="BF251" s="19"/>
      <c r="BG251" s="19"/>
      <c r="BH251" s="19"/>
      <c r="BI251" s="19"/>
      <c r="BJ251" s="19"/>
      <c r="BK251" s="13"/>
      <c r="BL251" s="5"/>
      <c r="BM251" s="5"/>
      <c r="BN251" s="19"/>
      <c r="BO251" s="17"/>
      <c r="BP251" s="19"/>
      <c r="BQ251" s="17"/>
      <c r="BR251" s="19"/>
      <c r="BS251" s="13"/>
      <c r="BT251" s="5"/>
      <c r="BU251" s="23"/>
      <c r="BV251" s="23"/>
      <c r="BW251" s="24"/>
      <c r="BX251" s="5"/>
      <c r="BY251" s="5"/>
      <c r="BZ251" s="5"/>
      <c r="CA251" s="24"/>
      <c r="CB251" s="24"/>
      <c r="CC251" s="24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>
        <f t="shared" si="391"/>
        <v>773</v>
      </c>
      <c r="CV251" s="25">
        <f t="shared" si="392"/>
        <v>0</v>
      </c>
      <c r="CW251" s="26"/>
      <c r="CX251" s="5"/>
      <c r="CY251" s="5"/>
    </row>
    <row r="252" spans="1:103" x14ac:dyDescent="0.2">
      <c r="A252" s="2"/>
      <c r="B252" s="3"/>
      <c r="C252" s="4"/>
      <c r="D252" s="5"/>
      <c r="E252" s="6"/>
      <c r="F252" s="7"/>
      <c r="G252" s="8"/>
      <c r="H252" s="9"/>
      <c r="I252" s="10"/>
      <c r="J252" s="11" t="s">
        <v>319</v>
      </c>
      <c r="K252" s="12">
        <v>10</v>
      </c>
      <c r="L252" s="13">
        <v>87.25</v>
      </c>
      <c r="M252" s="14">
        <f t="shared" si="408"/>
        <v>872.5</v>
      </c>
      <c r="N252" s="15"/>
      <c r="O252" s="16" t="s">
        <v>137</v>
      </c>
      <c r="P252" s="17">
        <f t="shared" ref="P252:P253" si="409">M252*0.01</f>
        <v>8.7249999999999996</v>
      </c>
      <c r="Q252" s="18"/>
      <c r="R252" s="17">
        <f t="shared" ref="R252:R253" si="410">M252+P252-Q252</f>
        <v>881.22500000000002</v>
      </c>
      <c r="S252" s="19"/>
      <c r="T252" s="19"/>
      <c r="U252" s="19"/>
      <c r="V252" s="19"/>
      <c r="W252" s="17"/>
      <c r="X252" s="20"/>
      <c r="Y252" s="19"/>
      <c r="Z252" s="19"/>
      <c r="AA252" s="19"/>
      <c r="AB252" s="19"/>
      <c r="AC252" s="19"/>
      <c r="AD252" s="19"/>
      <c r="AE252" s="5"/>
      <c r="AF252" s="19"/>
      <c r="AG252" s="5"/>
      <c r="AH252" s="17"/>
      <c r="AI252" s="19"/>
      <c r="AJ252" s="19"/>
      <c r="AK252" s="19"/>
      <c r="AL252" s="19"/>
      <c r="AM252" s="17"/>
      <c r="AN252" s="19"/>
      <c r="AO252" s="19"/>
      <c r="AP252" s="19"/>
      <c r="AQ252" s="19"/>
      <c r="AR252" s="19"/>
      <c r="AS252" s="21"/>
      <c r="AT252" s="5"/>
      <c r="AU252" s="19"/>
      <c r="AV252" s="5"/>
      <c r="AW252" s="22"/>
      <c r="AX252" s="19"/>
      <c r="AY252" s="5"/>
      <c r="AZ252" s="19"/>
      <c r="BA252" s="5"/>
      <c r="BB252" s="5"/>
      <c r="BC252" s="19"/>
      <c r="BD252" s="19"/>
      <c r="BE252" s="19"/>
      <c r="BF252" s="19"/>
      <c r="BG252" s="19"/>
      <c r="BH252" s="19"/>
      <c r="BI252" s="19"/>
      <c r="BJ252" s="19"/>
      <c r="BK252" s="13"/>
      <c r="BL252" s="5"/>
      <c r="BM252" s="5"/>
      <c r="BN252" s="19"/>
      <c r="BO252" s="17"/>
      <c r="BP252" s="19"/>
      <c r="BQ252" s="17"/>
      <c r="BR252" s="19"/>
      <c r="BS252" s="13"/>
      <c r="BT252" s="5"/>
      <c r="BU252" s="23"/>
      <c r="BV252" s="23"/>
      <c r="BW252" s="24"/>
      <c r="BX252" s="5"/>
      <c r="BY252" s="5"/>
      <c r="BZ252" s="5"/>
      <c r="CA252" s="24"/>
      <c r="CB252" s="24"/>
      <c r="CC252" s="24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>
        <f t="shared" si="391"/>
        <v>872.5</v>
      </c>
      <c r="CV252" s="25">
        <f t="shared" si="392"/>
        <v>0</v>
      </c>
      <c r="CW252" s="26"/>
      <c r="CX252" s="5"/>
      <c r="CY252" s="5"/>
    </row>
    <row r="253" spans="1:103" x14ac:dyDescent="0.2">
      <c r="A253" s="2"/>
      <c r="B253" s="3"/>
      <c r="C253" s="4"/>
      <c r="D253" s="5"/>
      <c r="E253" s="6"/>
      <c r="F253" s="7"/>
      <c r="G253" s="8"/>
      <c r="H253" s="9"/>
      <c r="I253" s="10"/>
      <c r="J253" s="11" t="s">
        <v>320</v>
      </c>
      <c r="K253" s="12">
        <v>9</v>
      </c>
      <c r="L253" s="13">
        <v>49.1</v>
      </c>
      <c r="M253" s="14">
        <f t="shared" si="408"/>
        <v>441.90000000000003</v>
      </c>
      <c r="N253" s="15"/>
      <c r="O253" s="16" t="s">
        <v>137</v>
      </c>
      <c r="P253" s="17">
        <f t="shared" si="409"/>
        <v>4.4190000000000005</v>
      </c>
      <c r="Q253" s="18"/>
      <c r="R253" s="17">
        <f t="shared" si="410"/>
        <v>446.31900000000002</v>
      </c>
      <c r="S253" s="19"/>
      <c r="T253" s="19"/>
      <c r="U253" s="19"/>
      <c r="V253" s="19"/>
      <c r="W253" s="17"/>
      <c r="X253" s="20"/>
      <c r="Y253" s="19"/>
      <c r="Z253" s="19"/>
      <c r="AA253" s="19"/>
      <c r="AB253" s="19"/>
      <c r="AC253" s="19"/>
      <c r="AD253" s="19"/>
      <c r="AE253" s="5"/>
      <c r="AF253" s="19"/>
      <c r="AG253" s="5"/>
      <c r="AH253" s="17"/>
      <c r="AI253" s="19"/>
      <c r="AJ253" s="19"/>
      <c r="AK253" s="19"/>
      <c r="AL253" s="19"/>
      <c r="AM253" s="17"/>
      <c r="AN253" s="19"/>
      <c r="AO253" s="19"/>
      <c r="AP253" s="19"/>
      <c r="AQ253" s="19"/>
      <c r="AR253" s="19"/>
      <c r="AS253" s="21"/>
      <c r="AT253" s="5"/>
      <c r="AU253" s="19"/>
      <c r="AV253" s="5"/>
      <c r="AW253" s="22"/>
      <c r="AX253" s="19"/>
      <c r="AY253" s="5"/>
      <c r="AZ253" s="19"/>
      <c r="BA253" s="5"/>
      <c r="BB253" s="5"/>
      <c r="BC253" s="19"/>
      <c r="BD253" s="19"/>
      <c r="BE253" s="19"/>
      <c r="BF253" s="19"/>
      <c r="BG253" s="19"/>
      <c r="BH253" s="19"/>
      <c r="BI253" s="19"/>
      <c r="BJ253" s="19"/>
      <c r="BK253" s="13"/>
      <c r="BL253" s="5"/>
      <c r="BM253" s="5"/>
      <c r="BN253" s="19"/>
      <c r="BO253" s="17"/>
      <c r="BP253" s="19"/>
      <c r="BQ253" s="17"/>
      <c r="BR253" s="19"/>
      <c r="BS253" s="13"/>
      <c r="BT253" s="5"/>
      <c r="BU253" s="23"/>
      <c r="BV253" s="23"/>
      <c r="BW253" s="24"/>
      <c r="BX253" s="5"/>
      <c r="BY253" s="5"/>
      <c r="BZ253" s="5"/>
      <c r="CA253" s="24"/>
      <c r="CB253" s="24"/>
      <c r="CC253" s="24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>
        <f t="shared" si="391"/>
        <v>441.90000000000003</v>
      </c>
      <c r="CV253" s="25">
        <f t="shared" si="392"/>
        <v>0</v>
      </c>
      <c r="CW253" s="26"/>
      <c r="CX253" s="5"/>
      <c r="CY253" s="5"/>
    </row>
    <row r="254" spans="1:103" x14ac:dyDescent="0.2">
      <c r="A254" s="161"/>
      <c r="B254" s="162"/>
      <c r="C254" s="163"/>
      <c r="D254" s="164"/>
      <c r="E254" s="165"/>
      <c r="F254" s="166"/>
      <c r="G254" s="167"/>
      <c r="H254" s="168"/>
      <c r="I254" s="168"/>
      <c r="J254" s="169"/>
      <c r="K254" s="170"/>
      <c r="L254" s="171"/>
      <c r="M254" s="172">
        <f>SUM(M251:M253)</f>
        <v>2087.4</v>
      </c>
      <c r="N254" s="172">
        <f>M254</f>
        <v>2087.4</v>
      </c>
      <c r="O254" s="173" t="s">
        <v>137</v>
      </c>
      <c r="P254" s="172">
        <f>SUM(P251:P253)</f>
        <v>20.873999999999999</v>
      </c>
      <c r="Q254" s="172"/>
      <c r="R254" s="172">
        <f>SUM(R251:R253)</f>
        <v>2108.2739999999999</v>
      </c>
      <c r="S254" s="172">
        <f t="shared" ref="S254:AD254" si="411">SUM(S251:S251)</f>
        <v>0</v>
      </c>
      <c r="T254" s="172">
        <f t="shared" si="411"/>
        <v>0</v>
      </c>
      <c r="U254" s="172">
        <f t="shared" si="411"/>
        <v>0</v>
      </c>
      <c r="V254" s="172">
        <f t="shared" si="411"/>
        <v>0</v>
      </c>
      <c r="W254" s="172">
        <f t="shared" si="411"/>
        <v>0</v>
      </c>
      <c r="X254" s="172">
        <f t="shared" si="411"/>
        <v>0</v>
      </c>
      <c r="Y254" s="172">
        <f t="shared" si="411"/>
        <v>0</v>
      </c>
      <c r="Z254" s="172">
        <f t="shared" si="411"/>
        <v>0</v>
      </c>
      <c r="AA254" s="172">
        <f t="shared" si="411"/>
        <v>0</v>
      </c>
      <c r="AB254" s="172">
        <f t="shared" si="411"/>
        <v>0</v>
      </c>
      <c r="AC254" s="172">
        <f t="shared" si="411"/>
        <v>0</v>
      </c>
      <c r="AD254" s="172">
        <f t="shared" si="411"/>
        <v>0</v>
      </c>
      <c r="AE254" s="164"/>
      <c r="AF254" s="172">
        <f>SUM(AF251:AF251)</f>
        <v>0</v>
      </c>
      <c r="AG254" s="164"/>
      <c r="AH254" s="172">
        <f t="shared" ref="AH254:AZ254" si="412">SUM(AH251:AH251)</f>
        <v>0</v>
      </c>
      <c r="AI254" s="172">
        <f t="shared" si="412"/>
        <v>0</v>
      </c>
      <c r="AJ254" s="172">
        <f t="shared" si="412"/>
        <v>0</v>
      </c>
      <c r="AK254" s="172">
        <f t="shared" si="412"/>
        <v>0</v>
      </c>
      <c r="AL254" s="172">
        <f t="shared" si="412"/>
        <v>0</v>
      </c>
      <c r="AM254" s="172">
        <f t="shared" si="412"/>
        <v>0</v>
      </c>
      <c r="AN254" s="172">
        <f t="shared" si="412"/>
        <v>0</v>
      </c>
      <c r="AO254" s="172">
        <f t="shared" si="412"/>
        <v>0</v>
      </c>
      <c r="AP254" s="172">
        <f t="shared" si="412"/>
        <v>0</v>
      </c>
      <c r="AQ254" s="172">
        <f t="shared" si="412"/>
        <v>0</v>
      </c>
      <c r="AR254" s="172">
        <f t="shared" si="412"/>
        <v>0</v>
      </c>
      <c r="AS254" s="172">
        <f t="shared" si="412"/>
        <v>0</v>
      </c>
      <c r="AT254" s="172">
        <f t="shared" si="412"/>
        <v>0</v>
      </c>
      <c r="AU254" s="172">
        <f t="shared" si="412"/>
        <v>0</v>
      </c>
      <c r="AV254" s="172">
        <f t="shared" si="412"/>
        <v>0</v>
      </c>
      <c r="AW254" s="172">
        <f t="shared" si="412"/>
        <v>0</v>
      </c>
      <c r="AX254" s="172">
        <f t="shared" si="412"/>
        <v>0</v>
      </c>
      <c r="AY254" s="172">
        <f t="shared" si="412"/>
        <v>0</v>
      </c>
      <c r="AZ254" s="172">
        <f t="shared" si="412"/>
        <v>0</v>
      </c>
      <c r="BA254" s="164"/>
      <c r="BB254" s="172">
        <f t="shared" ref="BB254:CT254" si="413">SUM(BB251:BB251)</f>
        <v>0</v>
      </c>
      <c r="BC254" s="172">
        <f t="shared" si="413"/>
        <v>0</v>
      </c>
      <c r="BD254" s="172">
        <f t="shared" si="413"/>
        <v>0</v>
      </c>
      <c r="BE254" s="172">
        <f t="shared" si="413"/>
        <v>0</v>
      </c>
      <c r="BF254" s="172">
        <f t="shared" si="413"/>
        <v>0</v>
      </c>
      <c r="BG254" s="172">
        <f t="shared" si="413"/>
        <v>0</v>
      </c>
      <c r="BH254" s="172">
        <f t="shared" si="413"/>
        <v>0</v>
      </c>
      <c r="BI254" s="172">
        <f t="shared" si="413"/>
        <v>0</v>
      </c>
      <c r="BJ254" s="172">
        <f t="shared" si="413"/>
        <v>0</v>
      </c>
      <c r="BK254" s="172">
        <f t="shared" si="413"/>
        <v>0</v>
      </c>
      <c r="BL254" s="172">
        <f t="shared" si="413"/>
        <v>0</v>
      </c>
      <c r="BM254" s="172">
        <f t="shared" si="413"/>
        <v>0</v>
      </c>
      <c r="BN254" s="172">
        <f t="shared" si="413"/>
        <v>0</v>
      </c>
      <c r="BO254" s="172">
        <f t="shared" si="413"/>
        <v>0</v>
      </c>
      <c r="BP254" s="172">
        <f t="shared" si="413"/>
        <v>0</v>
      </c>
      <c r="BQ254" s="172">
        <f t="shared" si="413"/>
        <v>0</v>
      </c>
      <c r="BR254" s="172">
        <f t="shared" si="413"/>
        <v>0</v>
      </c>
      <c r="BS254" s="172">
        <f t="shared" si="413"/>
        <v>0</v>
      </c>
      <c r="BT254" s="172">
        <f t="shared" si="413"/>
        <v>0</v>
      </c>
      <c r="BU254" s="172">
        <f t="shared" si="413"/>
        <v>0</v>
      </c>
      <c r="BV254" s="172">
        <f t="shared" si="413"/>
        <v>0</v>
      </c>
      <c r="BW254" s="172">
        <f t="shared" si="413"/>
        <v>0</v>
      </c>
      <c r="BX254" s="172">
        <f t="shared" si="413"/>
        <v>0</v>
      </c>
      <c r="BY254" s="172">
        <f t="shared" si="413"/>
        <v>0</v>
      </c>
      <c r="BZ254" s="172">
        <f t="shared" si="413"/>
        <v>0</v>
      </c>
      <c r="CA254" s="172">
        <f t="shared" si="413"/>
        <v>0</v>
      </c>
      <c r="CB254" s="172">
        <f t="shared" si="413"/>
        <v>0</v>
      </c>
      <c r="CC254" s="172">
        <f t="shared" si="413"/>
        <v>0</v>
      </c>
      <c r="CD254" s="172">
        <f t="shared" si="413"/>
        <v>0</v>
      </c>
      <c r="CE254" s="172">
        <f t="shared" si="413"/>
        <v>0</v>
      </c>
      <c r="CF254" s="172">
        <f t="shared" si="413"/>
        <v>0</v>
      </c>
      <c r="CG254" s="172">
        <f t="shared" si="413"/>
        <v>0</v>
      </c>
      <c r="CH254" s="172">
        <f t="shared" si="413"/>
        <v>0</v>
      </c>
      <c r="CI254" s="172">
        <f t="shared" si="413"/>
        <v>0</v>
      </c>
      <c r="CJ254" s="172">
        <f t="shared" si="413"/>
        <v>0</v>
      </c>
      <c r="CK254" s="172">
        <f t="shared" si="413"/>
        <v>0</v>
      </c>
      <c r="CL254" s="172">
        <f t="shared" si="413"/>
        <v>0</v>
      </c>
      <c r="CM254" s="172">
        <f t="shared" si="413"/>
        <v>0</v>
      </c>
      <c r="CN254" s="172">
        <f t="shared" si="413"/>
        <v>0</v>
      </c>
      <c r="CO254" s="172">
        <f t="shared" si="413"/>
        <v>0</v>
      </c>
      <c r="CP254" s="172">
        <f t="shared" si="413"/>
        <v>0</v>
      </c>
      <c r="CQ254" s="172">
        <f t="shared" si="413"/>
        <v>0</v>
      </c>
      <c r="CR254" s="172">
        <f t="shared" si="413"/>
        <v>0</v>
      </c>
      <c r="CS254" s="172">
        <f t="shared" si="413"/>
        <v>0</v>
      </c>
      <c r="CT254" s="172">
        <f t="shared" si="413"/>
        <v>0</v>
      </c>
      <c r="CU254" s="17">
        <f t="shared" si="391"/>
        <v>2087.4</v>
      </c>
      <c r="CV254" s="25">
        <f t="shared" si="392"/>
        <v>0</v>
      </c>
      <c r="CW254" s="176"/>
      <c r="CX254" s="164"/>
      <c r="CY254" s="164"/>
    </row>
    <row r="255" spans="1:103" x14ac:dyDescent="0.2">
      <c r="A255" s="2">
        <v>45887</v>
      </c>
      <c r="B255" s="3" t="s">
        <v>328</v>
      </c>
      <c r="C255" s="4" t="s">
        <v>701</v>
      </c>
      <c r="D255" s="5" t="s">
        <v>329</v>
      </c>
      <c r="E255" s="6" t="s">
        <v>278</v>
      </c>
      <c r="F255" s="7" t="s">
        <v>124</v>
      </c>
      <c r="G255" s="8" t="s">
        <v>125</v>
      </c>
      <c r="H255" s="9" t="s">
        <v>579</v>
      </c>
      <c r="I255" s="10"/>
      <c r="J255" s="11" t="s">
        <v>580</v>
      </c>
      <c r="K255" s="12">
        <v>1</v>
      </c>
      <c r="L255" s="13">
        <v>627.32000000000005</v>
      </c>
      <c r="M255" s="14">
        <f t="shared" ref="M255" si="414">L255*K255</f>
        <v>627.32000000000005</v>
      </c>
      <c r="N255" s="15"/>
      <c r="O255" s="16" t="s">
        <v>111</v>
      </c>
      <c r="P255" s="17">
        <f>M255/1.12*0.02</f>
        <v>11.202142857142858</v>
      </c>
      <c r="Q255" s="18">
        <f>M255/1.12*0.12</f>
        <v>67.212857142857146</v>
      </c>
      <c r="R255" s="5"/>
      <c r="S255" s="19"/>
      <c r="T255" s="19"/>
      <c r="U255" s="19"/>
      <c r="V255" s="19"/>
      <c r="W255" s="17"/>
      <c r="X255" s="20"/>
      <c r="Y255" s="19"/>
      <c r="Z255" s="19"/>
      <c r="AA255" s="19"/>
      <c r="AB255" s="19"/>
      <c r="AC255" s="19"/>
      <c r="AD255" s="19"/>
      <c r="AE255" s="5"/>
      <c r="AF255" s="19"/>
      <c r="AG255" s="5"/>
      <c r="AH255" s="17"/>
      <c r="AI255" s="19"/>
      <c r="AJ255" s="19"/>
      <c r="AK255" s="19"/>
      <c r="AL255" s="19"/>
      <c r="AM255" s="17"/>
      <c r="AN255" s="19"/>
      <c r="AO255" s="19"/>
      <c r="AP255" s="19"/>
      <c r="AQ255" s="19"/>
      <c r="AR255" s="19"/>
      <c r="AS255" s="21"/>
      <c r="AT255" s="5"/>
      <c r="AU255" s="19"/>
      <c r="AV255" s="5"/>
      <c r="AW255" s="22"/>
      <c r="AX255" s="19"/>
      <c r="AY255" s="5"/>
      <c r="AZ255" s="19"/>
      <c r="BA255" s="5"/>
      <c r="BB255" s="5"/>
      <c r="BC255" s="19"/>
      <c r="BD255" s="19"/>
      <c r="BE255" s="19"/>
      <c r="BF255" s="19"/>
      <c r="BG255" s="19"/>
      <c r="BH255" s="19"/>
      <c r="BI255" s="19"/>
      <c r="BJ255" s="19"/>
      <c r="BK255" s="13"/>
      <c r="BL255" s="5"/>
      <c r="BM255" s="5"/>
      <c r="BN255" s="19"/>
      <c r="BO255" s="17"/>
      <c r="BP255" s="19"/>
      <c r="BQ255" s="17"/>
      <c r="BR255" s="19"/>
      <c r="BS255" s="5"/>
      <c r="BT255" s="5"/>
      <c r="BU255" s="23"/>
      <c r="BV255" s="23"/>
      <c r="BW255" s="24"/>
      <c r="BX255" s="5"/>
      <c r="BY255" s="5"/>
      <c r="BZ255" s="5"/>
      <c r="CA255" s="24"/>
      <c r="CB255" s="24"/>
      <c r="CC255" s="24"/>
      <c r="CD255" s="17"/>
      <c r="CE255" s="17"/>
      <c r="CF255" s="17"/>
      <c r="CG255" s="17">
        <v>81.615612244898003</v>
      </c>
      <c r="CH255" s="17">
        <v>81.615612244898003</v>
      </c>
      <c r="CI255" s="17">
        <f>(M255+P255-Q255)/7</f>
        <v>81.61561224489796</v>
      </c>
      <c r="CJ255" s="17">
        <v>81.61561224489796</v>
      </c>
      <c r="CK255" s="17">
        <v>81.61561224489796</v>
      </c>
      <c r="CL255" s="17">
        <v>81.61561224489796</v>
      </c>
      <c r="CM255" s="17">
        <v>81.61561224489796</v>
      </c>
      <c r="CN255" s="17"/>
      <c r="CO255" s="17"/>
      <c r="CP255" s="17"/>
      <c r="CQ255" s="17"/>
      <c r="CR255" s="17"/>
      <c r="CS255" s="17"/>
      <c r="CT255" s="17"/>
      <c r="CU255" s="17">
        <f t="shared" si="391"/>
        <v>627.32000000000028</v>
      </c>
      <c r="CV255" s="25">
        <f t="shared" si="392"/>
        <v>0</v>
      </c>
      <c r="CW255" s="26"/>
      <c r="CX255" s="5"/>
      <c r="CY255" s="5"/>
    </row>
    <row r="256" spans="1:103" x14ac:dyDescent="0.2">
      <c r="A256" s="161"/>
      <c r="B256" s="162"/>
      <c r="C256" s="163"/>
      <c r="D256" s="164"/>
      <c r="E256" s="165"/>
      <c r="F256" s="166"/>
      <c r="G256" s="167"/>
      <c r="H256" s="168"/>
      <c r="I256" s="168"/>
      <c r="J256" s="169"/>
      <c r="K256" s="170"/>
      <c r="L256" s="171"/>
      <c r="M256" s="172">
        <f>SUM(M255:M255)</f>
        <v>627.32000000000005</v>
      </c>
      <c r="N256" s="172">
        <f>M256</f>
        <v>627.32000000000005</v>
      </c>
      <c r="O256" s="173" t="s">
        <v>111</v>
      </c>
      <c r="P256" s="172">
        <f>SUM(P255:P255)</f>
        <v>11.202142857142858</v>
      </c>
      <c r="Q256" s="172">
        <f>SUM(Q255:Q255)</f>
        <v>67.212857142857146</v>
      </c>
      <c r="R256" s="164"/>
      <c r="S256" s="172">
        <f t="shared" ref="S256:AD256" si="415">SUM(S255:S255)</f>
        <v>0</v>
      </c>
      <c r="T256" s="172">
        <f t="shared" si="415"/>
        <v>0</v>
      </c>
      <c r="U256" s="172">
        <f t="shared" si="415"/>
        <v>0</v>
      </c>
      <c r="V256" s="172">
        <f t="shared" si="415"/>
        <v>0</v>
      </c>
      <c r="W256" s="172">
        <f t="shared" si="415"/>
        <v>0</v>
      </c>
      <c r="X256" s="172">
        <f t="shared" si="415"/>
        <v>0</v>
      </c>
      <c r="Y256" s="172">
        <f t="shared" si="415"/>
        <v>0</v>
      </c>
      <c r="Z256" s="172">
        <f t="shared" si="415"/>
        <v>0</v>
      </c>
      <c r="AA256" s="172">
        <f t="shared" si="415"/>
        <v>0</v>
      </c>
      <c r="AB256" s="172">
        <f t="shared" si="415"/>
        <v>0</v>
      </c>
      <c r="AC256" s="172">
        <f t="shared" si="415"/>
        <v>0</v>
      </c>
      <c r="AD256" s="172">
        <f t="shared" si="415"/>
        <v>0</v>
      </c>
      <c r="AE256" s="164"/>
      <c r="AF256" s="172">
        <f>SUM(AF255:AF255)</f>
        <v>0</v>
      </c>
      <c r="AG256" s="164"/>
      <c r="AH256" s="172">
        <f t="shared" ref="AH256:AZ256" si="416">SUM(AH255:AH255)</f>
        <v>0</v>
      </c>
      <c r="AI256" s="172">
        <f t="shared" si="416"/>
        <v>0</v>
      </c>
      <c r="AJ256" s="172">
        <f t="shared" si="416"/>
        <v>0</v>
      </c>
      <c r="AK256" s="172">
        <f t="shared" si="416"/>
        <v>0</v>
      </c>
      <c r="AL256" s="172">
        <f t="shared" si="416"/>
        <v>0</v>
      </c>
      <c r="AM256" s="172">
        <f t="shared" si="416"/>
        <v>0</v>
      </c>
      <c r="AN256" s="172">
        <f t="shared" si="416"/>
        <v>0</v>
      </c>
      <c r="AO256" s="172">
        <f t="shared" si="416"/>
        <v>0</v>
      </c>
      <c r="AP256" s="172">
        <f t="shared" si="416"/>
        <v>0</v>
      </c>
      <c r="AQ256" s="172">
        <f t="shared" si="416"/>
        <v>0</v>
      </c>
      <c r="AR256" s="172">
        <f t="shared" si="416"/>
        <v>0</v>
      </c>
      <c r="AS256" s="172">
        <f t="shared" si="416"/>
        <v>0</v>
      </c>
      <c r="AT256" s="172">
        <f t="shared" si="416"/>
        <v>0</v>
      </c>
      <c r="AU256" s="172">
        <f t="shared" si="416"/>
        <v>0</v>
      </c>
      <c r="AV256" s="172">
        <f t="shared" si="416"/>
        <v>0</v>
      </c>
      <c r="AW256" s="172">
        <f t="shared" si="416"/>
        <v>0</v>
      </c>
      <c r="AX256" s="172">
        <f t="shared" si="416"/>
        <v>0</v>
      </c>
      <c r="AY256" s="172">
        <f t="shared" si="416"/>
        <v>0</v>
      </c>
      <c r="AZ256" s="172">
        <f t="shared" si="416"/>
        <v>0</v>
      </c>
      <c r="BA256" s="164"/>
      <c r="BB256" s="172">
        <f t="shared" ref="BB256:CT256" si="417">SUM(BB255:BB255)</f>
        <v>0</v>
      </c>
      <c r="BC256" s="172">
        <f t="shared" si="417"/>
        <v>0</v>
      </c>
      <c r="BD256" s="172">
        <f t="shared" si="417"/>
        <v>0</v>
      </c>
      <c r="BE256" s="172">
        <f t="shared" si="417"/>
        <v>0</v>
      </c>
      <c r="BF256" s="172">
        <f t="shared" si="417"/>
        <v>0</v>
      </c>
      <c r="BG256" s="172">
        <f t="shared" si="417"/>
        <v>0</v>
      </c>
      <c r="BH256" s="172">
        <f t="shared" si="417"/>
        <v>0</v>
      </c>
      <c r="BI256" s="172">
        <f t="shared" si="417"/>
        <v>0</v>
      </c>
      <c r="BJ256" s="172">
        <f t="shared" si="417"/>
        <v>0</v>
      </c>
      <c r="BK256" s="172">
        <f t="shared" si="417"/>
        <v>0</v>
      </c>
      <c r="BL256" s="172">
        <f t="shared" si="417"/>
        <v>0</v>
      </c>
      <c r="BM256" s="172">
        <f t="shared" si="417"/>
        <v>0</v>
      </c>
      <c r="BN256" s="172">
        <f t="shared" si="417"/>
        <v>0</v>
      </c>
      <c r="BO256" s="172">
        <f t="shared" si="417"/>
        <v>0</v>
      </c>
      <c r="BP256" s="172">
        <f t="shared" si="417"/>
        <v>0</v>
      </c>
      <c r="BQ256" s="172">
        <f t="shared" si="417"/>
        <v>0</v>
      </c>
      <c r="BR256" s="172">
        <f t="shared" si="417"/>
        <v>0</v>
      </c>
      <c r="BS256" s="164"/>
      <c r="BT256" s="172">
        <f t="shared" si="417"/>
        <v>0</v>
      </c>
      <c r="BU256" s="172">
        <f t="shared" si="417"/>
        <v>0</v>
      </c>
      <c r="BV256" s="172">
        <f t="shared" si="417"/>
        <v>0</v>
      </c>
      <c r="BW256" s="172">
        <f t="shared" si="417"/>
        <v>0</v>
      </c>
      <c r="BX256" s="172">
        <f t="shared" si="417"/>
        <v>0</v>
      </c>
      <c r="BY256" s="172">
        <f t="shared" si="417"/>
        <v>0</v>
      </c>
      <c r="BZ256" s="172">
        <f t="shared" si="417"/>
        <v>0</v>
      </c>
      <c r="CA256" s="172">
        <f t="shared" si="417"/>
        <v>0</v>
      </c>
      <c r="CB256" s="172">
        <f t="shared" si="417"/>
        <v>0</v>
      </c>
      <c r="CC256" s="172">
        <f t="shared" si="417"/>
        <v>0</v>
      </c>
      <c r="CD256" s="172">
        <f t="shared" si="417"/>
        <v>0</v>
      </c>
      <c r="CE256" s="172">
        <f t="shared" si="417"/>
        <v>0</v>
      </c>
      <c r="CF256" s="172">
        <f t="shared" si="417"/>
        <v>0</v>
      </c>
      <c r="CG256" s="172">
        <v>81.61561224489796</v>
      </c>
      <c r="CH256" s="172">
        <v>81.61561224489796</v>
      </c>
      <c r="CI256" s="172">
        <f>SUM(CI255:CI255)</f>
        <v>81.61561224489796</v>
      </c>
      <c r="CJ256" s="172">
        <v>81.61561224489796</v>
      </c>
      <c r="CK256" s="172">
        <v>81.61561224489796</v>
      </c>
      <c r="CL256" s="172">
        <v>81.61561224489796</v>
      </c>
      <c r="CM256" s="172">
        <v>81.61561224489796</v>
      </c>
      <c r="CN256" s="172">
        <f t="shared" si="417"/>
        <v>0</v>
      </c>
      <c r="CO256" s="172">
        <f t="shared" si="417"/>
        <v>0</v>
      </c>
      <c r="CP256" s="172">
        <f t="shared" si="417"/>
        <v>0</v>
      </c>
      <c r="CQ256" s="172">
        <f t="shared" si="417"/>
        <v>0</v>
      </c>
      <c r="CR256" s="172">
        <f t="shared" si="417"/>
        <v>0</v>
      </c>
      <c r="CS256" s="172">
        <f t="shared" si="417"/>
        <v>0</v>
      </c>
      <c r="CT256" s="172">
        <f t="shared" si="417"/>
        <v>0</v>
      </c>
      <c r="CU256" s="17">
        <f t="shared" si="391"/>
        <v>627.32000000000016</v>
      </c>
      <c r="CV256" s="25">
        <f t="shared" si="392"/>
        <v>0</v>
      </c>
      <c r="CW256" s="176"/>
      <c r="CX256" s="164"/>
      <c r="CY256" s="164"/>
    </row>
    <row r="257" spans="1:103" x14ac:dyDescent="0.2">
      <c r="A257" s="2">
        <v>45887</v>
      </c>
      <c r="B257" s="3" t="s">
        <v>331</v>
      </c>
      <c r="C257" s="4" t="s">
        <v>702</v>
      </c>
      <c r="D257" s="5" t="s">
        <v>329</v>
      </c>
      <c r="E257" s="6" t="s">
        <v>332</v>
      </c>
      <c r="F257" s="7" t="s">
        <v>581</v>
      </c>
      <c r="G257" s="8" t="s">
        <v>582</v>
      </c>
      <c r="H257" s="9" t="s">
        <v>334</v>
      </c>
      <c r="I257" s="10"/>
      <c r="J257" s="11" t="s">
        <v>583</v>
      </c>
      <c r="K257" s="12">
        <v>1</v>
      </c>
      <c r="L257" s="13">
        <v>1075</v>
      </c>
      <c r="M257" s="14">
        <f t="shared" ref="M257" si="418">L257*K257</f>
        <v>1075</v>
      </c>
      <c r="N257" s="15"/>
      <c r="O257" s="16" t="s">
        <v>111</v>
      </c>
      <c r="P257" s="17">
        <f>M257/1.12*0.02</f>
        <v>19.196428571428569</v>
      </c>
      <c r="Q257" s="18">
        <f>M257/1.12*0.12</f>
        <v>115.1785714285714</v>
      </c>
      <c r="R257" s="5"/>
      <c r="S257" s="19"/>
      <c r="T257" s="19"/>
      <c r="U257" s="19"/>
      <c r="V257" s="19"/>
      <c r="W257" s="17"/>
      <c r="X257" s="20"/>
      <c r="Y257" s="19"/>
      <c r="Z257" s="19"/>
      <c r="AA257" s="19"/>
      <c r="AB257" s="19"/>
      <c r="AC257" s="19"/>
      <c r="AD257" s="19"/>
      <c r="AE257" s="5"/>
      <c r="AF257" s="19"/>
      <c r="AG257" s="5"/>
      <c r="AH257" s="17"/>
      <c r="AI257" s="19"/>
      <c r="AJ257" s="19"/>
      <c r="AK257" s="19"/>
      <c r="AL257" s="19"/>
      <c r="AM257" s="17"/>
      <c r="AN257" s="19"/>
      <c r="AO257" s="19"/>
      <c r="AP257" s="19"/>
      <c r="AQ257" s="19"/>
      <c r="AR257" s="19"/>
      <c r="AS257" s="21"/>
      <c r="AT257" s="5"/>
      <c r="AU257" s="19"/>
      <c r="AV257" s="5"/>
      <c r="AW257" s="22"/>
      <c r="AX257" s="19"/>
      <c r="AY257" s="5"/>
      <c r="AZ257" s="19"/>
      <c r="BA257" s="5"/>
      <c r="BB257" s="5"/>
      <c r="BC257" s="19"/>
      <c r="BD257" s="19"/>
      <c r="BE257" s="19"/>
      <c r="BF257" s="19"/>
      <c r="BG257" s="19"/>
      <c r="BH257" s="19"/>
      <c r="BI257" s="19"/>
      <c r="BJ257" s="19"/>
      <c r="BK257" s="13"/>
      <c r="BL257" s="5"/>
      <c r="BM257" s="5"/>
      <c r="BN257" s="19"/>
      <c r="BO257" s="17"/>
      <c r="BP257" s="19"/>
      <c r="BQ257" s="17"/>
      <c r="BR257" s="19"/>
      <c r="BS257" s="17">
        <f>M257+P257-Q257</f>
        <v>979.01785714285722</v>
      </c>
      <c r="BT257" s="5"/>
      <c r="BU257" s="23"/>
      <c r="BV257" s="23"/>
      <c r="BW257" s="24"/>
      <c r="BX257" s="5"/>
      <c r="BY257" s="5"/>
      <c r="BZ257" s="5"/>
      <c r="CA257" s="24"/>
      <c r="CB257" s="24"/>
      <c r="CC257" s="24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>
        <f t="shared" si="391"/>
        <v>1075</v>
      </c>
      <c r="CV257" s="25">
        <f t="shared" si="392"/>
        <v>0</v>
      </c>
      <c r="CW257" s="26"/>
      <c r="CX257" s="5"/>
      <c r="CY257" s="5"/>
    </row>
    <row r="258" spans="1:103" x14ac:dyDescent="0.2">
      <c r="A258" s="161"/>
      <c r="B258" s="162"/>
      <c r="C258" s="163"/>
      <c r="D258" s="164"/>
      <c r="E258" s="165"/>
      <c r="F258" s="166"/>
      <c r="G258" s="167"/>
      <c r="H258" s="168"/>
      <c r="I258" s="168"/>
      <c r="J258" s="169"/>
      <c r="K258" s="170"/>
      <c r="L258" s="171"/>
      <c r="M258" s="172">
        <f>SUM(M257:M257)</f>
        <v>1075</v>
      </c>
      <c r="N258" s="172">
        <f>M258</f>
        <v>1075</v>
      </c>
      <c r="O258" s="173" t="s">
        <v>111</v>
      </c>
      <c r="P258" s="172">
        <f>SUM(P257:P257)</f>
        <v>19.196428571428569</v>
      </c>
      <c r="Q258" s="172">
        <f>SUM(Q257:Q257)</f>
        <v>115.1785714285714</v>
      </c>
      <c r="R258" s="164"/>
      <c r="S258" s="172">
        <f t="shared" ref="S258:AD258" si="419">SUM(S257:S257)</f>
        <v>0</v>
      </c>
      <c r="T258" s="172">
        <f t="shared" si="419"/>
        <v>0</v>
      </c>
      <c r="U258" s="172">
        <f t="shared" si="419"/>
        <v>0</v>
      </c>
      <c r="V258" s="172">
        <f t="shared" si="419"/>
        <v>0</v>
      </c>
      <c r="W258" s="172">
        <f t="shared" si="419"/>
        <v>0</v>
      </c>
      <c r="X258" s="172">
        <f t="shared" si="419"/>
        <v>0</v>
      </c>
      <c r="Y258" s="172">
        <f t="shared" si="419"/>
        <v>0</v>
      </c>
      <c r="Z258" s="172">
        <f t="shared" si="419"/>
        <v>0</v>
      </c>
      <c r="AA258" s="172">
        <f t="shared" si="419"/>
        <v>0</v>
      </c>
      <c r="AB258" s="172">
        <f t="shared" si="419"/>
        <v>0</v>
      </c>
      <c r="AC258" s="172">
        <f t="shared" si="419"/>
        <v>0</v>
      </c>
      <c r="AD258" s="172">
        <f t="shared" si="419"/>
        <v>0</v>
      </c>
      <c r="AE258" s="164"/>
      <c r="AF258" s="172">
        <f>SUM(AF257:AF257)</f>
        <v>0</v>
      </c>
      <c r="AG258" s="164"/>
      <c r="AH258" s="172">
        <f t="shared" ref="AH258:AZ258" si="420">SUM(AH257:AH257)</f>
        <v>0</v>
      </c>
      <c r="AI258" s="172">
        <f t="shared" si="420"/>
        <v>0</v>
      </c>
      <c r="AJ258" s="172">
        <f t="shared" si="420"/>
        <v>0</v>
      </c>
      <c r="AK258" s="172">
        <f t="shared" si="420"/>
        <v>0</v>
      </c>
      <c r="AL258" s="172">
        <f t="shared" si="420"/>
        <v>0</v>
      </c>
      <c r="AM258" s="172">
        <f t="shared" si="420"/>
        <v>0</v>
      </c>
      <c r="AN258" s="172">
        <f t="shared" si="420"/>
        <v>0</v>
      </c>
      <c r="AO258" s="172">
        <f t="shared" si="420"/>
        <v>0</v>
      </c>
      <c r="AP258" s="172">
        <f t="shared" si="420"/>
        <v>0</v>
      </c>
      <c r="AQ258" s="172">
        <f t="shared" si="420"/>
        <v>0</v>
      </c>
      <c r="AR258" s="172">
        <f t="shared" si="420"/>
        <v>0</v>
      </c>
      <c r="AS258" s="172">
        <f t="shared" si="420"/>
        <v>0</v>
      </c>
      <c r="AT258" s="172">
        <f t="shared" si="420"/>
        <v>0</v>
      </c>
      <c r="AU258" s="172">
        <f t="shared" si="420"/>
        <v>0</v>
      </c>
      <c r="AV258" s="172">
        <f t="shared" si="420"/>
        <v>0</v>
      </c>
      <c r="AW258" s="172">
        <f t="shared" si="420"/>
        <v>0</v>
      </c>
      <c r="AX258" s="172">
        <f t="shared" si="420"/>
        <v>0</v>
      </c>
      <c r="AY258" s="172">
        <f t="shared" si="420"/>
        <v>0</v>
      </c>
      <c r="AZ258" s="172">
        <f t="shared" si="420"/>
        <v>0</v>
      </c>
      <c r="BA258" s="164"/>
      <c r="BB258" s="172">
        <f t="shared" ref="BB258:CT258" si="421">SUM(BB257:BB257)</f>
        <v>0</v>
      </c>
      <c r="BC258" s="172">
        <f t="shared" si="421"/>
        <v>0</v>
      </c>
      <c r="BD258" s="172">
        <f t="shared" si="421"/>
        <v>0</v>
      </c>
      <c r="BE258" s="172">
        <f t="shared" si="421"/>
        <v>0</v>
      </c>
      <c r="BF258" s="172">
        <f t="shared" si="421"/>
        <v>0</v>
      </c>
      <c r="BG258" s="172">
        <f t="shared" si="421"/>
        <v>0</v>
      </c>
      <c r="BH258" s="172">
        <f t="shared" si="421"/>
        <v>0</v>
      </c>
      <c r="BI258" s="172">
        <f t="shared" si="421"/>
        <v>0</v>
      </c>
      <c r="BJ258" s="172">
        <f t="shared" si="421"/>
        <v>0</v>
      </c>
      <c r="BK258" s="172">
        <f t="shared" si="421"/>
        <v>0</v>
      </c>
      <c r="BL258" s="172">
        <f t="shared" si="421"/>
        <v>0</v>
      </c>
      <c r="BM258" s="172">
        <f t="shared" si="421"/>
        <v>0</v>
      </c>
      <c r="BN258" s="172">
        <f t="shared" si="421"/>
        <v>0</v>
      </c>
      <c r="BO258" s="172">
        <f t="shared" si="421"/>
        <v>0</v>
      </c>
      <c r="BP258" s="172">
        <f t="shared" si="421"/>
        <v>0</v>
      </c>
      <c r="BQ258" s="172">
        <f t="shared" si="421"/>
        <v>0</v>
      </c>
      <c r="BR258" s="172">
        <f t="shared" si="421"/>
        <v>0</v>
      </c>
      <c r="BS258" s="172">
        <f>SUM(BS257:BS257)</f>
        <v>979.01785714285722</v>
      </c>
      <c r="BT258" s="172">
        <f t="shared" si="421"/>
        <v>0</v>
      </c>
      <c r="BU258" s="172">
        <f t="shared" si="421"/>
        <v>0</v>
      </c>
      <c r="BV258" s="172">
        <f t="shared" si="421"/>
        <v>0</v>
      </c>
      <c r="BW258" s="172">
        <f t="shared" si="421"/>
        <v>0</v>
      </c>
      <c r="BX258" s="172">
        <f t="shared" si="421"/>
        <v>0</v>
      </c>
      <c r="BY258" s="172">
        <f t="shared" si="421"/>
        <v>0</v>
      </c>
      <c r="BZ258" s="172">
        <f t="shared" si="421"/>
        <v>0</v>
      </c>
      <c r="CA258" s="172">
        <f t="shared" si="421"/>
        <v>0</v>
      </c>
      <c r="CB258" s="172">
        <f t="shared" si="421"/>
        <v>0</v>
      </c>
      <c r="CC258" s="172">
        <f t="shared" si="421"/>
        <v>0</v>
      </c>
      <c r="CD258" s="172">
        <f t="shared" si="421"/>
        <v>0</v>
      </c>
      <c r="CE258" s="172">
        <f t="shared" si="421"/>
        <v>0</v>
      </c>
      <c r="CF258" s="172">
        <f t="shared" si="421"/>
        <v>0</v>
      </c>
      <c r="CG258" s="172">
        <f t="shared" si="421"/>
        <v>0</v>
      </c>
      <c r="CH258" s="172">
        <f t="shared" si="421"/>
        <v>0</v>
      </c>
      <c r="CI258" s="172">
        <f t="shared" si="421"/>
        <v>0</v>
      </c>
      <c r="CJ258" s="172">
        <f t="shared" si="421"/>
        <v>0</v>
      </c>
      <c r="CK258" s="172">
        <f t="shared" si="421"/>
        <v>0</v>
      </c>
      <c r="CL258" s="172">
        <f t="shared" si="421"/>
        <v>0</v>
      </c>
      <c r="CM258" s="172">
        <f t="shared" si="421"/>
        <v>0</v>
      </c>
      <c r="CN258" s="172">
        <f t="shared" si="421"/>
        <v>0</v>
      </c>
      <c r="CO258" s="172">
        <f t="shared" si="421"/>
        <v>0</v>
      </c>
      <c r="CP258" s="172">
        <f t="shared" si="421"/>
        <v>0</v>
      </c>
      <c r="CQ258" s="172">
        <f t="shared" si="421"/>
        <v>0</v>
      </c>
      <c r="CR258" s="172">
        <f t="shared" si="421"/>
        <v>0</v>
      </c>
      <c r="CS258" s="172">
        <f t="shared" si="421"/>
        <v>0</v>
      </c>
      <c r="CT258" s="172">
        <f t="shared" si="421"/>
        <v>0</v>
      </c>
      <c r="CU258" s="17">
        <f t="shared" si="391"/>
        <v>1075</v>
      </c>
      <c r="CV258" s="25">
        <f t="shared" si="392"/>
        <v>0</v>
      </c>
      <c r="CW258" s="176"/>
      <c r="CX258" s="164"/>
      <c r="CY258" s="164"/>
    </row>
    <row r="259" spans="1:103" x14ac:dyDescent="0.2">
      <c r="A259" s="2">
        <v>45887</v>
      </c>
      <c r="B259" s="3" t="s">
        <v>330</v>
      </c>
      <c r="C259" s="4" t="s">
        <v>703</v>
      </c>
      <c r="D259" s="5" t="s">
        <v>329</v>
      </c>
      <c r="E259" s="6" t="s">
        <v>278</v>
      </c>
      <c r="F259" s="7" t="s">
        <v>584</v>
      </c>
      <c r="G259" s="8" t="s">
        <v>125</v>
      </c>
      <c r="H259" s="9" t="s">
        <v>585</v>
      </c>
      <c r="I259" s="10"/>
      <c r="J259" s="11" t="s">
        <v>280</v>
      </c>
      <c r="K259" s="12">
        <v>1</v>
      </c>
      <c r="L259" s="13">
        <v>438.8</v>
      </c>
      <c r="M259" s="14">
        <f t="shared" ref="M259" si="422">L259*K259</f>
        <v>438.8</v>
      </c>
      <c r="N259" s="15"/>
      <c r="O259" s="16" t="s">
        <v>111</v>
      </c>
      <c r="P259" s="17">
        <f>M259/1.12*0.02</f>
        <v>7.8357142857142854</v>
      </c>
      <c r="Q259" s="18">
        <f>M259/1.12*0.12</f>
        <v>47.014285714285712</v>
      </c>
      <c r="R259" s="5"/>
      <c r="S259" s="19"/>
      <c r="T259" s="19"/>
      <c r="U259" s="19"/>
      <c r="V259" s="19"/>
      <c r="W259" s="17"/>
      <c r="X259" s="20"/>
      <c r="Y259" s="19"/>
      <c r="Z259" s="19"/>
      <c r="AA259" s="19"/>
      <c r="AB259" s="19"/>
      <c r="AC259" s="19"/>
      <c r="AD259" s="19"/>
      <c r="AE259" s="5"/>
      <c r="AF259" s="19"/>
      <c r="AG259" s="5"/>
      <c r="AH259" s="17"/>
      <c r="AI259" s="19"/>
      <c r="AJ259" s="19"/>
      <c r="AK259" s="19"/>
      <c r="AL259" s="19"/>
      <c r="AM259" s="17"/>
      <c r="AN259" s="19"/>
      <c r="AO259" s="19"/>
      <c r="AP259" s="19"/>
      <c r="AQ259" s="19"/>
      <c r="AR259" s="19"/>
      <c r="AS259" s="21"/>
      <c r="AT259" s="5"/>
      <c r="AU259" s="19"/>
      <c r="AV259" s="5"/>
      <c r="AW259" s="22"/>
      <c r="AX259" s="19"/>
      <c r="AY259" s="5"/>
      <c r="AZ259" s="19"/>
      <c r="BA259" s="5"/>
      <c r="BB259" s="5"/>
      <c r="BC259" s="19"/>
      <c r="BD259" s="19"/>
      <c r="BE259" s="19"/>
      <c r="BF259" s="19"/>
      <c r="BG259" s="19"/>
      <c r="BH259" s="19"/>
      <c r="BI259" s="19"/>
      <c r="BJ259" s="19"/>
      <c r="BK259" s="13"/>
      <c r="BL259" s="5"/>
      <c r="BM259" s="5"/>
      <c r="BN259" s="19"/>
      <c r="BO259" s="17"/>
      <c r="BP259" s="19"/>
      <c r="BQ259" s="17"/>
      <c r="BR259" s="19"/>
      <c r="BS259" s="13"/>
      <c r="BT259" s="5"/>
      <c r="BU259" s="23"/>
      <c r="BV259" s="23"/>
      <c r="BW259" s="24"/>
      <c r="BX259" s="5"/>
      <c r="BY259" s="5"/>
      <c r="BZ259" s="5"/>
      <c r="CA259" s="24"/>
      <c r="CB259" s="24"/>
      <c r="CC259" s="24"/>
      <c r="CD259" s="17"/>
      <c r="CE259" s="17"/>
      <c r="CF259" s="17"/>
      <c r="CG259" s="17"/>
      <c r="CH259" s="17"/>
      <c r="CI259" s="17">
        <f>M259+P259-Q259</f>
        <v>399.62142857142857</v>
      </c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>
        <f t="shared" si="391"/>
        <v>438.8</v>
      </c>
      <c r="CV259" s="25">
        <f t="shared" si="392"/>
        <v>0</v>
      </c>
      <c r="CW259" s="26"/>
      <c r="CX259" s="5"/>
      <c r="CY259" s="5"/>
    </row>
    <row r="260" spans="1:103" x14ac:dyDescent="0.2">
      <c r="A260" s="161"/>
      <c r="B260" s="162"/>
      <c r="C260" s="163"/>
      <c r="D260" s="164"/>
      <c r="E260" s="165"/>
      <c r="F260" s="166"/>
      <c r="G260" s="167"/>
      <c r="H260" s="168"/>
      <c r="I260" s="168"/>
      <c r="J260" s="169"/>
      <c r="K260" s="170"/>
      <c r="L260" s="171"/>
      <c r="M260" s="172">
        <f>SUM(M259:M259)</f>
        <v>438.8</v>
      </c>
      <c r="N260" s="172">
        <f>M260</f>
        <v>438.8</v>
      </c>
      <c r="O260" s="173" t="s">
        <v>111</v>
      </c>
      <c r="P260" s="172">
        <f>SUM(P259:P259)</f>
        <v>7.8357142857142854</v>
      </c>
      <c r="Q260" s="172">
        <f>SUM(Q259:Q259)</f>
        <v>47.014285714285712</v>
      </c>
      <c r="R260" s="164"/>
      <c r="S260" s="172">
        <f t="shared" ref="S260:AD260" si="423">SUM(S259:S259)</f>
        <v>0</v>
      </c>
      <c r="T260" s="172">
        <f t="shared" si="423"/>
        <v>0</v>
      </c>
      <c r="U260" s="172">
        <f t="shared" si="423"/>
        <v>0</v>
      </c>
      <c r="V260" s="172">
        <f t="shared" si="423"/>
        <v>0</v>
      </c>
      <c r="W260" s="172">
        <f t="shared" si="423"/>
        <v>0</v>
      </c>
      <c r="X260" s="172">
        <f t="shared" si="423"/>
        <v>0</v>
      </c>
      <c r="Y260" s="172">
        <f t="shared" si="423"/>
        <v>0</v>
      </c>
      <c r="Z260" s="172">
        <f t="shared" si="423"/>
        <v>0</v>
      </c>
      <c r="AA260" s="172">
        <f t="shared" si="423"/>
        <v>0</v>
      </c>
      <c r="AB260" s="172">
        <f t="shared" si="423"/>
        <v>0</v>
      </c>
      <c r="AC260" s="172">
        <f t="shared" si="423"/>
        <v>0</v>
      </c>
      <c r="AD260" s="172">
        <f t="shared" si="423"/>
        <v>0</v>
      </c>
      <c r="AE260" s="164"/>
      <c r="AF260" s="172">
        <f>SUM(AF259:AF259)</f>
        <v>0</v>
      </c>
      <c r="AG260" s="164"/>
      <c r="AH260" s="172">
        <f t="shared" ref="AH260:AZ260" si="424">SUM(AH259:AH259)</f>
        <v>0</v>
      </c>
      <c r="AI260" s="172">
        <f t="shared" si="424"/>
        <v>0</v>
      </c>
      <c r="AJ260" s="172">
        <f t="shared" si="424"/>
        <v>0</v>
      </c>
      <c r="AK260" s="172">
        <f t="shared" si="424"/>
        <v>0</v>
      </c>
      <c r="AL260" s="172">
        <f t="shared" si="424"/>
        <v>0</v>
      </c>
      <c r="AM260" s="172">
        <f t="shared" si="424"/>
        <v>0</v>
      </c>
      <c r="AN260" s="172">
        <f t="shared" si="424"/>
        <v>0</v>
      </c>
      <c r="AO260" s="172">
        <f t="shared" si="424"/>
        <v>0</v>
      </c>
      <c r="AP260" s="172">
        <f t="shared" si="424"/>
        <v>0</v>
      </c>
      <c r="AQ260" s="172">
        <f t="shared" si="424"/>
        <v>0</v>
      </c>
      <c r="AR260" s="172">
        <f t="shared" si="424"/>
        <v>0</v>
      </c>
      <c r="AS260" s="172">
        <f t="shared" si="424"/>
        <v>0</v>
      </c>
      <c r="AT260" s="172">
        <f t="shared" si="424"/>
        <v>0</v>
      </c>
      <c r="AU260" s="172">
        <f t="shared" si="424"/>
        <v>0</v>
      </c>
      <c r="AV260" s="172">
        <f t="shared" si="424"/>
        <v>0</v>
      </c>
      <c r="AW260" s="172">
        <f t="shared" si="424"/>
        <v>0</v>
      </c>
      <c r="AX260" s="172">
        <f t="shared" si="424"/>
        <v>0</v>
      </c>
      <c r="AY260" s="172">
        <f t="shared" si="424"/>
        <v>0</v>
      </c>
      <c r="AZ260" s="172">
        <f t="shared" si="424"/>
        <v>0</v>
      </c>
      <c r="BA260" s="164"/>
      <c r="BB260" s="172">
        <f t="shared" ref="BB260:CT260" si="425">SUM(BB259:BB259)</f>
        <v>0</v>
      </c>
      <c r="BC260" s="172">
        <f t="shared" si="425"/>
        <v>0</v>
      </c>
      <c r="BD260" s="172">
        <f t="shared" si="425"/>
        <v>0</v>
      </c>
      <c r="BE260" s="172">
        <f t="shared" si="425"/>
        <v>0</v>
      </c>
      <c r="BF260" s="172">
        <f t="shared" si="425"/>
        <v>0</v>
      </c>
      <c r="BG260" s="172">
        <f t="shared" si="425"/>
        <v>0</v>
      </c>
      <c r="BH260" s="172">
        <f t="shared" si="425"/>
        <v>0</v>
      </c>
      <c r="BI260" s="172">
        <f t="shared" si="425"/>
        <v>0</v>
      </c>
      <c r="BJ260" s="172">
        <f t="shared" si="425"/>
        <v>0</v>
      </c>
      <c r="BK260" s="172">
        <f t="shared" si="425"/>
        <v>0</v>
      </c>
      <c r="BL260" s="172">
        <f t="shared" si="425"/>
        <v>0</v>
      </c>
      <c r="BM260" s="172">
        <f t="shared" si="425"/>
        <v>0</v>
      </c>
      <c r="BN260" s="172">
        <f t="shared" si="425"/>
        <v>0</v>
      </c>
      <c r="BO260" s="172">
        <f t="shared" si="425"/>
        <v>0</v>
      </c>
      <c r="BP260" s="172">
        <f t="shared" si="425"/>
        <v>0</v>
      </c>
      <c r="BQ260" s="172">
        <f t="shared" si="425"/>
        <v>0</v>
      </c>
      <c r="BR260" s="172">
        <f t="shared" si="425"/>
        <v>0</v>
      </c>
      <c r="BS260" s="172">
        <f t="shared" si="425"/>
        <v>0</v>
      </c>
      <c r="BT260" s="172">
        <f t="shared" si="425"/>
        <v>0</v>
      </c>
      <c r="BU260" s="172">
        <f t="shared" si="425"/>
        <v>0</v>
      </c>
      <c r="BV260" s="172">
        <f t="shared" si="425"/>
        <v>0</v>
      </c>
      <c r="BW260" s="172">
        <f t="shared" si="425"/>
        <v>0</v>
      </c>
      <c r="BX260" s="172">
        <f t="shared" si="425"/>
        <v>0</v>
      </c>
      <c r="BY260" s="172">
        <f t="shared" si="425"/>
        <v>0</v>
      </c>
      <c r="BZ260" s="172">
        <f t="shared" si="425"/>
        <v>0</v>
      </c>
      <c r="CA260" s="172">
        <f t="shared" si="425"/>
        <v>0</v>
      </c>
      <c r="CB260" s="172">
        <f t="shared" si="425"/>
        <v>0</v>
      </c>
      <c r="CC260" s="172">
        <f t="shared" si="425"/>
        <v>0</v>
      </c>
      <c r="CD260" s="172">
        <f t="shared" si="425"/>
        <v>0</v>
      </c>
      <c r="CE260" s="172">
        <f t="shared" si="425"/>
        <v>0</v>
      </c>
      <c r="CF260" s="172">
        <f t="shared" si="425"/>
        <v>0</v>
      </c>
      <c r="CG260" s="172">
        <f t="shared" si="425"/>
        <v>0</v>
      </c>
      <c r="CH260" s="172">
        <f t="shared" si="425"/>
        <v>0</v>
      </c>
      <c r="CI260" s="172">
        <f>SUM(CI259:CI259)</f>
        <v>399.62142857142857</v>
      </c>
      <c r="CJ260" s="172">
        <f t="shared" si="425"/>
        <v>0</v>
      </c>
      <c r="CK260" s="172">
        <f t="shared" si="425"/>
        <v>0</v>
      </c>
      <c r="CL260" s="172">
        <f t="shared" si="425"/>
        <v>0</v>
      </c>
      <c r="CM260" s="172">
        <f t="shared" si="425"/>
        <v>0</v>
      </c>
      <c r="CN260" s="172">
        <f t="shared" si="425"/>
        <v>0</v>
      </c>
      <c r="CO260" s="172">
        <f t="shared" si="425"/>
        <v>0</v>
      </c>
      <c r="CP260" s="172">
        <f t="shared" si="425"/>
        <v>0</v>
      </c>
      <c r="CQ260" s="172">
        <f t="shared" si="425"/>
        <v>0</v>
      </c>
      <c r="CR260" s="172">
        <f t="shared" si="425"/>
        <v>0</v>
      </c>
      <c r="CS260" s="172">
        <f t="shared" si="425"/>
        <v>0</v>
      </c>
      <c r="CT260" s="172">
        <f t="shared" si="425"/>
        <v>0</v>
      </c>
      <c r="CU260" s="17">
        <f t="shared" si="391"/>
        <v>438.8</v>
      </c>
      <c r="CV260" s="25">
        <f t="shared" si="392"/>
        <v>0</v>
      </c>
      <c r="CW260" s="176"/>
      <c r="CX260" s="164"/>
      <c r="CY260" s="164"/>
    </row>
    <row r="261" spans="1:103" x14ac:dyDescent="0.2">
      <c r="A261" s="2">
        <v>45889</v>
      </c>
      <c r="B261" s="3" t="s">
        <v>587</v>
      </c>
      <c r="C261" s="4" t="s">
        <v>704</v>
      </c>
      <c r="D261" s="5" t="s">
        <v>210</v>
      </c>
      <c r="E261" s="6" t="s">
        <v>588</v>
      </c>
      <c r="F261" s="7" t="s">
        <v>589</v>
      </c>
      <c r="G261" s="8"/>
      <c r="H261" s="9" t="s">
        <v>590</v>
      </c>
      <c r="I261" s="10"/>
      <c r="J261" s="11" t="s">
        <v>226</v>
      </c>
      <c r="K261" s="12">
        <v>1</v>
      </c>
      <c r="L261" s="13">
        <v>518</v>
      </c>
      <c r="M261" s="14">
        <f t="shared" ref="M261" si="426">L261*K261</f>
        <v>518</v>
      </c>
      <c r="N261" s="15"/>
      <c r="O261" s="16" t="s">
        <v>137</v>
      </c>
      <c r="P261" s="17"/>
      <c r="Q261" s="18"/>
      <c r="R261" s="5"/>
      <c r="S261" s="19"/>
      <c r="T261" s="19"/>
      <c r="U261" s="19"/>
      <c r="V261" s="19"/>
      <c r="W261" s="17"/>
      <c r="X261" s="20"/>
      <c r="Y261" s="19"/>
      <c r="Z261" s="19"/>
      <c r="AA261" s="19"/>
      <c r="AB261" s="19"/>
      <c r="AC261" s="19"/>
      <c r="AD261" s="19"/>
      <c r="AE261" s="5"/>
      <c r="AF261" s="19"/>
      <c r="AG261" s="5"/>
      <c r="AH261" s="17"/>
      <c r="AI261" s="19"/>
      <c r="AJ261" s="19"/>
      <c r="AK261" s="19"/>
      <c r="AL261" s="19"/>
      <c r="AM261" s="17"/>
      <c r="AN261" s="19"/>
      <c r="AO261" s="19"/>
      <c r="AP261" s="19"/>
      <c r="AQ261" s="19"/>
      <c r="AR261" s="19"/>
      <c r="AS261" s="21"/>
      <c r="AT261" s="5"/>
      <c r="AU261" s="19"/>
      <c r="AV261" s="5"/>
      <c r="AW261" s="22"/>
      <c r="AX261" s="19"/>
      <c r="AY261" s="5"/>
      <c r="AZ261" s="19"/>
      <c r="BA261" s="5"/>
      <c r="BB261" s="17">
        <f>M261+P261-Q261</f>
        <v>518</v>
      </c>
      <c r="BC261" s="19"/>
      <c r="BD261" s="19"/>
      <c r="BE261" s="19"/>
      <c r="BF261" s="19"/>
      <c r="BG261" s="19"/>
      <c r="BH261" s="19"/>
      <c r="BI261" s="19"/>
      <c r="BJ261" s="19"/>
      <c r="BK261" s="13"/>
      <c r="BL261" s="5"/>
      <c r="BM261" s="5"/>
      <c r="BN261" s="19"/>
      <c r="BO261" s="17"/>
      <c r="BP261" s="19"/>
      <c r="BQ261" s="17"/>
      <c r="BR261" s="19"/>
      <c r="BS261" s="13"/>
      <c r="BT261" s="5"/>
      <c r="BU261" s="23"/>
      <c r="BV261" s="23"/>
      <c r="BW261" s="24"/>
      <c r="BX261" s="5"/>
      <c r="BY261" s="5"/>
      <c r="BZ261" s="5"/>
      <c r="CA261" s="24"/>
      <c r="CB261" s="24"/>
      <c r="CC261" s="24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>
        <f t="shared" si="391"/>
        <v>518</v>
      </c>
      <c r="CV261" s="25">
        <f t="shared" si="392"/>
        <v>0</v>
      </c>
      <c r="CW261" s="26"/>
      <c r="CX261" s="5"/>
      <c r="CY261" s="5"/>
    </row>
    <row r="262" spans="1:103" x14ac:dyDescent="0.2">
      <c r="A262" s="161"/>
      <c r="B262" s="162"/>
      <c r="C262" s="163"/>
      <c r="D262" s="164"/>
      <c r="E262" s="165"/>
      <c r="F262" s="166"/>
      <c r="G262" s="167"/>
      <c r="H262" s="168"/>
      <c r="I262" s="168"/>
      <c r="J262" s="169"/>
      <c r="K262" s="170"/>
      <c r="L262" s="171"/>
      <c r="M262" s="172">
        <f>SUM(M261:M261)</f>
        <v>518</v>
      </c>
      <c r="N262" s="172">
        <f>M262</f>
        <v>518</v>
      </c>
      <c r="O262" s="173" t="s">
        <v>137</v>
      </c>
      <c r="P262" s="172"/>
      <c r="Q262" s="172"/>
      <c r="R262" s="164"/>
      <c r="S262" s="172">
        <f t="shared" ref="S262:AD262" si="427">SUM(S261:S261)</f>
        <v>0</v>
      </c>
      <c r="T262" s="172">
        <f t="shared" si="427"/>
        <v>0</v>
      </c>
      <c r="U262" s="172">
        <f t="shared" si="427"/>
        <v>0</v>
      </c>
      <c r="V262" s="172">
        <f t="shared" si="427"/>
        <v>0</v>
      </c>
      <c r="W262" s="172">
        <f t="shared" si="427"/>
        <v>0</v>
      </c>
      <c r="X262" s="172">
        <f t="shared" si="427"/>
        <v>0</v>
      </c>
      <c r="Y262" s="172">
        <f t="shared" si="427"/>
        <v>0</v>
      </c>
      <c r="Z262" s="172">
        <f t="shared" si="427"/>
        <v>0</v>
      </c>
      <c r="AA262" s="172">
        <f t="shared" si="427"/>
        <v>0</v>
      </c>
      <c r="AB262" s="172">
        <f t="shared" si="427"/>
        <v>0</v>
      </c>
      <c r="AC262" s="172">
        <f t="shared" si="427"/>
        <v>0</v>
      </c>
      <c r="AD262" s="172">
        <f t="shared" si="427"/>
        <v>0</v>
      </c>
      <c r="AE262" s="164"/>
      <c r="AF262" s="172">
        <f>SUM(AF261:AF261)</f>
        <v>0</v>
      </c>
      <c r="AG262" s="164"/>
      <c r="AH262" s="172">
        <f t="shared" ref="AH262:AZ262" si="428">SUM(AH261:AH261)</f>
        <v>0</v>
      </c>
      <c r="AI262" s="172">
        <f t="shared" si="428"/>
        <v>0</v>
      </c>
      <c r="AJ262" s="172">
        <f t="shared" si="428"/>
        <v>0</v>
      </c>
      <c r="AK262" s="172">
        <f t="shared" si="428"/>
        <v>0</v>
      </c>
      <c r="AL262" s="172">
        <f t="shared" si="428"/>
        <v>0</v>
      </c>
      <c r="AM262" s="172">
        <f t="shared" si="428"/>
        <v>0</v>
      </c>
      <c r="AN262" s="172">
        <f t="shared" si="428"/>
        <v>0</v>
      </c>
      <c r="AO262" s="172">
        <f t="shared" si="428"/>
        <v>0</v>
      </c>
      <c r="AP262" s="172">
        <f t="shared" si="428"/>
        <v>0</v>
      </c>
      <c r="AQ262" s="172">
        <f t="shared" si="428"/>
        <v>0</v>
      </c>
      <c r="AR262" s="172">
        <f t="shared" si="428"/>
        <v>0</v>
      </c>
      <c r="AS262" s="172">
        <f t="shared" si="428"/>
        <v>0</v>
      </c>
      <c r="AT262" s="172">
        <f t="shared" si="428"/>
        <v>0</v>
      </c>
      <c r="AU262" s="172">
        <f t="shared" si="428"/>
        <v>0</v>
      </c>
      <c r="AV262" s="172">
        <f t="shared" si="428"/>
        <v>0</v>
      </c>
      <c r="AW262" s="172">
        <f t="shared" si="428"/>
        <v>0</v>
      </c>
      <c r="AX262" s="172">
        <f t="shared" si="428"/>
        <v>0</v>
      </c>
      <c r="AY262" s="172">
        <f t="shared" si="428"/>
        <v>0</v>
      </c>
      <c r="AZ262" s="172">
        <f t="shared" si="428"/>
        <v>0</v>
      </c>
      <c r="BA262" s="164"/>
      <c r="BB262" s="172">
        <f>SUM(BB261:BB261)</f>
        <v>518</v>
      </c>
      <c r="BC262" s="172">
        <f t="shared" ref="BC262:CT262" si="429">SUM(BC261:BC261)</f>
        <v>0</v>
      </c>
      <c r="BD262" s="172">
        <f t="shared" si="429"/>
        <v>0</v>
      </c>
      <c r="BE262" s="172">
        <f t="shared" si="429"/>
        <v>0</v>
      </c>
      <c r="BF262" s="172">
        <f t="shared" si="429"/>
        <v>0</v>
      </c>
      <c r="BG262" s="172">
        <f t="shared" si="429"/>
        <v>0</v>
      </c>
      <c r="BH262" s="172">
        <f t="shared" si="429"/>
        <v>0</v>
      </c>
      <c r="BI262" s="172">
        <f t="shared" si="429"/>
        <v>0</v>
      </c>
      <c r="BJ262" s="172">
        <f t="shared" si="429"/>
        <v>0</v>
      </c>
      <c r="BK262" s="172">
        <f t="shared" si="429"/>
        <v>0</v>
      </c>
      <c r="BL262" s="172">
        <f t="shared" si="429"/>
        <v>0</v>
      </c>
      <c r="BM262" s="172">
        <f t="shared" si="429"/>
        <v>0</v>
      </c>
      <c r="BN262" s="172">
        <f t="shared" si="429"/>
        <v>0</v>
      </c>
      <c r="BO262" s="172">
        <f t="shared" si="429"/>
        <v>0</v>
      </c>
      <c r="BP262" s="172">
        <f t="shared" si="429"/>
        <v>0</v>
      </c>
      <c r="BQ262" s="172">
        <f t="shared" si="429"/>
        <v>0</v>
      </c>
      <c r="BR262" s="172">
        <f t="shared" si="429"/>
        <v>0</v>
      </c>
      <c r="BS262" s="172">
        <f t="shared" si="429"/>
        <v>0</v>
      </c>
      <c r="BT262" s="172">
        <f t="shared" si="429"/>
        <v>0</v>
      </c>
      <c r="BU262" s="172">
        <f t="shared" si="429"/>
        <v>0</v>
      </c>
      <c r="BV262" s="172">
        <f t="shared" si="429"/>
        <v>0</v>
      </c>
      <c r="BW262" s="172">
        <f t="shared" si="429"/>
        <v>0</v>
      </c>
      <c r="BX262" s="172">
        <f t="shared" si="429"/>
        <v>0</v>
      </c>
      <c r="BY262" s="172">
        <f t="shared" si="429"/>
        <v>0</v>
      </c>
      <c r="BZ262" s="172">
        <f t="shared" si="429"/>
        <v>0</v>
      </c>
      <c r="CA262" s="172">
        <f t="shared" si="429"/>
        <v>0</v>
      </c>
      <c r="CB262" s="172">
        <f t="shared" si="429"/>
        <v>0</v>
      </c>
      <c r="CC262" s="172">
        <f t="shared" si="429"/>
        <v>0</v>
      </c>
      <c r="CD262" s="172">
        <f t="shared" si="429"/>
        <v>0</v>
      </c>
      <c r="CE262" s="172">
        <f t="shared" si="429"/>
        <v>0</v>
      </c>
      <c r="CF262" s="172">
        <f t="shared" si="429"/>
        <v>0</v>
      </c>
      <c r="CG262" s="172">
        <f t="shared" si="429"/>
        <v>0</v>
      </c>
      <c r="CH262" s="172">
        <f t="shared" si="429"/>
        <v>0</v>
      </c>
      <c r="CI262" s="172">
        <f t="shared" si="429"/>
        <v>0</v>
      </c>
      <c r="CJ262" s="172">
        <f t="shared" si="429"/>
        <v>0</v>
      </c>
      <c r="CK262" s="172">
        <f t="shared" si="429"/>
        <v>0</v>
      </c>
      <c r="CL262" s="172">
        <f t="shared" si="429"/>
        <v>0</v>
      </c>
      <c r="CM262" s="172">
        <f t="shared" si="429"/>
        <v>0</v>
      </c>
      <c r="CN262" s="172">
        <f t="shared" si="429"/>
        <v>0</v>
      </c>
      <c r="CO262" s="172">
        <f t="shared" si="429"/>
        <v>0</v>
      </c>
      <c r="CP262" s="172">
        <f t="shared" si="429"/>
        <v>0</v>
      </c>
      <c r="CQ262" s="172">
        <f t="shared" si="429"/>
        <v>0</v>
      </c>
      <c r="CR262" s="172">
        <f t="shared" si="429"/>
        <v>0</v>
      </c>
      <c r="CS262" s="172">
        <f t="shared" si="429"/>
        <v>0</v>
      </c>
      <c r="CT262" s="172">
        <f t="shared" si="429"/>
        <v>0</v>
      </c>
      <c r="CU262" s="17">
        <f t="shared" si="391"/>
        <v>518</v>
      </c>
      <c r="CV262" s="25">
        <f t="shared" si="392"/>
        <v>0</v>
      </c>
      <c r="CW262" s="176"/>
      <c r="CX262" s="164"/>
      <c r="CY262" s="164"/>
    </row>
    <row r="263" spans="1:103" x14ac:dyDescent="0.2">
      <c r="A263" s="2">
        <v>45889</v>
      </c>
      <c r="B263" s="3" t="s">
        <v>591</v>
      </c>
      <c r="C263" s="4" t="s">
        <v>705</v>
      </c>
      <c r="D263" s="5" t="s">
        <v>133</v>
      </c>
      <c r="E263" s="6" t="s">
        <v>592</v>
      </c>
      <c r="F263" s="7" t="s">
        <v>593</v>
      </c>
      <c r="G263" s="8" t="s">
        <v>594</v>
      </c>
      <c r="H263" s="9">
        <v>1036</v>
      </c>
      <c r="I263" s="10"/>
      <c r="J263" s="11" t="s">
        <v>45</v>
      </c>
      <c r="K263" s="12">
        <v>1</v>
      </c>
      <c r="L263" s="13">
        <v>2000</v>
      </c>
      <c r="M263" s="14">
        <f t="shared" ref="M263" si="430">L263*K263</f>
        <v>2000</v>
      </c>
      <c r="N263" s="15"/>
      <c r="O263" s="16" t="s">
        <v>137</v>
      </c>
      <c r="P263" s="17">
        <f>M263*0.02</f>
        <v>40</v>
      </c>
      <c r="Q263" s="18"/>
      <c r="R263" s="5"/>
      <c r="S263" s="19"/>
      <c r="T263" s="19"/>
      <c r="U263" s="19"/>
      <c r="V263" s="19"/>
      <c r="W263" s="17"/>
      <c r="X263" s="20"/>
      <c r="Y263" s="19"/>
      <c r="Z263" s="19"/>
      <c r="AA263" s="19"/>
      <c r="AB263" s="19"/>
      <c r="AC263" s="19"/>
      <c r="AD263" s="19"/>
      <c r="AE263" s="5"/>
      <c r="AF263" s="19"/>
      <c r="AG263" s="5"/>
      <c r="AH263" s="17"/>
      <c r="AI263" s="19"/>
      <c r="AJ263" s="19"/>
      <c r="AK263" s="19"/>
      <c r="AL263" s="19"/>
      <c r="AM263" s="17"/>
      <c r="AN263" s="19"/>
      <c r="AO263" s="19"/>
      <c r="AP263" s="19"/>
      <c r="AQ263" s="19"/>
      <c r="AR263" s="19"/>
      <c r="AS263" s="21"/>
      <c r="AT263" s="5"/>
      <c r="AU263" s="19"/>
      <c r="AV263" s="5"/>
      <c r="AW263" s="22"/>
      <c r="AX263" s="19"/>
      <c r="AY263" s="5"/>
      <c r="AZ263" s="19"/>
      <c r="BA263" s="5"/>
      <c r="BB263" s="5"/>
      <c r="BC263" s="19"/>
      <c r="BD263" s="19"/>
      <c r="BE263" s="19"/>
      <c r="BF263" s="19"/>
      <c r="BG263" s="19"/>
      <c r="BH263" s="19"/>
      <c r="BI263" s="19"/>
      <c r="BJ263" s="19"/>
      <c r="BK263" s="13"/>
      <c r="BL263" s="5"/>
      <c r="BM263" s="5"/>
      <c r="BN263" s="19"/>
      <c r="BO263" s="17"/>
      <c r="BP263" s="19"/>
      <c r="BQ263" s="17"/>
      <c r="BR263" s="19"/>
      <c r="BS263" s="13"/>
      <c r="BT263" s="5"/>
      <c r="BU263" s="23"/>
      <c r="BV263" s="23"/>
      <c r="BW263" s="24"/>
      <c r="BX263" s="5"/>
      <c r="BY263" s="17">
        <f>M263+P263-Q263</f>
        <v>2040</v>
      </c>
      <c r="BZ263" s="5"/>
      <c r="CA263" s="24"/>
      <c r="CB263" s="24"/>
      <c r="CC263" s="24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>
        <f t="shared" si="391"/>
        <v>2000</v>
      </c>
      <c r="CV263" s="25">
        <f t="shared" si="392"/>
        <v>0</v>
      </c>
      <c r="CW263" s="26"/>
      <c r="CX263" s="5"/>
      <c r="CY263" s="5"/>
    </row>
    <row r="264" spans="1:103" x14ac:dyDescent="0.2">
      <c r="A264" s="161"/>
      <c r="B264" s="162"/>
      <c r="C264" s="163"/>
      <c r="D264" s="164"/>
      <c r="E264" s="165"/>
      <c r="F264" s="166"/>
      <c r="G264" s="167"/>
      <c r="H264" s="168"/>
      <c r="I264" s="168"/>
      <c r="J264" s="169"/>
      <c r="K264" s="170"/>
      <c r="L264" s="171"/>
      <c r="M264" s="172">
        <f>SUM(M263:M263)</f>
        <v>2000</v>
      </c>
      <c r="N264" s="172">
        <f>M264</f>
        <v>2000</v>
      </c>
      <c r="O264" s="173" t="s">
        <v>137</v>
      </c>
      <c r="P264" s="172">
        <f>SUM(P263:P263)</f>
        <v>40</v>
      </c>
      <c r="Q264" s="172"/>
      <c r="R264" s="164"/>
      <c r="S264" s="172">
        <f t="shared" ref="S264:AD264" si="431">SUM(S263:S263)</f>
        <v>0</v>
      </c>
      <c r="T264" s="172">
        <f t="shared" si="431"/>
        <v>0</v>
      </c>
      <c r="U264" s="172">
        <f t="shared" si="431"/>
        <v>0</v>
      </c>
      <c r="V264" s="172">
        <f t="shared" si="431"/>
        <v>0</v>
      </c>
      <c r="W264" s="172">
        <f t="shared" si="431"/>
        <v>0</v>
      </c>
      <c r="X264" s="172">
        <f t="shared" si="431"/>
        <v>0</v>
      </c>
      <c r="Y264" s="172">
        <f t="shared" si="431"/>
        <v>0</v>
      </c>
      <c r="Z264" s="172">
        <f t="shared" si="431"/>
        <v>0</v>
      </c>
      <c r="AA264" s="172">
        <f t="shared" si="431"/>
        <v>0</v>
      </c>
      <c r="AB264" s="172">
        <f t="shared" si="431"/>
        <v>0</v>
      </c>
      <c r="AC264" s="172">
        <f t="shared" si="431"/>
        <v>0</v>
      </c>
      <c r="AD264" s="172">
        <f t="shared" si="431"/>
        <v>0</v>
      </c>
      <c r="AE264" s="164"/>
      <c r="AF264" s="172">
        <f>SUM(AF263:AF263)</f>
        <v>0</v>
      </c>
      <c r="AG264" s="164"/>
      <c r="AH264" s="172">
        <f t="shared" ref="AH264:AZ264" si="432">SUM(AH263:AH263)</f>
        <v>0</v>
      </c>
      <c r="AI264" s="172">
        <f t="shared" si="432"/>
        <v>0</v>
      </c>
      <c r="AJ264" s="172">
        <f t="shared" si="432"/>
        <v>0</v>
      </c>
      <c r="AK264" s="172">
        <f t="shared" si="432"/>
        <v>0</v>
      </c>
      <c r="AL264" s="172">
        <f t="shared" si="432"/>
        <v>0</v>
      </c>
      <c r="AM264" s="172">
        <f t="shared" si="432"/>
        <v>0</v>
      </c>
      <c r="AN264" s="172">
        <f t="shared" si="432"/>
        <v>0</v>
      </c>
      <c r="AO264" s="172">
        <f t="shared" si="432"/>
        <v>0</v>
      </c>
      <c r="AP264" s="172">
        <f t="shared" si="432"/>
        <v>0</v>
      </c>
      <c r="AQ264" s="172">
        <f t="shared" si="432"/>
        <v>0</v>
      </c>
      <c r="AR264" s="172">
        <f t="shared" si="432"/>
        <v>0</v>
      </c>
      <c r="AS264" s="172">
        <f t="shared" si="432"/>
        <v>0</v>
      </c>
      <c r="AT264" s="172">
        <f t="shared" si="432"/>
        <v>0</v>
      </c>
      <c r="AU264" s="172">
        <f t="shared" si="432"/>
        <v>0</v>
      </c>
      <c r="AV264" s="172">
        <f t="shared" si="432"/>
        <v>0</v>
      </c>
      <c r="AW264" s="172">
        <f t="shared" si="432"/>
        <v>0</v>
      </c>
      <c r="AX264" s="172">
        <f t="shared" si="432"/>
        <v>0</v>
      </c>
      <c r="AY264" s="172">
        <f t="shared" si="432"/>
        <v>0</v>
      </c>
      <c r="AZ264" s="172">
        <f t="shared" si="432"/>
        <v>0</v>
      </c>
      <c r="BA264" s="164"/>
      <c r="BB264" s="172">
        <f t="shared" ref="BB264:CT264" si="433">SUM(BB263:BB263)</f>
        <v>0</v>
      </c>
      <c r="BC264" s="172">
        <f t="shared" si="433"/>
        <v>0</v>
      </c>
      <c r="BD264" s="172">
        <f t="shared" si="433"/>
        <v>0</v>
      </c>
      <c r="BE264" s="172">
        <f t="shared" si="433"/>
        <v>0</v>
      </c>
      <c r="BF264" s="172">
        <f t="shared" si="433"/>
        <v>0</v>
      </c>
      <c r="BG264" s="172">
        <f t="shared" si="433"/>
        <v>0</v>
      </c>
      <c r="BH264" s="172">
        <f t="shared" si="433"/>
        <v>0</v>
      </c>
      <c r="BI264" s="172">
        <f t="shared" si="433"/>
        <v>0</v>
      </c>
      <c r="BJ264" s="172">
        <f t="shared" si="433"/>
        <v>0</v>
      </c>
      <c r="BK264" s="172">
        <f t="shared" si="433"/>
        <v>0</v>
      </c>
      <c r="BL264" s="172">
        <f t="shared" si="433"/>
        <v>0</v>
      </c>
      <c r="BM264" s="172">
        <f t="shared" si="433"/>
        <v>0</v>
      </c>
      <c r="BN264" s="172">
        <f t="shared" si="433"/>
        <v>0</v>
      </c>
      <c r="BO264" s="172">
        <f t="shared" si="433"/>
        <v>0</v>
      </c>
      <c r="BP264" s="172">
        <f t="shared" si="433"/>
        <v>0</v>
      </c>
      <c r="BQ264" s="172">
        <f t="shared" si="433"/>
        <v>0</v>
      </c>
      <c r="BR264" s="172">
        <f t="shared" si="433"/>
        <v>0</v>
      </c>
      <c r="BS264" s="172">
        <f t="shared" si="433"/>
        <v>0</v>
      </c>
      <c r="BT264" s="172">
        <f t="shared" si="433"/>
        <v>0</v>
      </c>
      <c r="BU264" s="172">
        <f t="shared" si="433"/>
        <v>0</v>
      </c>
      <c r="BV264" s="172">
        <f t="shared" si="433"/>
        <v>0</v>
      </c>
      <c r="BW264" s="172">
        <f t="shared" si="433"/>
        <v>0</v>
      </c>
      <c r="BX264" s="172">
        <f t="shared" si="433"/>
        <v>0</v>
      </c>
      <c r="BY264" s="172">
        <f>SUM(BY263:BY263)</f>
        <v>2040</v>
      </c>
      <c r="BZ264" s="172">
        <f t="shared" si="433"/>
        <v>0</v>
      </c>
      <c r="CA264" s="172">
        <f t="shared" si="433"/>
        <v>0</v>
      </c>
      <c r="CB264" s="172">
        <f t="shared" si="433"/>
        <v>0</v>
      </c>
      <c r="CC264" s="172">
        <f t="shared" si="433"/>
        <v>0</v>
      </c>
      <c r="CD264" s="172">
        <f t="shared" si="433"/>
        <v>0</v>
      </c>
      <c r="CE264" s="172">
        <f t="shared" si="433"/>
        <v>0</v>
      </c>
      <c r="CF264" s="172">
        <f t="shared" si="433"/>
        <v>0</v>
      </c>
      <c r="CG264" s="172">
        <f t="shared" si="433"/>
        <v>0</v>
      </c>
      <c r="CH264" s="172">
        <f t="shared" si="433"/>
        <v>0</v>
      </c>
      <c r="CI264" s="172">
        <f t="shared" si="433"/>
        <v>0</v>
      </c>
      <c r="CJ264" s="172">
        <f t="shared" si="433"/>
        <v>0</v>
      </c>
      <c r="CK264" s="172">
        <f t="shared" si="433"/>
        <v>0</v>
      </c>
      <c r="CL264" s="172">
        <f t="shared" si="433"/>
        <v>0</v>
      </c>
      <c r="CM264" s="172">
        <f t="shared" si="433"/>
        <v>0</v>
      </c>
      <c r="CN264" s="172">
        <f t="shared" si="433"/>
        <v>0</v>
      </c>
      <c r="CO264" s="172">
        <f t="shared" si="433"/>
        <v>0</v>
      </c>
      <c r="CP264" s="172">
        <f t="shared" si="433"/>
        <v>0</v>
      </c>
      <c r="CQ264" s="172">
        <f t="shared" si="433"/>
        <v>0</v>
      </c>
      <c r="CR264" s="172">
        <f t="shared" si="433"/>
        <v>0</v>
      </c>
      <c r="CS264" s="172">
        <f t="shared" si="433"/>
        <v>0</v>
      </c>
      <c r="CT264" s="172">
        <f t="shared" si="433"/>
        <v>0</v>
      </c>
      <c r="CU264" s="17">
        <f t="shared" si="391"/>
        <v>2000</v>
      </c>
      <c r="CV264" s="25">
        <f t="shared" si="392"/>
        <v>0</v>
      </c>
      <c r="CW264" s="176"/>
      <c r="CX264" s="164"/>
      <c r="CY264" s="164"/>
    </row>
    <row r="265" spans="1:103" x14ac:dyDescent="0.2">
      <c r="A265" s="2">
        <v>45890</v>
      </c>
      <c r="B265" s="3" t="s">
        <v>595</v>
      </c>
      <c r="C265" s="4" t="s">
        <v>706</v>
      </c>
      <c r="D265" s="5" t="s">
        <v>570</v>
      </c>
      <c r="E265" s="6" t="s">
        <v>571</v>
      </c>
      <c r="F265" s="7" t="s">
        <v>575</v>
      </c>
      <c r="G265" s="8" t="s">
        <v>572</v>
      </c>
      <c r="H265" s="9">
        <v>2966</v>
      </c>
      <c r="I265" s="10"/>
      <c r="J265" s="11" t="s">
        <v>596</v>
      </c>
      <c r="K265" s="12">
        <v>1</v>
      </c>
      <c r="L265" s="13">
        <v>600</v>
      </c>
      <c r="M265" s="14">
        <f t="shared" ref="M265" si="434">L265*K265</f>
        <v>600</v>
      </c>
      <c r="N265" s="15"/>
      <c r="O265" s="16" t="s">
        <v>137</v>
      </c>
      <c r="P265" s="17">
        <f>M265*0.02</f>
        <v>12</v>
      </c>
      <c r="Q265" s="18"/>
      <c r="R265" s="5"/>
      <c r="S265" s="19"/>
      <c r="T265" s="19"/>
      <c r="U265" s="19"/>
      <c r="V265" s="19"/>
      <c r="W265" s="17"/>
      <c r="X265" s="20"/>
      <c r="Y265" s="19"/>
      <c r="Z265" s="19"/>
      <c r="AA265" s="19"/>
      <c r="AB265" s="19"/>
      <c r="AC265" s="19"/>
      <c r="AD265" s="19"/>
      <c r="AE265" s="5"/>
      <c r="AF265" s="19"/>
      <c r="AG265" s="5"/>
      <c r="AH265" s="17"/>
      <c r="AI265" s="19"/>
      <c r="AJ265" s="19"/>
      <c r="AK265" s="19"/>
      <c r="AL265" s="19"/>
      <c r="AM265" s="17"/>
      <c r="AN265" s="19"/>
      <c r="AO265" s="19"/>
      <c r="AP265" s="19"/>
      <c r="AQ265" s="19"/>
      <c r="AR265" s="19"/>
      <c r="AS265" s="21"/>
      <c r="AT265" s="5"/>
      <c r="AU265" s="19"/>
      <c r="AV265" s="5"/>
      <c r="AW265" s="17">
        <f>M265+P265-Q265</f>
        <v>612</v>
      </c>
      <c r="AX265" s="19"/>
      <c r="AY265" s="5"/>
      <c r="AZ265" s="19"/>
      <c r="BA265" s="5"/>
      <c r="BB265" s="5"/>
      <c r="BC265" s="19"/>
      <c r="BD265" s="19"/>
      <c r="BE265" s="19"/>
      <c r="BF265" s="19"/>
      <c r="BG265" s="19"/>
      <c r="BH265" s="19"/>
      <c r="BI265" s="19"/>
      <c r="BJ265" s="19"/>
      <c r="BK265" s="13"/>
      <c r="BL265" s="5"/>
      <c r="BM265" s="5"/>
      <c r="BN265" s="19"/>
      <c r="BO265" s="17"/>
      <c r="BP265" s="19"/>
      <c r="BQ265" s="17"/>
      <c r="BR265" s="19"/>
      <c r="BS265" s="13"/>
      <c r="BT265" s="5"/>
      <c r="BU265" s="23"/>
      <c r="BV265" s="23"/>
      <c r="BW265" s="24"/>
      <c r="BX265" s="5"/>
      <c r="BY265" s="5"/>
      <c r="BZ265" s="5"/>
      <c r="CA265" s="24"/>
      <c r="CB265" s="24"/>
      <c r="CC265" s="24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>
        <f t="shared" si="391"/>
        <v>600</v>
      </c>
      <c r="CV265" s="25">
        <f t="shared" si="392"/>
        <v>0</v>
      </c>
      <c r="CW265" s="26"/>
      <c r="CX265" s="5"/>
      <c r="CY265" s="5"/>
    </row>
    <row r="266" spans="1:103" x14ac:dyDescent="0.2">
      <c r="A266" s="27"/>
      <c r="B266" s="28"/>
      <c r="C266" s="29"/>
      <c r="D266" s="30"/>
      <c r="E266" s="31"/>
      <c r="F266" s="32"/>
      <c r="G266" s="33"/>
      <c r="H266" s="34"/>
      <c r="I266" s="34"/>
      <c r="J266" s="35"/>
      <c r="K266" s="36"/>
      <c r="L266" s="37"/>
      <c r="M266" s="38">
        <f>SUM(M265:M265)</f>
        <v>600</v>
      </c>
      <c r="N266" s="38"/>
      <c r="O266" s="39" t="s">
        <v>137</v>
      </c>
      <c r="P266" s="38">
        <f>SUM(P265:P265)</f>
        <v>12</v>
      </c>
      <c r="Q266" s="38"/>
      <c r="R266" s="30"/>
      <c r="S266" s="38">
        <f t="shared" ref="S266:AD266" si="435">SUM(S265:S265)</f>
        <v>0</v>
      </c>
      <c r="T266" s="38">
        <f t="shared" si="435"/>
        <v>0</v>
      </c>
      <c r="U266" s="38">
        <f t="shared" si="435"/>
        <v>0</v>
      </c>
      <c r="V266" s="38">
        <f t="shared" si="435"/>
        <v>0</v>
      </c>
      <c r="W266" s="38">
        <f t="shared" si="435"/>
        <v>0</v>
      </c>
      <c r="X266" s="38">
        <f t="shared" si="435"/>
        <v>0</v>
      </c>
      <c r="Y266" s="38">
        <f t="shared" si="435"/>
        <v>0</v>
      </c>
      <c r="Z266" s="38">
        <f t="shared" si="435"/>
        <v>0</v>
      </c>
      <c r="AA266" s="38">
        <f t="shared" si="435"/>
        <v>0</v>
      </c>
      <c r="AB266" s="38">
        <f t="shared" si="435"/>
        <v>0</v>
      </c>
      <c r="AC266" s="38">
        <f t="shared" si="435"/>
        <v>0</v>
      </c>
      <c r="AD266" s="38">
        <f t="shared" si="435"/>
        <v>0</v>
      </c>
      <c r="AE266" s="30"/>
      <c r="AF266" s="38">
        <f>SUM(AF265:AF265)</f>
        <v>0</v>
      </c>
      <c r="AG266" s="30"/>
      <c r="AH266" s="38">
        <f t="shared" ref="AH266:AZ266" si="436">SUM(AH265:AH265)</f>
        <v>0</v>
      </c>
      <c r="AI266" s="38">
        <f t="shared" si="436"/>
        <v>0</v>
      </c>
      <c r="AJ266" s="38">
        <f t="shared" si="436"/>
        <v>0</v>
      </c>
      <c r="AK266" s="38">
        <f t="shared" si="436"/>
        <v>0</v>
      </c>
      <c r="AL266" s="38">
        <f t="shared" si="436"/>
        <v>0</v>
      </c>
      <c r="AM266" s="38">
        <f t="shared" si="436"/>
        <v>0</v>
      </c>
      <c r="AN266" s="38">
        <f t="shared" si="436"/>
        <v>0</v>
      </c>
      <c r="AO266" s="38">
        <f t="shared" si="436"/>
        <v>0</v>
      </c>
      <c r="AP266" s="38">
        <f t="shared" si="436"/>
        <v>0</v>
      </c>
      <c r="AQ266" s="38">
        <f t="shared" si="436"/>
        <v>0</v>
      </c>
      <c r="AR266" s="38">
        <f t="shared" si="436"/>
        <v>0</v>
      </c>
      <c r="AS266" s="38">
        <f t="shared" si="436"/>
        <v>0</v>
      </c>
      <c r="AT266" s="38">
        <f t="shared" si="436"/>
        <v>0</v>
      </c>
      <c r="AU266" s="38">
        <f t="shared" si="436"/>
        <v>0</v>
      </c>
      <c r="AV266" s="38">
        <f t="shared" si="436"/>
        <v>0</v>
      </c>
      <c r="AW266" s="38">
        <f>SUM(AW265:AW265)</f>
        <v>612</v>
      </c>
      <c r="AX266" s="38">
        <f t="shared" si="436"/>
        <v>0</v>
      </c>
      <c r="AY266" s="38">
        <f t="shared" si="436"/>
        <v>0</v>
      </c>
      <c r="AZ266" s="38">
        <f t="shared" si="436"/>
        <v>0</v>
      </c>
      <c r="BA266" s="30"/>
      <c r="BB266" s="38">
        <f t="shared" ref="BB266:CT266" si="437">SUM(BB265:BB265)</f>
        <v>0</v>
      </c>
      <c r="BC266" s="38">
        <f t="shared" si="437"/>
        <v>0</v>
      </c>
      <c r="BD266" s="38">
        <f t="shared" si="437"/>
        <v>0</v>
      </c>
      <c r="BE266" s="38">
        <f t="shared" si="437"/>
        <v>0</v>
      </c>
      <c r="BF266" s="38">
        <f t="shared" si="437"/>
        <v>0</v>
      </c>
      <c r="BG266" s="38">
        <f t="shared" si="437"/>
        <v>0</v>
      </c>
      <c r="BH266" s="38">
        <f t="shared" si="437"/>
        <v>0</v>
      </c>
      <c r="BI266" s="38">
        <f t="shared" si="437"/>
        <v>0</v>
      </c>
      <c r="BJ266" s="38">
        <f t="shared" si="437"/>
        <v>0</v>
      </c>
      <c r="BK266" s="38">
        <f t="shared" si="437"/>
        <v>0</v>
      </c>
      <c r="BL266" s="38">
        <f t="shared" si="437"/>
        <v>0</v>
      </c>
      <c r="BM266" s="38">
        <f t="shared" si="437"/>
        <v>0</v>
      </c>
      <c r="BN266" s="38">
        <f t="shared" si="437"/>
        <v>0</v>
      </c>
      <c r="BO266" s="38">
        <f t="shared" si="437"/>
        <v>0</v>
      </c>
      <c r="BP266" s="38">
        <f t="shared" si="437"/>
        <v>0</v>
      </c>
      <c r="BQ266" s="38">
        <f t="shared" si="437"/>
        <v>0</v>
      </c>
      <c r="BR266" s="38">
        <f t="shared" si="437"/>
        <v>0</v>
      </c>
      <c r="BS266" s="38">
        <f t="shared" si="437"/>
        <v>0</v>
      </c>
      <c r="BT266" s="38">
        <f t="shared" si="437"/>
        <v>0</v>
      </c>
      <c r="BU266" s="38">
        <f t="shared" si="437"/>
        <v>0</v>
      </c>
      <c r="BV266" s="38">
        <f t="shared" si="437"/>
        <v>0</v>
      </c>
      <c r="BW266" s="38">
        <f t="shared" si="437"/>
        <v>0</v>
      </c>
      <c r="BX266" s="38">
        <f t="shared" si="437"/>
        <v>0</v>
      </c>
      <c r="BY266" s="38">
        <f t="shared" si="437"/>
        <v>0</v>
      </c>
      <c r="BZ266" s="38">
        <f t="shared" si="437"/>
        <v>0</v>
      </c>
      <c r="CA266" s="38">
        <f t="shared" si="437"/>
        <v>0</v>
      </c>
      <c r="CB266" s="38">
        <f t="shared" si="437"/>
        <v>0</v>
      </c>
      <c r="CC266" s="38">
        <f t="shared" si="437"/>
        <v>0</v>
      </c>
      <c r="CD266" s="38">
        <f t="shared" si="437"/>
        <v>0</v>
      </c>
      <c r="CE266" s="38">
        <f t="shared" si="437"/>
        <v>0</v>
      </c>
      <c r="CF266" s="38">
        <f t="shared" si="437"/>
        <v>0</v>
      </c>
      <c r="CG266" s="38">
        <f t="shared" si="437"/>
        <v>0</v>
      </c>
      <c r="CH266" s="38">
        <f t="shared" si="437"/>
        <v>0</v>
      </c>
      <c r="CI266" s="38">
        <f t="shared" si="437"/>
        <v>0</v>
      </c>
      <c r="CJ266" s="38">
        <f t="shared" si="437"/>
        <v>0</v>
      </c>
      <c r="CK266" s="38">
        <f t="shared" si="437"/>
        <v>0</v>
      </c>
      <c r="CL266" s="38">
        <f t="shared" si="437"/>
        <v>0</v>
      </c>
      <c r="CM266" s="38">
        <f t="shared" si="437"/>
        <v>0</v>
      </c>
      <c r="CN266" s="38">
        <f t="shared" si="437"/>
        <v>0</v>
      </c>
      <c r="CO266" s="38">
        <f t="shared" si="437"/>
        <v>0</v>
      </c>
      <c r="CP266" s="38">
        <f t="shared" si="437"/>
        <v>0</v>
      </c>
      <c r="CQ266" s="38">
        <f t="shared" si="437"/>
        <v>0</v>
      </c>
      <c r="CR266" s="38">
        <f t="shared" si="437"/>
        <v>0</v>
      </c>
      <c r="CS266" s="38">
        <f t="shared" si="437"/>
        <v>0</v>
      </c>
      <c r="CT266" s="38">
        <f t="shared" si="437"/>
        <v>0</v>
      </c>
      <c r="CU266" s="17">
        <f t="shared" si="391"/>
        <v>600</v>
      </c>
      <c r="CV266" s="25">
        <f t="shared" si="392"/>
        <v>0</v>
      </c>
      <c r="CW266" s="40"/>
      <c r="CX266" s="30"/>
      <c r="CY266" s="30"/>
    </row>
    <row r="267" spans="1:103" x14ac:dyDescent="0.2">
      <c r="A267" s="2">
        <v>45889</v>
      </c>
      <c r="B267" s="3" t="s">
        <v>595</v>
      </c>
      <c r="C267" s="4" t="s">
        <v>707</v>
      </c>
      <c r="D267" s="5" t="s">
        <v>570</v>
      </c>
      <c r="E267" s="6" t="s">
        <v>597</v>
      </c>
      <c r="F267" s="7" t="s">
        <v>229</v>
      </c>
      <c r="G267" s="8" t="s">
        <v>286</v>
      </c>
      <c r="H267" s="9">
        <v>2963</v>
      </c>
      <c r="I267" s="10"/>
      <c r="J267" s="11" t="s">
        <v>312</v>
      </c>
      <c r="K267" s="12">
        <v>1</v>
      </c>
      <c r="L267" s="13">
        <v>1200</v>
      </c>
      <c r="M267" s="14">
        <f t="shared" ref="M267" si="438">L267*K267</f>
        <v>1200</v>
      </c>
      <c r="N267" s="15"/>
      <c r="O267" s="16" t="s">
        <v>137</v>
      </c>
      <c r="P267" s="17">
        <f>M267*0.02</f>
        <v>24</v>
      </c>
      <c r="Q267" s="18"/>
      <c r="R267" s="17">
        <f>M267+P267-Q267</f>
        <v>1224</v>
      </c>
      <c r="S267" s="19"/>
      <c r="T267" s="19"/>
      <c r="U267" s="19"/>
      <c r="V267" s="19"/>
      <c r="W267" s="17"/>
      <c r="X267" s="20"/>
      <c r="Y267" s="19"/>
      <c r="Z267" s="19"/>
      <c r="AA267" s="19"/>
      <c r="AB267" s="19"/>
      <c r="AC267" s="19"/>
      <c r="AD267" s="19"/>
      <c r="AE267" s="5"/>
      <c r="AF267" s="19"/>
      <c r="AG267" s="5"/>
      <c r="AH267" s="17"/>
      <c r="AI267" s="19"/>
      <c r="AJ267" s="19"/>
      <c r="AK267" s="19"/>
      <c r="AL267" s="19"/>
      <c r="AM267" s="17"/>
      <c r="AN267" s="19"/>
      <c r="AO267" s="19"/>
      <c r="AP267" s="19"/>
      <c r="AQ267" s="19"/>
      <c r="AR267" s="19"/>
      <c r="AS267" s="21"/>
      <c r="AT267" s="5"/>
      <c r="AU267" s="19"/>
      <c r="AV267" s="5"/>
      <c r="AW267" s="22"/>
      <c r="AX267" s="19"/>
      <c r="AY267" s="5"/>
      <c r="AZ267" s="19"/>
      <c r="BA267" s="5"/>
      <c r="BB267" s="5"/>
      <c r="BC267" s="19"/>
      <c r="BD267" s="19"/>
      <c r="BE267" s="19"/>
      <c r="BF267" s="19"/>
      <c r="BG267" s="19"/>
      <c r="BH267" s="19"/>
      <c r="BI267" s="19"/>
      <c r="BJ267" s="19"/>
      <c r="BK267" s="13"/>
      <c r="BL267" s="5"/>
      <c r="BM267" s="5"/>
      <c r="BN267" s="19"/>
      <c r="BO267" s="17"/>
      <c r="BP267" s="19"/>
      <c r="BQ267" s="17"/>
      <c r="BR267" s="19"/>
      <c r="BS267" s="13"/>
      <c r="BT267" s="5"/>
      <c r="BU267" s="23"/>
      <c r="BV267" s="23"/>
      <c r="BW267" s="24"/>
      <c r="BX267" s="5"/>
      <c r="BY267" s="5"/>
      <c r="BZ267" s="5"/>
      <c r="CA267" s="24"/>
      <c r="CB267" s="24"/>
      <c r="CC267" s="24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>
        <f t="shared" si="391"/>
        <v>1200</v>
      </c>
      <c r="CV267" s="25">
        <f t="shared" si="392"/>
        <v>0</v>
      </c>
      <c r="CW267" s="26"/>
      <c r="CX267" s="5"/>
      <c r="CY267" s="5"/>
    </row>
    <row r="268" spans="1:103" x14ac:dyDescent="0.2">
      <c r="A268" s="27"/>
      <c r="B268" s="28"/>
      <c r="C268" s="29"/>
      <c r="D268" s="30"/>
      <c r="E268" s="31"/>
      <c r="F268" s="32"/>
      <c r="G268" s="33"/>
      <c r="H268" s="34"/>
      <c r="I268" s="34"/>
      <c r="J268" s="35"/>
      <c r="K268" s="36"/>
      <c r="L268" s="37"/>
      <c r="M268" s="38">
        <f>SUM(M267:M267)</f>
        <v>1200</v>
      </c>
      <c r="N268" s="38"/>
      <c r="O268" s="39" t="s">
        <v>137</v>
      </c>
      <c r="P268" s="38">
        <f>SUM(P267:P267)</f>
        <v>24</v>
      </c>
      <c r="Q268" s="38"/>
      <c r="R268" s="38">
        <f>SUM(R267:R267)</f>
        <v>1224</v>
      </c>
      <c r="S268" s="38">
        <f t="shared" ref="S268:AD268" si="439">SUM(S267:S267)</f>
        <v>0</v>
      </c>
      <c r="T268" s="38">
        <f t="shared" si="439"/>
        <v>0</v>
      </c>
      <c r="U268" s="38">
        <f t="shared" si="439"/>
        <v>0</v>
      </c>
      <c r="V268" s="38">
        <f t="shared" si="439"/>
        <v>0</v>
      </c>
      <c r="W268" s="38">
        <f t="shared" si="439"/>
        <v>0</v>
      </c>
      <c r="X268" s="38">
        <f t="shared" si="439"/>
        <v>0</v>
      </c>
      <c r="Y268" s="38">
        <f t="shared" si="439"/>
        <v>0</v>
      </c>
      <c r="Z268" s="38">
        <f t="shared" si="439"/>
        <v>0</v>
      </c>
      <c r="AA268" s="38">
        <f t="shared" si="439"/>
        <v>0</v>
      </c>
      <c r="AB268" s="38">
        <f t="shared" si="439"/>
        <v>0</v>
      </c>
      <c r="AC268" s="38">
        <f t="shared" si="439"/>
        <v>0</v>
      </c>
      <c r="AD268" s="38">
        <f t="shared" si="439"/>
        <v>0</v>
      </c>
      <c r="AE268" s="30"/>
      <c r="AF268" s="38">
        <f>SUM(AF267:AF267)</f>
        <v>0</v>
      </c>
      <c r="AG268" s="30"/>
      <c r="AH268" s="38">
        <f t="shared" ref="AH268:AZ268" si="440">SUM(AH267:AH267)</f>
        <v>0</v>
      </c>
      <c r="AI268" s="38">
        <f t="shared" si="440"/>
        <v>0</v>
      </c>
      <c r="AJ268" s="38">
        <f t="shared" si="440"/>
        <v>0</v>
      </c>
      <c r="AK268" s="38">
        <f t="shared" si="440"/>
        <v>0</v>
      </c>
      <c r="AL268" s="38">
        <f t="shared" si="440"/>
        <v>0</v>
      </c>
      <c r="AM268" s="38">
        <f t="shared" si="440"/>
        <v>0</v>
      </c>
      <c r="AN268" s="38">
        <f t="shared" si="440"/>
        <v>0</v>
      </c>
      <c r="AO268" s="38">
        <f t="shared" si="440"/>
        <v>0</v>
      </c>
      <c r="AP268" s="38">
        <f t="shared" si="440"/>
        <v>0</v>
      </c>
      <c r="AQ268" s="38">
        <f t="shared" si="440"/>
        <v>0</v>
      </c>
      <c r="AR268" s="38">
        <f t="shared" si="440"/>
        <v>0</v>
      </c>
      <c r="AS268" s="38">
        <f t="shared" si="440"/>
        <v>0</v>
      </c>
      <c r="AT268" s="38">
        <f t="shared" si="440"/>
        <v>0</v>
      </c>
      <c r="AU268" s="38">
        <f t="shared" si="440"/>
        <v>0</v>
      </c>
      <c r="AV268" s="38">
        <f t="shared" si="440"/>
        <v>0</v>
      </c>
      <c r="AW268" s="38">
        <f t="shared" si="440"/>
        <v>0</v>
      </c>
      <c r="AX268" s="38">
        <f t="shared" si="440"/>
        <v>0</v>
      </c>
      <c r="AY268" s="38">
        <f t="shared" si="440"/>
        <v>0</v>
      </c>
      <c r="AZ268" s="38">
        <f t="shared" si="440"/>
        <v>0</v>
      </c>
      <c r="BA268" s="30"/>
      <c r="BB268" s="38">
        <f t="shared" ref="BB268:CT268" si="441">SUM(BB267:BB267)</f>
        <v>0</v>
      </c>
      <c r="BC268" s="38">
        <f t="shared" si="441"/>
        <v>0</v>
      </c>
      <c r="BD268" s="38">
        <f t="shared" si="441"/>
        <v>0</v>
      </c>
      <c r="BE268" s="38">
        <f t="shared" si="441"/>
        <v>0</v>
      </c>
      <c r="BF268" s="38">
        <f t="shared" si="441"/>
        <v>0</v>
      </c>
      <c r="BG268" s="38">
        <f t="shared" si="441"/>
        <v>0</v>
      </c>
      <c r="BH268" s="38">
        <f t="shared" si="441"/>
        <v>0</v>
      </c>
      <c r="BI268" s="38">
        <f t="shared" si="441"/>
        <v>0</v>
      </c>
      <c r="BJ268" s="38">
        <f t="shared" si="441"/>
        <v>0</v>
      </c>
      <c r="BK268" s="38">
        <f t="shared" si="441"/>
        <v>0</v>
      </c>
      <c r="BL268" s="38">
        <f t="shared" si="441"/>
        <v>0</v>
      </c>
      <c r="BM268" s="38">
        <f t="shared" si="441"/>
        <v>0</v>
      </c>
      <c r="BN268" s="38">
        <f t="shared" si="441"/>
        <v>0</v>
      </c>
      <c r="BO268" s="38">
        <f t="shared" si="441"/>
        <v>0</v>
      </c>
      <c r="BP268" s="38">
        <f t="shared" si="441"/>
        <v>0</v>
      </c>
      <c r="BQ268" s="38">
        <f t="shared" si="441"/>
        <v>0</v>
      </c>
      <c r="BR268" s="38">
        <f t="shared" si="441"/>
        <v>0</v>
      </c>
      <c r="BS268" s="38">
        <f t="shared" si="441"/>
        <v>0</v>
      </c>
      <c r="BT268" s="38">
        <f t="shared" si="441"/>
        <v>0</v>
      </c>
      <c r="BU268" s="38">
        <f t="shared" si="441"/>
        <v>0</v>
      </c>
      <c r="BV268" s="38">
        <f t="shared" si="441"/>
        <v>0</v>
      </c>
      <c r="BW268" s="38">
        <f t="shared" si="441"/>
        <v>0</v>
      </c>
      <c r="BX268" s="38">
        <f t="shared" si="441"/>
        <v>0</v>
      </c>
      <c r="BY268" s="38">
        <f t="shared" si="441"/>
        <v>0</v>
      </c>
      <c r="BZ268" s="38">
        <f t="shared" si="441"/>
        <v>0</v>
      </c>
      <c r="CA268" s="38">
        <f t="shared" si="441"/>
        <v>0</v>
      </c>
      <c r="CB268" s="38">
        <f t="shared" si="441"/>
        <v>0</v>
      </c>
      <c r="CC268" s="38">
        <f t="shared" si="441"/>
        <v>0</v>
      </c>
      <c r="CD268" s="38">
        <f t="shared" si="441"/>
        <v>0</v>
      </c>
      <c r="CE268" s="38">
        <f t="shared" si="441"/>
        <v>0</v>
      </c>
      <c r="CF268" s="38">
        <f t="shared" si="441"/>
        <v>0</v>
      </c>
      <c r="CG268" s="38">
        <f t="shared" si="441"/>
        <v>0</v>
      </c>
      <c r="CH268" s="38">
        <f t="shared" si="441"/>
        <v>0</v>
      </c>
      <c r="CI268" s="38">
        <f t="shared" si="441"/>
        <v>0</v>
      </c>
      <c r="CJ268" s="38">
        <f t="shared" si="441"/>
        <v>0</v>
      </c>
      <c r="CK268" s="38">
        <f t="shared" si="441"/>
        <v>0</v>
      </c>
      <c r="CL268" s="38">
        <f t="shared" si="441"/>
        <v>0</v>
      </c>
      <c r="CM268" s="38">
        <f t="shared" si="441"/>
        <v>0</v>
      </c>
      <c r="CN268" s="38">
        <f t="shared" si="441"/>
        <v>0</v>
      </c>
      <c r="CO268" s="38">
        <f t="shared" si="441"/>
        <v>0</v>
      </c>
      <c r="CP268" s="38">
        <f t="shared" si="441"/>
        <v>0</v>
      </c>
      <c r="CQ268" s="38">
        <f t="shared" si="441"/>
        <v>0</v>
      </c>
      <c r="CR268" s="38">
        <f t="shared" si="441"/>
        <v>0</v>
      </c>
      <c r="CS268" s="38">
        <f t="shared" si="441"/>
        <v>0</v>
      </c>
      <c r="CT268" s="38">
        <f t="shared" si="441"/>
        <v>0</v>
      </c>
      <c r="CU268" s="17">
        <f t="shared" si="391"/>
        <v>1200</v>
      </c>
      <c r="CV268" s="25">
        <f t="shared" si="392"/>
        <v>0</v>
      </c>
      <c r="CW268" s="40"/>
      <c r="CX268" s="30"/>
      <c r="CY268" s="30"/>
    </row>
    <row r="269" spans="1:103" x14ac:dyDescent="0.2">
      <c r="A269" s="2">
        <v>45889</v>
      </c>
      <c r="B269" s="3" t="s">
        <v>595</v>
      </c>
      <c r="C269" s="4" t="s">
        <v>708</v>
      </c>
      <c r="D269" s="5" t="s">
        <v>570</v>
      </c>
      <c r="E269" s="6" t="s">
        <v>597</v>
      </c>
      <c r="F269" s="7" t="s">
        <v>229</v>
      </c>
      <c r="G269" s="8" t="s">
        <v>286</v>
      </c>
      <c r="H269" s="9">
        <v>383</v>
      </c>
      <c r="I269" s="10"/>
      <c r="J269" s="11" t="s">
        <v>312</v>
      </c>
      <c r="K269" s="12">
        <v>1</v>
      </c>
      <c r="L269" s="13">
        <v>350</v>
      </c>
      <c r="M269" s="14">
        <f t="shared" ref="M269" si="442">L269*K269</f>
        <v>350</v>
      </c>
      <c r="N269" s="15"/>
      <c r="O269" s="16" t="s">
        <v>137</v>
      </c>
      <c r="P269" s="17">
        <f>M269*0.02</f>
        <v>7</v>
      </c>
      <c r="Q269" s="18"/>
      <c r="R269" s="5"/>
      <c r="S269" s="19"/>
      <c r="T269" s="19"/>
      <c r="U269" s="19"/>
      <c r="V269" s="19"/>
      <c r="W269" s="17"/>
      <c r="X269" s="20"/>
      <c r="Y269" s="19"/>
      <c r="Z269" s="19"/>
      <c r="AA269" s="19"/>
      <c r="AB269" s="19"/>
      <c r="AC269" s="19"/>
      <c r="AD269" s="19"/>
      <c r="AE269" s="5"/>
      <c r="AF269" s="19"/>
      <c r="AG269" s="5"/>
      <c r="AH269" s="17"/>
      <c r="AI269" s="19"/>
      <c r="AJ269" s="19"/>
      <c r="AK269" s="19"/>
      <c r="AL269" s="19"/>
      <c r="AM269" s="17"/>
      <c r="AN269" s="19"/>
      <c r="AO269" s="19"/>
      <c r="AP269" s="19"/>
      <c r="AQ269" s="19"/>
      <c r="AR269" s="19"/>
      <c r="AS269" s="21"/>
      <c r="AT269" s="5"/>
      <c r="AU269" s="19"/>
      <c r="AV269" s="5"/>
      <c r="AW269" s="17">
        <f>M269+P269-Q269</f>
        <v>357</v>
      </c>
      <c r="AX269" s="19"/>
      <c r="AY269" s="5"/>
      <c r="AZ269" s="19"/>
      <c r="BA269" s="5"/>
      <c r="BB269" s="5"/>
      <c r="BC269" s="19"/>
      <c r="BD269" s="19"/>
      <c r="BE269" s="19"/>
      <c r="BF269" s="19"/>
      <c r="BG269" s="19"/>
      <c r="BH269" s="19"/>
      <c r="BI269" s="19"/>
      <c r="BJ269" s="19"/>
      <c r="BK269" s="13"/>
      <c r="BL269" s="5"/>
      <c r="BM269" s="5"/>
      <c r="BN269" s="19"/>
      <c r="BO269" s="17"/>
      <c r="BP269" s="19"/>
      <c r="BQ269" s="17"/>
      <c r="BR269" s="19"/>
      <c r="BS269" s="13"/>
      <c r="BT269" s="5"/>
      <c r="BU269" s="23"/>
      <c r="BV269" s="23"/>
      <c r="BW269" s="24"/>
      <c r="BX269" s="5"/>
      <c r="BY269" s="5"/>
      <c r="BZ269" s="5"/>
      <c r="CA269" s="24"/>
      <c r="CB269" s="24"/>
      <c r="CC269" s="24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>
        <f t="shared" si="391"/>
        <v>350</v>
      </c>
      <c r="CV269" s="25">
        <f t="shared" si="392"/>
        <v>0</v>
      </c>
      <c r="CW269" s="26"/>
      <c r="CX269" s="5"/>
      <c r="CY269" s="5"/>
    </row>
    <row r="270" spans="1:103" x14ac:dyDescent="0.2">
      <c r="A270" s="27"/>
      <c r="B270" s="28"/>
      <c r="C270" s="29"/>
      <c r="D270" s="30"/>
      <c r="E270" s="31"/>
      <c r="F270" s="32"/>
      <c r="G270" s="33"/>
      <c r="H270" s="34"/>
      <c r="I270" s="34"/>
      <c r="J270" s="35"/>
      <c r="K270" s="36"/>
      <c r="L270" s="37"/>
      <c r="M270" s="38">
        <f>SUM(M269:M269)</f>
        <v>350</v>
      </c>
      <c r="N270" s="38"/>
      <c r="O270" s="39" t="s">
        <v>137</v>
      </c>
      <c r="P270" s="38">
        <f>SUM(P269:P269)</f>
        <v>7</v>
      </c>
      <c r="Q270" s="38"/>
      <c r="R270" s="30"/>
      <c r="S270" s="38">
        <f t="shared" ref="S270:AD270" si="443">SUM(S269:S269)</f>
        <v>0</v>
      </c>
      <c r="T270" s="38">
        <f t="shared" si="443"/>
        <v>0</v>
      </c>
      <c r="U270" s="38">
        <f t="shared" si="443"/>
        <v>0</v>
      </c>
      <c r="V270" s="38">
        <f t="shared" si="443"/>
        <v>0</v>
      </c>
      <c r="W270" s="38">
        <f t="shared" si="443"/>
        <v>0</v>
      </c>
      <c r="X270" s="38">
        <f t="shared" si="443"/>
        <v>0</v>
      </c>
      <c r="Y270" s="38">
        <f t="shared" si="443"/>
        <v>0</v>
      </c>
      <c r="Z270" s="38">
        <f t="shared" si="443"/>
        <v>0</v>
      </c>
      <c r="AA270" s="38">
        <f t="shared" si="443"/>
        <v>0</v>
      </c>
      <c r="AB270" s="38">
        <f t="shared" si="443"/>
        <v>0</v>
      </c>
      <c r="AC270" s="38">
        <f t="shared" si="443"/>
        <v>0</v>
      </c>
      <c r="AD270" s="38">
        <f t="shared" si="443"/>
        <v>0</v>
      </c>
      <c r="AE270" s="30"/>
      <c r="AF270" s="38">
        <f>SUM(AF269:AF269)</f>
        <v>0</v>
      </c>
      <c r="AG270" s="30"/>
      <c r="AH270" s="38">
        <f t="shared" ref="AH270:AZ270" si="444">SUM(AH269:AH269)</f>
        <v>0</v>
      </c>
      <c r="AI270" s="38">
        <f t="shared" si="444"/>
        <v>0</v>
      </c>
      <c r="AJ270" s="38">
        <f t="shared" si="444"/>
        <v>0</v>
      </c>
      <c r="AK270" s="38">
        <f t="shared" si="444"/>
        <v>0</v>
      </c>
      <c r="AL270" s="38">
        <f t="shared" si="444"/>
        <v>0</v>
      </c>
      <c r="AM270" s="38">
        <f t="shared" si="444"/>
        <v>0</v>
      </c>
      <c r="AN270" s="38">
        <f t="shared" si="444"/>
        <v>0</v>
      </c>
      <c r="AO270" s="38">
        <f t="shared" si="444"/>
        <v>0</v>
      </c>
      <c r="AP270" s="38">
        <f t="shared" si="444"/>
        <v>0</v>
      </c>
      <c r="AQ270" s="38">
        <f t="shared" si="444"/>
        <v>0</v>
      </c>
      <c r="AR270" s="38">
        <f t="shared" si="444"/>
        <v>0</v>
      </c>
      <c r="AS270" s="38">
        <f t="shared" si="444"/>
        <v>0</v>
      </c>
      <c r="AT270" s="38">
        <f t="shared" si="444"/>
        <v>0</v>
      </c>
      <c r="AU270" s="38">
        <f t="shared" si="444"/>
        <v>0</v>
      </c>
      <c r="AV270" s="38">
        <f t="shared" si="444"/>
        <v>0</v>
      </c>
      <c r="AW270" s="38">
        <f>SUM(AW269:AW269)</f>
        <v>357</v>
      </c>
      <c r="AX270" s="38">
        <f t="shared" si="444"/>
        <v>0</v>
      </c>
      <c r="AY270" s="38">
        <f t="shared" si="444"/>
        <v>0</v>
      </c>
      <c r="AZ270" s="38">
        <f t="shared" si="444"/>
        <v>0</v>
      </c>
      <c r="BA270" s="30"/>
      <c r="BB270" s="38">
        <f t="shared" ref="BB270:CT270" si="445">SUM(BB269:BB269)</f>
        <v>0</v>
      </c>
      <c r="BC270" s="38">
        <f t="shared" si="445"/>
        <v>0</v>
      </c>
      <c r="BD270" s="38">
        <f t="shared" si="445"/>
        <v>0</v>
      </c>
      <c r="BE270" s="38">
        <f t="shared" si="445"/>
        <v>0</v>
      </c>
      <c r="BF270" s="38">
        <f t="shared" si="445"/>
        <v>0</v>
      </c>
      <c r="BG270" s="38">
        <f t="shared" si="445"/>
        <v>0</v>
      </c>
      <c r="BH270" s="38">
        <f t="shared" si="445"/>
        <v>0</v>
      </c>
      <c r="BI270" s="38">
        <f t="shared" si="445"/>
        <v>0</v>
      </c>
      <c r="BJ270" s="38">
        <f t="shared" si="445"/>
        <v>0</v>
      </c>
      <c r="BK270" s="38">
        <f t="shared" si="445"/>
        <v>0</v>
      </c>
      <c r="BL270" s="38">
        <f t="shared" si="445"/>
        <v>0</v>
      </c>
      <c r="BM270" s="38">
        <f t="shared" si="445"/>
        <v>0</v>
      </c>
      <c r="BN270" s="38">
        <f t="shared" si="445"/>
        <v>0</v>
      </c>
      <c r="BO270" s="38">
        <f t="shared" si="445"/>
        <v>0</v>
      </c>
      <c r="BP270" s="38">
        <f t="shared" si="445"/>
        <v>0</v>
      </c>
      <c r="BQ270" s="38">
        <f t="shared" si="445"/>
        <v>0</v>
      </c>
      <c r="BR270" s="38">
        <f t="shared" si="445"/>
        <v>0</v>
      </c>
      <c r="BS270" s="38">
        <f t="shared" si="445"/>
        <v>0</v>
      </c>
      <c r="BT270" s="38">
        <f t="shared" si="445"/>
        <v>0</v>
      </c>
      <c r="BU270" s="38">
        <f t="shared" si="445"/>
        <v>0</v>
      </c>
      <c r="BV270" s="38">
        <f t="shared" si="445"/>
        <v>0</v>
      </c>
      <c r="BW270" s="38">
        <f t="shared" si="445"/>
        <v>0</v>
      </c>
      <c r="BX270" s="38">
        <f t="shared" si="445"/>
        <v>0</v>
      </c>
      <c r="BY270" s="38">
        <f t="shared" si="445"/>
        <v>0</v>
      </c>
      <c r="BZ270" s="38">
        <f t="shared" si="445"/>
        <v>0</v>
      </c>
      <c r="CA270" s="38">
        <f t="shared" si="445"/>
        <v>0</v>
      </c>
      <c r="CB270" s="38">
        <f t="shared" si="445"/>
        <v>0</v>
      </c>
      <c r="CC270" s="38">
        <f t="shared" si="445"/>
        <v>0</v>
      </c>
      <c r="CD270" s="38">
        <f t="shared" si="445"/>
        <v>0</v>
      </c>
      <c r="CE270" s="38">
        <f t="shared" si="445"/>
        <v>0</v>
      </c>
      <c r="CF270" s="38">
        <f t="shared" si="445"/>
        <v>0</v>
      </c>
      <c r="CG270" s="38">
        <f t="shared" si="445"/>
        <v>0</v>
      </c>
      <c r="CH270" s="38">
        <f t="shared" si="445"/>
        <v>0</v>
      </c>
      <c r="CI270" s="38">
        <f t="shared" si="445"/>
        <v>0</v>
      </c>
      <c r="CJ270" s="38">
        <f t="shared" si="445"/>
        <v>0</v>
      </c>
      <c r="CK270" s="38">
        <f t="shared" si="445"/>
        <v>0</v>
      </c>
      <c r="CL270" s="38">
        <f t="shared" si="445"/>
        <v>0</v>
      </c>
      <c r="CM270" s="38">
        <f t="shared" si="445"/>
        <v>0</v>
      </c>
      <c r="CN270" s="38">
        <f t="shared" si="445"/>
        <v>0</v>
      </c>
      <c r="CO270" s="38">
        <f t="shared" si="445"/>
        <v>0</v>
      </c>
      <c r="CP270" s="38">
        <f t="shared" si="445"/>
        <v>0</v>
      </c>
      <c r="CQ270" s="38">
        <f t="shared" si="445"/>
        <v>0</v>
      </c>
      <c r="CR270" s="38">
        <f t="shared" si="445"/>
        <v>0</v>
      </c>
      <c r="CS270" s="38">
        <f t="shared" si="445"/>
        <v>0</v>
      </c>
      <c r="CT270" s="38">
        <f t="shared" si="445"/>
        <v>0</v>
      </c>
      <c r="CU270" s="17">
        <f t="shared" si="391"/>
        <v>350</v>
      </c>
      <c r="CV270" s="25">
        <f t="shared" si="392"/>
        <v>0</v>
      </c>
      <c r="CW270" s="40"/>
      <c r="CX270" s="30"/>
      <c r="CY270" s="30"/>
    </row>
    <row r="271" spans="1:103" x14ac:dyDescent="0.2">
      <c r="A271" s="2">
        <v>45889</v>
      </c>
      <c r="B271" s="3" t="s">
        <v>595</v>
      </c>
      <c r="C271" s="4" t="s">
        <v>709</v>
      </c>
      <c r="D271" s="5" t="s">
        <v>570</v>
      </c>
      <c r="E271" s="6" t="s">
        <v>597</v>
      </c>
      <c r="F271" s="7" t="s">
        <v>229</v>
      </c>
      <c r="G271" s="8" t="s">
        <v>286</v>
      </c>
      <c r="H271" s="9">
        <v>382</v>
      </c>
      <c r="I271" s="10"/>
      <c r="J271" s="11" t="s">
        <v>312</v>
      </c>
      <c r="K271" s="12">
        <v>1</v>
      </c>
      <c r="L271" s="13">
        <v>350</v>
      </c>
      <c r="M271" s="14">
        <f t="shared" ref="M271" si="446">L271*K271</f>
        <v>350</v>
      </c>
      <c r="N271" s="15"/>
      <c r="O271" s="16" t="s">
        <v>137</v>
      </c>
      <c r="P271" s="17">
        <f>M271*0.02</f>
        <v>7</v>
      </c>
      <c r="Q271" s="18"/>
      <c r="R271" s="5"/>
      <c r="S271" s="19"/>
      <c r="T271" s="19"/>
      <c r="U271" s="19"/>
      <c r="V271" s="19"/>
      <c r="W271" s="17"/>
      <c r="X271" s="20"/>
      <c r="Y271" s="19"/>
      <c r="Z271" s="19"/>
      <c r="AA271" s="19"/>
      <c r="AB271" s="19"/>
      <c r="AC271" s="19"/>
      <c r="AD271" s="19"/>
      <c r="AE271" s="5"/>
      <c r="AF271" s="19"/>
      <c r="AG271" s="5"/>
      <c r="AH271" s="17"/>
      <c r="AI271" s="19"/>
      <c r="AJ271" s="19"/>
      <c r="AK271" s="19"/>
      <c r="AL271" s="19"/>
      <c r="AM271" s="17"/>
      <c r="AN271" s="19"/>
      <c r="AO271" s="19"/>
      <c r="AP271" s="19"/>
      <c r="AQ271" s="19"/>
      <c r="AR271" s="19"/>
      <c r="AS271" s="21"/>
      <c r="AT271" s="5"/>
      <c r="AU271" s="19"/>
      <c r="AV271" s="5"/>
      <c r="AW271" s="17">
        <f>M271+P271-Q271</f>
        <v>357</v>
      </c>
      <c r="AX271" s="19"/>
      <c r="AY271" s="5"/>
      <c r="AZ271" s="19"/>
      <c r="BA271" s="5"/>
      <c r="BB271" s="5"/>
      <c r="BC271" s="19"/>
      <c r="BD271" s="19"/>
      <c r="BE271" s="19"/>
      <c r="BF271" s="19"/>
      <c r="BG271" s="19"/>
      <c r="BH271" s="19"/>
      <c r="BI271" s="19"/>
      <c r="BJ271" s="19"/>
      <c r="BK271" s="13"/>
      <c r="BL271" s="5"/>
      <c r="BM271" s="5"/>
      <c r="BN271" s="19"/>
      <c r="BO271" s="17"/>
      <c r="BP271" s="19"/>
      <c r="BQ271" s="17"/>
      <c r="BR271" s="19"/>
      <c r="BS271" s="13"/>
      <c r="BT271" s="5"/>
      <c r="BU271" s="23"/>
      <c r="BV271" s="23"/>
      <c r="BW271" s="24"/>
      <c r="BX271" s="5"/>
      <c r="BY271" s="5"/>
      <c r="BZ271" s="5"/>
      <c r="CA271" s="24"/>
      <c r="CB271" s="24"/>
      <c r="CC271" s="24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>
        <f t="shared" si="391"/>
        <v>350</v>
      </c>
      <c r="CV271" s="25">
        <f t="shared" si="392"/>
        <v>0</v>
      </c>
      <c r="CW271" s="26"/>
      <c r="CX271" s="5"/>
      <c r="CY271" s="5"/>
    </row>
    <row r="272" spans="1:103" x14ac:dyDescent="0.2">
      <c r="A272" s="27"/>
      <c r="B272" s="28"/>
      <c r="C272" s="29"/>
      <c r="D272" s="30"/>
      <c r="E272" s="31"/>
      <c r="F272" s="32"/>
      <c r="G272" s="33"/>
      <c r="H272" s="34"/>
      <c r="I272" s="34"/>
      <c r="J272" s="35"/>
      <c r="K272" s="36"/>
      <c r="L272" s="37"/>
      <c r="M272" s="38">
        <f>SUM(M271:M271)</f>
        <v>350</v>
      </c>
      <c r="N272" s="38"/>
      <c r="O272" s="39" t="s">
        <v>137</v>
      </c>
      <c r="P272" s="38">
        <f>SUM(P271:P271)</f>
        <v>7</v>
      </c>
      <c r="Q272" s="38"/>
      <c r="R272" s="30"/>
      <c r="S272" s="38">
        <f t="shared" ref="S272:AD272" si="447">SUM(S271:S271)</f>
        <v>0</v>
      </c>
      <c r="T272" s="38">
        <f t="shared" si="447"/>
        <v>0</v>
      </c>
      <c r="U272" s="38">
        <f t="shared" si="447"/>
        <v>0</v>
      </c>
      <c r="V272" s="38">
        <f t="shared" si="447"/>
        <v>0</v>
      </c>
      <c r="W272" s="38">
        <f t="shared" si="447"/>
        <v>0</v>
      </c>
      <c r="X272" s="38">
        <f t="shared" si="447"/>
        <v>0</v>
      </c>
      <c r="Y272" s="38">
        <f t="shared" si="447"/>
        <v>0</v>
      </c>
      <c r="Z272" s="38">
        <f t="shared" si="447"/>
        <v>0</v>
      </c>
      <c r="AA272" s="38">
        <f t="shared" si="447"/>
        <v>0</v>
      </c>
      <c r="AB272" s="38">
        <f t="shared" si="447"/>
        <v>0</v>
      </c>
      <c r="AC272" s="38">
        <f t="shared" si="447"/>
        <v>0</v>
      </c>
      <c r="AD272" s="38">
        <f t="shared" si="447"/>
        <v>0</v>
      </c>
      <c r="AE272" s="30"/>
      <c r="AF272" s="38">
        <f>SUM(AF271:AF271)</f>
        <v>0</v>
      </c>
      <c r="AG272" s="30"/>
      <c r="AH272" s="38">
        <f t="shared" ref="AH272:AZ272" si="448">SUM(AH271:AH271)</f>
        <v>0</v>
      </c>
      <c r="AI272" s="38">
        <f t="shared" si="448"/>
        <v>0</v>
      </c>
      <c r="AJ272" s="38">
        <f t="shared" si="448"/>
        <v>0</v>
      </c>
      <c r="AK272" s="38">
        <f t="shared" si="448"/>
        <v>0</v>
      </c>
      <c r="AL272" s="38">
        <f t="shared" si="448"/>
        <v>0</v>
      </c>
      <c r="AM272" s="38">
        <f t="shared" si="448"/>
        <v>0</v>
      </c>
      <c r="AN272" s="38">
        <f t="shared" si="448"/>
        <v>0</v>
      </c>
      <c r="AO272" s="38">
        <f t="shared" si="448"/>
        <v>0</v>
      </c>
      <c r="AP272" s="38">
        <f t="shared" si="448"/>
        <v>0</v>
      </c>
      <c r="AQ272" s="38">
        <f t="shared" si="448"/>
        <v>0</v>
      </c>
      <c r="AR272" s="38">
        <f t="shared" si="448"/>
        <v>0</v>
      </c>
      <c r="AS272" s="38">
        <f t="shared" si="448"/>
        <v>0</v>
      </c>
      <c r="AT272" s="38">
        <f t="shared" si="448"/>
        <v>0</v>
      </c>
      <c r="AU272" s="38">
        <f t="shared" si="448"/>
        <v>0</v>
      </c>
      <c r="AV272" s="38">
        <f t="shared" si="448"/>
        <v>0</v>
      </c>
      <c r="AW272" s="38">
        <f>SUM(AW271:AW271)</f>
        <v>357</v>
      </c>
      <c r="AX272" s="38">
        <f t="shared" si="448"/>
        <v>0</v>
      </c>
      <c r="AY272" s="38">
        <f t="shared" si="448"/>
        <v>0</v>
      </c>
      <c r="AZ272" s="38">
        <f t="shared" si="448"/>
        <v>0</v>
      </c>
      <c r="BA272" s="30"/>
      <c r="BB272" s="38">
        <f t="shared" ref="BB272:CT272" si="449">SUM(BB271:BB271)</f>
        <v>0</v>
      </c>
      <c r="BC272" s="38">
        <f t="shared" si="449"/>
        <v>0</v>
      </c>
      <c r="BD272" s="38">
        <f t="shared" si="449"/>
        <v>0</v>
      </c>
      <c r="BE272" s="38">
        <f t="shared" si="449"/>
        <v>0</v>
      </c>
      <c r="BF272" s="38">
        <f t="shared" si="449"/>
        <v>0</v>
      </c>
      <c r="BG272" s="38">
        <f t="shared" si="449"/>
        <v>0</v>
      </c>
      <c r="BH272" s="38">
        <f t="shared" si="449"/>
        <v>0</v>
      </c>
      <c r="BI272" s="38">
        <f t="shared" si="449"/>
        <v>0</v>
      </c>
      <c r="BJ272" s="38">
        <f t="shared" si="449"/>
        <v>0</v>
      </c>
      <c r="BK272" s="38">
        <f t="shared" si="449"/>
        <v>0</v>
      </c>
      <c r="BL272" s="38">
        <f t="shared" si="449"/>
        <v>0</v>
      </c>
      <c r="BM272" s="38">
        <f t="shared" si="449"/>
        <v>0</v>
      </c>
      <c r="BN272" s="38">
        <f t="shared" si="449"/>
        <v>0</v>
      </c>
      <c r="BO272" s="38">
        <f t="shared" si="449"/>
        <v>0</v>
      </c>
      <c r="BP272" s="38">
        <f t="shared" si="449"/>
        <v>0</v>
      </c>
      <c r="BQ272" s="38">
        <f t="shared" si="449"/>
        <v>0</v>
      </c>
      <c r="BR272" s="38">
        <f t="shared" si="449"/>
        <v>0</v>
      </c>
      <c r="BS272" s="38">
        <f t="shared" si="449"/>
        <v>0</v>
      </c>
      <c r="BT272" s="38">
        <f t="shared" si="449"/>
        <v>0</v>
      </c>
      <c r="BU272" s="38">
        <f t="shared" si="449"/>
        <v>0</v>
      </c>
      <c r="BV272" s="38">
        <f t="shared" si="449"/>
        <v>0</v>
      </c>
      <c r="BW272" s="38">
        <f t="shared" si="449"/>
        <v>0</v>
      </c>
      <c r="BX272" s="38">
        <f t="shared" si="449"/>
        <v>0</v>
      </c>
      <c r="BY272" s="38">
        <f t="shared" si="449"/>
        <v>0</v>
      </c>
      <c r="BZ272" s="38">
        <f t="shared" si="449"/>
        <v>0</v>
      </c>
      <c r="CA272" s="38">
        <f t="shared" si="449"/>
        <v>0</v>
      </c>
      <c r="CB272" s="38">
        <f t="shared" si="449"/>
        <v>0</v>
      </c>
      <c r="CC272" s="38">
        <f t="shared" si="449"/>
        <v>0</v>
      </c>
      <c r="CD272" s="38">
        <f t="shared" si="449"/>
        <v>0</v>
      </c>
      <c r="CE272" s="38">
        <f t="shared" si="449"/>
        <v>0</v>
      </c>
      <c r="CF272" s="38">
        <f t="shared" si="449"/>
        <v>0</v>
      </c>
      <c r="CG272" s="38">
        <f t="shared" si="449"/>
        <v>0</v>
      </c>
      <c r="CH272" s="38">
        <f t="shared" si="449"/>
        <v>0</v>
      </c>
      <c r="CI272" s="38">
        <f t="shared" si="449"/>
        <v>0</v>
      </c>
      <c r="CJ272" s="38">
        <f t="shared" si="449"/>
        <v>0</v>
      </c>
      <c r="CK272" s="38">
        <f t="shared" si="449"/>
        <v>0</v>
      </c>
      <c r="CL272" s="38">
        <f t="shared" si="449"/>
        <v>0</v>
      </c>
      <c r="CM272" s="38">
        <f t="shared" si="449"/>
        <v>0</v>
      </c>
      <c r="CN272" s="38">
        <f t="shared" si="449"/>
        <v>0</v>
      </c>
      <c r="CO272" s="38">
        <f t="shared" si="449"/>
        <v>0</v>
      </c>
      <c r="CP272" s="38">
        <f t="shared" si="449"/>
        <v>0</v>
      </c>
      <c r="CQ272" s="38">
        <f t="shared" si="449"/>
        <v>0</v>
      </c>
      <c r="CR272" s="38">
        <f t="shared" si="449"/>
        <v>0</v>
      </c>
      <c r="CS272" s="38">
        <f t="shared" si="449"/>
        <v>0</v>
      </c>
      <c r="CT272" s="38">
        <f t="shared" si="449"/>
        <v>0</v>
      </c>
      <c r="CU272" s="17">
        <f t="shared" si="391"/>
        <v>350</v>
      </c>
      <c r="CV272" s="25">
        <f t="shared" si="392"/>
        <v>0</v>
      </c>
      <c r="CW272" s="40"/>
      <c r="CX272" s="30"/>
      <c r="CY272" s="30"/>
    </row>
    <row r="273" spans="1:103" x14ac:dyDescent="0.2">
      <c r="A273" s="2">
        <v>45889</v>
      </c>
      <c r="B273" s="3" t="s">
        <v>595</v>
      </c>
      <c r="C273" s="4" t="s">
        <v>710</v>
      </c>
      <c r="D273" s="5" t="s">
        <v>570</v>
      </c>
      <c r="E273" s="6" t="s">
        <v>597</v>
      </c>
      <c r="F273" s="7" t="s">
        <v>229</v>
      </c>
      <c r="G273" s="8" t="s">
        <v>286</v>
      </c>
      <c r="H273" s="9">
        <v>386</v>
      </c>
      <c r="I273" s="10"/>
      <c r="J273" s="11" t="s">
        <v>576</v>
      </c>
      <c r="K273" s="12">
        <v>1</v>
      </c>
      <c r="L273" s="13">
        <v>350</v>
      </c>
      <c r="M273" s="14">
        <f t="shared" ref="M273" si="450">L273*K273</f>
        <v>350</v>
      </c>
      <c r="N273" s="15"/>
      <c r="O273" s="16" t="s">
        <v>137</v>
      </c>
      <c r="P273" s="17">
        <f>M273*0.02</f>
        <v>7</v>
      </c>
      <c r="Q273" s="18"/>
      <c r="R273" s="5"/>
      <c r="S273" s="19"/>
      <c r="T273" s="19"/>
      <c r="U273" s="19"/>
      <c r="V273" s="19"/>
      <c r="W273" s="17"/>
      <c r="X273" s="20"/>
      <c r="Y273" s="19"/>
      <c r="Z273" s="19"/>
      <c r="AA273" s="19"/>
      <c r="AB273" s="19"/>
      <c r="AC273" s="19"/>
      <c r="AD273" s="19"/>
      <c r="AE273" s="5"/>
      <c r="AF273" s="19"/>
      <c r="AG273" s="5"/>
      <c r="AH273" s="17"/>
      <c r="AI273" s="19"/>
      <c r="AJ273" s="19"/>
      <c r="AK273" s="19"/>
      <c r="AL273" s="19"/>
      <c r="AM273" s="17"/>
      <c r="AN273" s="19"/>
      <c r="AO273" s="19"/>
      <c r="AP273" s="19"/>
      <c r="AQ273" s="19"/>
      <c r="AR273" s="19"/>
      <c r="AS273" s="21"/>
      <c r="AT273" s="5"/>
      <c r="AU273" s="19"/>
      <c r="AV273" s="5"/>
      <c r="AW273" s="17">
        <f>M273+P273-Q273</f>
        <v>357</v>
      </c>
      <c r="AX273" s="19"/>
      <c r="AY273" s="5"/>
      <c r="AZ273" s="19"/>
      <c r="BA273" s="5"/>
      <c r="BB273" s="5"/>
      <c r="BC273" s="19"/>
      <c r="BD273" s="19"/>
      <c r="BE273" s="19"/>
      <c r="BF273" s="19"/>
      <c r="BG273" s="19"/>
      <c r="BH273" s="19"/>
      <c r="BI273" s="19"/>
      <c r="BJ273" s="19"/>
      <c r="BK273" s="13"/>
      <c r="BL273" s="5"/>
      <c r="BM273" s="5"/>
      <c r="BN273" s="19"/>
      <c r="BO273" s="17"/>
      <c r="BP273" s="19"/>
      <c r="BQ273" s="17"/>
      <c r="BR273" s="19"/>
      <c r="BS273" s="13"/>
      <c r="BT273" s="5"/>
      <c r="BU273" s="23"/>
      <c r="BV273" s="23"/>
      <c r="BW273" s="24"/>
      <c r="BX273" s="5"/>
      <c r="BY273" s="5"/>
      <c r="BZ273" s="5"/>
      <c r="CA273" s="24"/>
      <c r="CB273" s="24"/>
      <c r="CC273" s="24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>
        <f t="shared" si="391"/>
        <v>350</v>
      </c>
      <c r="CV273" s="25">
        <f t="shared" si="392"/>
        <v>0</v>
      </c>
      <c r="CW273" s="26"/>
      <c r="CX273" s="5"/>
      <c r="CY273" s="5"/>
    </row>
    <row r="274" spans="1:103" x14ac:dyDescent="0.2">
      <c r="A274" s="161"/>
      <c r="B274" s="162"/>
      <c r="C274" s="163"/>
      <c r="D274" s="164"/>
      <c r="E274" s="165"/>
      <c r="F274" s="166"/>
      <c r="G274" s="167"/>
      <c r="H274" s="168"/>
      <c r="I274" s="168"/>
      <c r="J274" s="169"/>
      <c r="K274" s="170"/>
      <c r="L274" s="171"/>
      <c r="M274" s="172">
        <f>SUM(M273:M273)</f>
        <v>350</v>
      </c>
      <c r="N274" s="172">
        <f>M274+M272+M270+M268+M266</f>
        <v>2850</v>
      </c>
      <c r="O274" s="173" t="s">
        <v>137</v>
      </c>
      <c r="P274" s="172">
        <f>SUM(P273:P273)</f>
        <v>7</v>
      </c>
      <c r="Q274" s="172"/>
      <c r="R274" s="164"/>
      <c r="S274" s="172">
        <f t="shared" ref="S274:AD274" si="451">SUM(S273:S273)</f>
        <v>0</v>
      </c>
      <c r="T274" s="172">
        <f t="shared" si="451"/>
        <v>0</v>
      </c>
      <c r="U274" s="172">
        <f t="shared" si="451"/>
        <v>0</v>
      </c>
      <c r="V274" s="172">
        <f t="shared" si="451"/>
        <v>0</v>
      </c>
      <c r="W274" s="172">
        <f t="shared" si="451"/>
        <v>0</v>
      </c>
      <c r="X274" s="172">
        <f t="shared" si="451"/>
        <v>0</v>
      </c>
      <c r="Y274" s="172">
        <f t="shared" si="451"/>
        <v>0</v>
      </c>
      <c r="Z274" s="172">
        <f t="shared" si="451"/>
        <v>0</v>
      </c>
      <c r="AA274" s="172">
        <f t="shared" si="451"/>
        <v>0</v>
      </c>
      <c r="AB274" s="172">
        <f t="shared" si="451"/>
        <v>0</v>
      </c>
      <c r="AC274" s="172">
        <f t="shared" si="451"/>
        <v>0</v>
      </c>
      <c r="AD274" s="172">
        <f t="shared" si="451"/>
        <v>0</v>
      </c>
      <c r="AE274" s="164"/>
      <c r="AF274" s="172">
        <f>SUM(AF273:AF273)</f>
        <v>0</v>
      </c>
      <c r="AG274" s="164"/>
      <c r="AH274" s="172">
        <f t="shared" ref="AH274:AZ274" si="452">SUM(AH273:AH273)</f>
        <v>0</v>
      </c>
      <c r="AI274" s="172">
        <f t="shared" si="452"/>
        <v>0</v>
      </c>
      <c r="AJ274" s="172">
        <f t="shared" si="452"/>
        <v>0</v>
      </c>
      <c r="AK274" s="172">
        <f t="shared" si="452"/>
        <v>0</v>
      </c>
      <c r="AL274" s="172">
        <f t="shared" si="452"/>
        <v>0</v>
      </c>
      <c r="AM274" s="172">
        <f t="shared" si="452"/>
        <v>0</v>
      </c>
      <c r="AN274" s="172">
        <f t="shared" si="452"/>
        <v>0</v>
      </c>
      <c r="AO274" s="172">
        <f t="shared" si="452"/>
        <v>0</v>
      </c>
      <c r="AP274" s="172">
        <f t="shared" si="452"/>
        <v>0</v>
      </c>
      <c r="AQ274" s="172">
        <f t="shared" si="452"/>
        <v>0</v>
      </c>
      <c r="AR274" s="172">
        <f t="shared" si="452"/>
        <v>0</v>
      </c>
      <c r="AS274" s="172">
        <f t="shared" si="452"/>
        <v>0</v>
      </c>
      <c r="AT274" s="172">
        <f t="shared" si="452"/>
        <v>0</v>
      </c>
      <c r="AU274" s="172">
        <f t="shared" si="452"/>
        <v>0</v>
      </c>
      <c r="AV274" s="172">
        <f t="shared" si="452"/>
        <v>0</v>
      </c>
      <c r="AW274" s="172">
        <f>SUM(AW273:AW273)</f>
        <v>357</v>
      </c>
      <c r="AX274" s="172">
        <f t="shared" si="452"/>
        <v>0</v>
      </c>
      <c r="AY274" s="172">
        <f t="shared" si="452"/>
        <v>0</v>
      </c>
      <c r="AZ274" s="172">
        <f t="shared" si="452"/>
        <v>0</v>
      </c>
      <c r="BA274" s="164"/>
      <c r="BB274" s="172">
        <f t="shared" ref="BB274:CT274" si="453">SUM(BB273:BB273)</f>
        <v>0</v>
      </c>
      <c r="BC274" s="172">
        <f t="shared" si="453"/>
        <v>0</v>
      </c>
      <c r="BD274" s="172">
        <f t="shared" si="453"/>
        <v>0</v>
      </c>
      <c r="BE274" s="172">
        <f t="shared" si="453"/>
        <v>0</v>
      </c>
      <c r="BF274" s="172">
        <f t="shared" si="453"/>
        <v>0</v>
      </c>
      <c r="BG274" s="172">
        <f t="shared" si="453"/>
        <v>0</v>
      </c>
      <c r="BH274" s="172">
        <f t="shared" si="453"/>
        <v>0</v>
      </c>
      <c r="BI274" s="172">
        <f t="shared" si="453"/>
        <v>0</v>
      </c>
      <c r="BJ274" s="172">
        <f t="shared" si="453"/>
        <v>0</v>
      </c>
      <c r="BK274" s="172">
        <f t="shared" si="453"/>
        <v>0</v>
      </c>
      <c r="BL274" s="172">
        <f t="shared" si="453"/>
        <v>0</v>
      </c>
      <c r="BM274" s="172">
        <f t="shared" si="453"/>
        <v>0</v>
      </c>
      <c r="BN274" s="172">
        <f t="shared" si="453"/>
        <v>0</v>
      </c>
      <c r="BO274" s="172">
        <f t="shared" si="453"/>
        <v>0</v>
      </c>
      <c r="BP274" s="172">
        <f t="shared" si="453"/>
        <v>0</v>
      </c>
      <c r="BQ274" s="172">
        <f t="shared" si="453"/>
        <v>0</v>
      </c>
      <c r="BR274" s="172">
        <f t="shared" si="453"/>
        <v>0</v>
      </c>
      <c r="BS274" s="172">
        <f t="shared" si="453"/>
        <v>0</v>
      </c>
      <c r="BT274" s="172">
        <f t="shared" si="453"/>
        <v>0</v>
      </c>
      <c r="BU274" s="172">
        <f t="shared" si="453"/>
        <v>0</v>
      </c>
      <c r="BV274" s="172">
        <f t="shared" si="453"/>
        <v>0</v>
      </c>
      <c r="BW274" s="172">
        <f t="shared" si="453"/>
        <v>0</v>
      </c>
      <c r="BX274" s="172">
        <f t="shared" si="453"/>
        <v>0</v>
      </c>
      <c r="BY274" s="172">
        <f t="shared" si="453"/>
        <v>0</v>
      </c>
      <c r="BZ274" s="172">
        <f t="shared" si="453"/>
        <v>0</v>
      </c>
      <c r="CA274" s="172">
        <f t="shared" si="453"/>
        <v>0</v>
      </c>
      <c r="CB274" s="172">
        <f t="shared" si="453"/>
        <v>0</v>
      </c>
      <c r="CC274" s="172">
        <f t="shared" si="453"/>
        <v>0</v>
      </c>
      <c r="CD274" s="172">
        <f t="shared" si="453"/>
        <v>0</v>
      </c>
      <c r="CE274" s="172">
        <f t="shared" si="453"/>
        <v>0</v>
      </c>
      <c r="CF274" s="172">
        <f t="shared" si="453"/>
        <v>0</v>
      </c>
      <c r="CG274" s="172">
        <f t="shared" si="453"/>
        <v>0</v>
      </c>
      <c r="CH274" s="172">
        <f t="shared" si="453"/>
        <v>0</v>
      </c>
      <c r="CI274" s="172">
        <f t="shared" si="453"/>
        <v>0</v>
      </c>
      <c r="CJ274" s="172">
        <f t="shared" si="453"/>
        <v>0</v>
      </c>
      <c r="CK274" s="172">
        <f t="shared" si="453"/>
        <v>0</v>
      </c>
      <c r="CL274" s="172">
        <f t="shared" si="453"/>
        <v>0</v>
      </c>
      <c r="CM274" s="172">
        <f t="shared" si="453"/>
        <v>0</v>
      </c>
      <c r="CN274" s="172">
        <f t="shared" si="453"/>
        <v>0</v>
      </c>
      <c r="CO274" s="172">
        <f t="shared" si="453"/>
        <v>0</v>
      </c>
      <c r="CP274" s="172">
        <f t="shared" si="453"/>
        <v>0</v>
      </c>
      <c r="CQ274" s="172">
        <f t="shared" si="453"/>
        <v>0</v>
      </c>
      <c r="CR274" s="172">
        <f t="shared" si="453"/>
        <v>0</v>
      </c>
      <c r="CS274" s="172">
        <f t="shared" si="453"/>
        <v>0</v>
      </c>
      <c r="CT274" s="172">
        <f t="shared" si="453"/>
        <v>0</v>
      </c>
      <c r="CU274" s="17">
        <f t="shared" si="391"/>
        <v>350</v>
      </c>
      <c r="CV274" s="25">
        <f t="shared" si="392"/>
        <v>0</v>
      </c>
      <c r="CW274" s="176"/>
      <c r="CX274" s="164"/>
      <c r="CY274" s="164"/>
    </row>
    <row r="275" spans="1:103" x14ac:dyDescent="0.2">
      <c r="A275" s="2">
        <v>45877</v>
      </c>
      <c r="B275" s="3" t="s">
        <v>598</v>
      </c>
      <c r="C275" s="4" t="s">
        <v>711</v>
      </c>
      <c r="D275" s="5" t="s">
        <v>570</v>
      </c>
      <c r="E275" s="6" t="s">
        <v>599</v>
      </c>
      <c r="F275" s="7" t="s">
        <v>224</v>
      </c>
      <c r="G275" s="8" t="s">
        <v>600</v>
      </c>
      <c r="H275" s="9">
        <v>217</v>
      </c>
      <c r="I275" s="10"/>
      <c r="J275" s="11" t="s">
        <v>601</v>
      </c>
      <c r="K275" s="12">
        <v>1</v>
      </c>
      <c r="L275" s="13">
        <v>1100</v>
      </c>
      <c r="M275" s="14">
        <f t="shared" ref="M275:M277" si="454">L275*K275</f>
        <v>1100</v>
      </c>
      <c r="N275" s="15"/>
      <c r="O275" s="16" t="s">
        <v>137</v>
      </c>
      <c r="P275" s="17">
        <f>M275*0.02</f>
        <v>22</v>
      </c>
      <c r="Q275" s="18"/>
      <c r="R275" s="5"/>
      <c r="S275" s="19"/>
      <c r="T275" s="19"/>
      <c r="U275" s="19"/>
      <c r="V275" s="19"/>
      <c r="W275" s="17"/>
      <c r="X275" s="20"/>
      <c r="Y275" s="19"/>
      <c r="Z275" s="19"/>
      <c r="AA275" s="19"/>
      <c r="AB275" s="19"/>
      <c r="AC275" s="19"/>
      <c r="AD275" s="19"/>
      <c r="AE275" s="5"/>
      <c r="AF275" s="19"/>
      <c r="AG275" s="5"/>
      <c r="AH275" s="17"/>
      <c r="AI275" s="19"/>
      <c r="AJ275" s="19"/>
      <c r="AK275" s="19"/>
      <c r="AL275" s="19"/>
      <c r="AM275" s="17"/>
      <c r="AN275" s="19"/>
      <c r="AO275" s="19"/>
      <c r="AP275" s="19"/>
      <c r="AQ275" s="19"/>
      <c r="AR275" s="19"/>
      <c r="AS275" s="21"/>
      <c r="AT275" s="5"/>
      <c r="AU275" s="19"/>
      <c r="AV275" s="5"/>
      <c r="AW275" s="22"/>
      <c r="AX275" s="19"/>
      <c r="AY275" s="5"/>
      <c r="AZ275" s="19"/>
      <c r="BA275" s="5"/>
      <c r="BB275" s="5"/>
      <c r="BC275" s="19"/>
      <c r="BD275" s="19"/>
      <c r="BE275" s="19"/>
      <c r="BF275" s="19"/>
      <c r="BG275" s="19"/>
      <c r="BH275" s="19"/>
      <c r="BI275" s="19"/>
      <c r="BJ275" s="19"/>
      <c r="BK275" s="13"/>
      <c r="BL275" s="5"/>
      <c r="BM275" s="5"/>
      <c r="BN275" s="19"/>
      <c r="BO275" s="17"/>
      <c r="BP275" s="19"/>
      <c r="BQ275" s="17"/>
      <c r="BR275" s="19"/>
      <c r="BS275" s="13"/>
      <c r="BT275" s="5"/>
      <c r="BU275" s="23"/>
      <c r="BV275" s="23"/>
      <c r="BW275" s="17">
        <f>M275+P275-Q275</f>
        <v>1122</v>
      </c>
      <c r="BX275" s="5"/>
      <c r="BY275" s="5"/>
      <c r="BZ275" s="5"/>
      <c r="CA275" s="24"/>
      <c r="CB275" s="24"/>
      <c r="CC275" s="24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>
        <f t="shared" si="391"/>
        <v>1100</v>
      </c>
      <c r="CV275" s="25">
        <f t="shared" si="392"/>
        <v>0</v>
      </c>
      <c r="CW275" s="26"/>
      <c r="CX275" s="5"/>
      <c r="CY275" s="5"/>
    </row>
    <row r="276" spans="1:103" x14ac:dyDescent="0.2">
      <c r="A276" s="2"/>
      <c r="B276" s="3"/>
      <c r="C276" s="4"/>
      <c r="D276" s="5"/>
      <c r="E276" s="6"/>
      <c r="F276" s="7"/>
      <c r="G276" s="8"/>
      <c r="H276" s="9"/>
      <c r="I276" s="10"/>
      <c r="J276" s="11" t="s">
        <v>602</v>
      </c>
      <c r="K276" s="12">
        <v>1</v>
      </c>
      <c r="L276" s="13">
        <v>1100</v>
      </c>
      <c r="M276" s="14">
        <f t="shared" si="454"/>
        <v>1100</v>
      </c>
      <c r="N276" s="15"/>
      <c r="O276" s="16" t="s">
        <v>137</v>
      </c>
      <c r="P276" s="17">
        <f>M276*0.02</f>
        <v>22</v>
      </c>
      <c r="Q276" s="18"/>
      <c r="R276" s="5"/>
      <c r="S276" s="19"/>
      <c r="T276" s="19"/>
      <c r="U276" s="19"/>
      <c r="V276" s="19"/>
      <c r="W276" s="17"/>
      <c r="X276" s="20"/>
      <c r="Y276" s="19"/>
      <c r="Z276" s="19"/>
      <c r="AA276" s="19"/>
      <c r="AB276" s="19"/>
      <c r="AC276" s="19"/>
      <c r="AD276" s="19"/>
      <c r="AE276" s="5"/>
      <c r="AF276" s="19"/>
      <c r="AG276" s="5"/>
      <c r="AH276" s="17"/>
      <c r="AI276" s="19"/>
      <c r="AJ276" s="19"/>
      <c r="AK276" s="19"/>
      <c r="AL276" s="19"/>
      <c r="AM276" s="17"/>
      <c r="AN276" s="19"/>
      <c r="AO276" s="19"/>
      <c r="AP276" s="19"/>
      <c r="AQ276" s="19"/>
      <c r="AR276" s="19"/>
      <c r="AS276" s="21"/>
      <c r="AT276" s="5"/>
      <c r="AU276" s="19"/>
      <c r="AV276" s="5"/>
      <c r="AW276" s="22"/>
      <c r="AX276" s="19"/>
      <c r="AY276" s="5"/>
      <c r="AZ276" s="19"/>
      <c r="BA276" s="5"/>
      <c r="BB276" s="5"/>
      <c r="BC276" s="19"/>
      <c r="BD276" s="19"/>
      <c r="BE276" s="19"/>
      <c r="BF276" s="19"/>
      <c r="BG276" s="19"/>
      <c r="BH276" s="19"/>
      <c r="BI276" s="19"/>
      <c r="BJ276" s="19"/>
      <c r="BK276" s="13"/>
      <c r="BL276" s="5"/>
      <c r="BM276" s="5"/>
      <c r="BN276" s="19"/>
      <c r="BO276" s="17"/>
      <c r="BP276" s="19"/>
      <c r="BQ276" s="17"/>
      <c r="BR276" s="19"/>
      <c r="BS276" s="13"/>
      <c r="BT276" s="5"/>
      <c r="BU276" s="23"/>
      <c r="BV276" s="23"/>
      <c r="BW276" s="17">
        <f>M276+P276-Q276</f>
        <v>1122</v>
      </c>
      <c r="BX276" s="5"/>
      <c r="BY276" s="5"/>
      <c r="BZ276" s="5"/>
      <c r="CA276" s="24"/>
      <c r="CB276" s="24"/>
      <c r="CC276" s="24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>
        <f t="shared" si="391"/>
        <v>1100</v>
      </c>
      <c r="CV276" s="25">
        <f t="shared" si="392"/>
        <v>0</v>
      </c>
      <c r="CW276" s="26"/>
      <c r="CX276" s="5"/>
      <c r="CY276" s="5"/>
    </row>
    <row r="277" spans="1:103" x14ac:dyDescent="0.2">
      <c r="A277" s="2"/>
      <c r="B277" s="3"/>
      <c r="C277" s="4"/>
      <c r="D277" s="5"/>
      <c r="E277" s="6"/>
      <c r="F277" s="7"/>
      <c r="G277" s="8"/>
      <c r="H277" s="9"/>
      <c r="I277" s="10"/>
      <c r="J277" s="11" t="s">
        <v>603</v>
      </c>
      <c r="K277" s="12">
        <v>1</v>
      </c>
      <c r="L277" s="13">
        <v>1100</v>
      </c>
      <c r="M277" s="14">
        <f t="shared" si="454"/>
        <v>1100</v>
      </c>
      <c r="N277" s="15"/>
      <c r="O277" s="16" t="s">
        <v>137</v>
      </c>
      <c r="P277" s="17">
        <f>M277*0.02</f>
        <v>22</v>
      </c>
      <c r="Q277" s="18"/>
      <c r="R277" s="5"/>
      <c r="S277" s="19"/>
      <c r="T277" s="19"/>
      <c r="U277" s="19"/>
      <c r="V277" s="19"/>
      <c r="W277" s="17"/>
      <c r="X277" s="20"/>
      <c r="Y277" s="19"/>
      <c r="Z277" s="19"/>
      <c r="AA277" s="19"/>
      <c r="AB277" s="19"/>
      <c r="AC277" s="19"/>
      <c r="AD277" s="19"/>
      <c r="AE277" s="5"/>
      <c r="AF277" s="19"/>
      <c r="AG277" s="5"/>
      <c r="AH277" s="17"/>
      <c r="AI277" s="19"/>
      <c r="AJ277" s="19"/>
      <c r="AK277" s="19"/>
      <c r="AL277" s="19"/>
      <c r="AM277" s="17"/>
      <c r="AN277" s="19"/>
      <c r="AO277" s="19"/>
      <c r="AP277" s="19"/>
      <c r="AQ277" s="19"/>
      <c r="AR277" s="19"/>
      <c r="AS277" s="21"/>
      <c r="AT277" s="5"/>
      <c r="AU277" s="19"/>
      <c r="AV277" s="5"/>
      <c r="AW277" s="22"/>
      <c r="AX277" s="19"/>
      <c r="AY277" s="5"/>
      <c r="AZ277" s="19"/>
      <c r="BA277" s="5"/>
      <c r="BB277" s="5"/>
      <c r="BC277" s="19"/>
      <c r="BD277" s="19"/>
      <c r="BE277" s="19"/>
      <c r="BF277" s="19"/>
      <c r="BG277" s="19"/>
      <c r="BH277" s="19"/>
      <c r="BI277" s="19"/>
      <c r="BJ277" s="19"/>
      <c r="BK277" s="13"/>
      <c r="BL277" s="5"/>
      <c r="BM277" s="5"/>
      <c r="BN277" s="19"/>
      <c r="BO277" s="17"/>
      <c r="BP277" s="19"/>
      <c r="BQ277" s="17"/>
      <c r="BR277" s="19"/>
      <c r="BS277" s="13"/>
      <c r="BT277" s="5"/>
      <c r="BU277" s="23"/>
      <c r="BV277" s="23"/>
      <c r="BW277" s="17">
        <f>M277+P277-Q277</f>
        <v>1122</v>
      </c>
      <c r="BX277" s="5"/>
      <c r="BY277" s="5"/>
      <c r="BZ277" s="5"/>
      <c r="CA277" s="24"/>
      <c r="CB277" s="24"/>
      <c r="CC277" s="24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>
        <f t="shared" si="391"/>
        <v>1100</v>
      </c>
      <c r="CV277" s="25">
        <f t="shared" si="392"/>
        <v>0</v>
      </c>
      <c r="CW277" s="26"/>
      <c r="CX277" s="5"/>
      <c r="CY277" s="5"/>
    </row>
    <row r="278" spans="1:103" x14ac:dyDescent="0.2">
      <c r="A278" s="161"/>
      <c r="B278" s="162"/>
      <c r="C278" s="163"/>
      <c r="D278" s="164"/>
      <c r="E278" s="165"/>
      <c r="F278" s="166"/>
      <c r="G278" s="167"/>
      <c r="H278" s="168"/>
      <c r="I278" s="168"/>
      <c r="J278" s="169"/>
      <c r="K278" s="170"/>
      <c r="L278" s="171"/>
      <c r="M278" s="172">
        <f>SUM(M275:M277)</f>
        <v>3300</v>
      </c>
      <c r="N278" s="172">
        <f>M278</f>
        <v>3300</v>
      </c>
      <c r="O278" s="173" t="s">
        <v>137</v>
      </c>
      <c r="P278" s="172">
        <f>SUM(P275:P277)</f>
        <v>66</v>
      </c>
      <c r="Q278" s="172"/>
      <c r="R278" s="164"/>
      <c r="S278" s="172">
        <f t="shared" ref="S278:AD278" si="455">SUM(S275:S275)</f>
        <v>0</v>
      </c>
      <c r="T278" s="172">
        <f t="shared" si="455"/>
        <v>0</v>
      </c>
      <c r="U278" s="172">
        <f t="shared" si="455"/>
        <v>0</v>
      </c>
      <c r="V278" s="172">
        <f t="shared" si="455"/>
        <v>0</v>
      </c>
      <c r="W278" s="172">
        <f t="shared" si="455"/>
        <v>0</v>
      </c>
      <c r="X278" s="172">
        <f t="shared" si="455"/>
        <v>0</v>
      </c>
      <c r="Y278" s="172">
        <f t="shared" si="455"/>
        <v>0</v>
      </c>
      <c r="Z278" s="172">
        <f t="shared" si="455"/>
        <v>0</v>
      </c>
      <c r="AA278" s="172">
        <f t="shared" si="455"/>
        <v>0</v>
      </c>
      <c r="AB278" s="172">
        <f t="shared" si="455"/>
        <v>0</v>
      </c>
      <c r="AC278" s="172">
        <f t="shared" si="455"/>
        <v>0</v>
      </c>
      <c r="AD278" s="172">
        <f t="shared" si="455"/>
        <v>0</v>
      </c>
      <c r="AE278" s="164"/>
      <c r="AF278" s="172">
        <f>SUM(AF275:AF275)</f>
        <v>0</v>
      </c>
      <c r="AG278" s="164"/>
      <c r="AH278" s="172">
        <f t="shared" ref="AH278:AZ278" si="456">SUM(AH275:AH275)</f>
        <v>0</v>
      </c>
      <c r="AI278" s="172">
        <f t="shared" si="456"/>
        <v>0</v>
      </c>
      <c r="AJ278" s="172">
        <f t="shared" si="456"/>
        <v>0</v>
      </c>
      <c r="AK278" s="172">
        <f t="shared" si="456"/>
        <v>0</v>
      </c>
      <c r="AL278" s="172">
        <f t="shared" si="456"/>
        <v>0</v>
      </c>
      <c r="AM278" s="172">
        <f t="shared" si="456"/>
        <v>0</v>
      </c>
      <c r="AN278" s="172">
        <f t="shared" si="456"/>
        <v>0</v>
      </c>
      <c r="AO278" s="172">
        <f t="shared" si="456"/>
        <v>0</v>
      </c>
      <c r="AP278" s="172">
        <f t="shared" si="456"/>
        <v>0</v>
      </c>
      <c r="AQ278" s="172">
        <f t="shared" si="456"/>
        <v>0</v>
      </c>
      <c r="AR278" s="172">
        <f t="shared" si="456"/>
        <v>0</v>
      </c>
      <c r="AS278" s="172">
        <f t="shared" si="456"/>
        <v>0</v>
      </c>
      <c r="AT278" s="172">
        <f t="shared" si="456"/>
        <v>0</v>
      </c>
      <c r="AU278" s="172">
        <f t="shared" si="456"/>
        <v>0</v>
      </c>
      <c r="AV278" s="172">
        <f t="shared" si="456"/>
        <v>0</v>
      </c>
      <c r="AW278" s="172">
        <f t="shared" si="456"/>
        <v>0</v>
      </c>
      <c r="AX278" s="172">
        <f t="shared" si="456"/>
        <v>0</v>
      </c>
      <c r="AY278" s="172">
        <f t="shared" si="456"/>
        <v>0</v>
      </c>
      <c r="AZ278" s="172">
        <f t="shared" si="456"/>
        <v>0</v>
      </c>
      <c r="BA278" s="164"/>
      <c r="BB278" s="172">
        <f t="shared" ref="BB278:CT278" si="457">SUM(BB275:BB275)</f>
        <v>0</v>
      </c>
      <c r="BC278" s="172">
        <f t="shared" si="457"/>
        <v>0</v>
      </c>
      <c r="BD278" s="172">
        <f t="shared" si="457"/>
        <v>0</v>
      </c>
      <c r="BE278" s="172">
        <f t="shared" si="457"/>
        <v>0</v>
      </c>
      <c r="BF278" s="172">
        <f t="shared" si="457"/>
        <v>0</v>
      </c>
      <c r="BG278" s="172">
        <f t="shared" si="457"/>
        <v>0</v>
      </c>
      <c r="BH278" s="172">
        <f t="shared" si="457"/>
        <v>0</v>
      </c>
      <c r="BI278" s="172">
        <f t="shared" si="457"/>
        <v>0</v>
      </c>
      <c r="BJ278" s="172">
        <f t="shared" si="457"/>
        <v>0</v>
      </c>
      <c r="BK278" s="172">
        <f t="shared" si="457"/>
        <v>0</v>
      </c>
      <c r="BL278" s="172">
        <f t="shared" si="457"/>
        <v>0</v>
      </c>
      <c r="BM278" s="172">
        <f t="shared" si="457"/>
        <v>0</v>
      </c>
      <c r="BN278" s="172">
        <f t="shared" si="457"/>
        <v>0</v>
      </c>
      <c r="BO278" s="172">
        <f t="shared" si="457"/>
        <v>0</v>
      </c>
      <c r="BP278" s="172">
        <f t="shared" si="457"/>
        <v>0</v>
      </c>
      <c r="BQ278" s="172">
        <f t="shared" si="457"/>
        <v>0</v>
      </c>
      <c r="BR278" s="172">
        <f t="shared" si="457"/>
        <v>0</v>
      </c>
      <c r="BS278" s="172">
        <f t="shared" si="457"/>
        <v>0</v>
      </c>
      <c r="BT278" s="172">
        <f t="shared" si="457"/>
        <v>0</v>
      </c>
      <c r="BU278" s="172">
        <f t="shared" si="457"/>
        <v>0</v>
      </c>
      <c r="BV278" s="172">
        <f t="shared" si="457"/>
        <v>0</v>
      </c>
      <c r="BW278" s="172">
        <f>SUM(BW275:BW277)</f>
        <v>3366</v>
      </c>
      <c r="BX278" s="172">
        <f t="shared" si="457"/>
        <v>0</v>
      </c>
      <c r="BY278" s="172">
        <f t="shared" si="457"/>
        <v>0</v>
      </c>
      <c r="BZ278" s="172">
        <f t="shared" si="457"/>
        <v>0</v>
      </c>
      <c r="CA278" s="172">
        <f t="shared" si="457"/>
        <v>0</v>
      </c>
      <c r="CB278" s="172">
        <f t="shared" si="457"/>
        <v>0</v>
      </c>
      <c r="CC278" s="172">
        <f t="shared" si="457"/>
        <v>0</v>
      </c>
      <c r="CD278" s="172">
        <f t="shared" si="457"/>
        <v>0</v>
      </c>
      <c r="CE278" s="172">
        <f t="shared" si="457"/>
        <v>0</v>
      </c>
      <c r="CF278" s="172">
        <f t="shared" si="457"/>
        <v>0</v>
      </c>
      <c r="CG278" s="172">
        <f t="shared" si="457"/>
        <v>0</v>
      </c>
      <c r="CH278" s="172">
        <f t="shared" si="457"/>
        <v>0</v>
      </c>
      <c r="CI278" s="172">
        <f t="shared" si="457"/>
        <v>0</v>
      </c>
      <c r="CJ278" s="172">
        <f t="shared" si="457"/>
        <v>0</v>
      </c>
      <c r="CK278" s="172">
        <f t="shared" si="457"/>
        <v>0</v>
      </c>
      <c r="CL278" s="172">
        <f t="shared" si="457"/>
        <v>0</v>
      </c>
      <c r="CM278" s="172">
        <f t="shared" si="457"/>
        <v>0</v>
      </c>
      <c r="CN278" s="172">
        <f t="shared" si="457"/>
        <v>0</v>
      </c>
      <c r="CO278" s="172">
        <f t="shared" si="457"/>
        <v>0</v>
      </c>
      <c r="CP278" s="172">
        <f t="shared" si="457"/>
        <v>0</v>
      </c>
      <c r="CQ278" s="172">
        <f t="shared" si="457"/>
        <v>0</v>
      </c>
      <c r="CR278" s="172">
        <f t="shared" si="457"/>
        <v>0</v>
      </c>
      <c r="CS278" s="172">
        <f t="shared" si="457"/>
        <v>0</v>
      </c>
      <c r="CT278" s="172">
        <f t="shared" si="457"/>
        <v>0</v>
      </c>
      <c r="CU278" s="17">
        <f t="shared" si="391"/>
        <v>3300</v>
      </c>
      <c r="CV278" s="25">
        <f t="shared" si="392"/>
        <v>0</v>
      </c>
      <c r="CW278" s="176"/>
      <c r="CX278" s="164"/>
      <c r="CY278" s="164"/>
    </row>
    <row r="279" spans="1:103" x14ac:dyDescent="0.2">
      <c r="A279" s="2">
        <v>45895</v>
      </c>
      <c r="B279" s="3" t="s">
        <v>604</v>
      </c>
      <c r="C279" s="4" t="s">
        <v>712</v>
      </c>
      <c r="D279" s="5" t="s">
        <v>605</v>
      </c>
      <c r="E279" s="6" t="s">
        <v>606</v>
      </c>
      <c r="F279" s="7" t="s">
        <v>593</v>
      </c>
      <c r="G279" s="8" t="s">
        <v>607</v>
      </c>
      <c r="H279" s="9">
        <v>36705</v>
      </c>
      <c r="I279" s="10"/>
      <c r="J279" s="11" t="s">
        <v>608</v>
      </c>
      <c r="K279" s="12">
        <v>1</v>
      </c>
      <c r="L279" s="13">
        <v>180</v>
      </c>
      <c r="M279" s="14">
        <f t="shared" ref="M279" si="458">L279*K279</f>
        <v>180</v>
      </c>
      <c r="N279" s="15"/>
      <c r="O279" s="16" t="s">
        <v>137</v>
      </c>
      <c r="P279" s="17">
        <f>M279*0.02</f>
        <v>3.6</v>
      </c>
      <c r="Q279" s="18"/>
      <c r="R279" s="5"/>
      <c r="S279" s="19"/>
      <c r="T279" s="19"/>
      <c r="U279" s="19"/>
      <c r="V279" s="19"/>
      <c r="W279" s="17"/>
      <c r="X279" s="20"/>
      <c r="Y279" s="19"/>
      <c r="Z279" s="19"/>
      <c r="AA279" s="19"/>
      <c r="AB279" s="19"/>
      <c r="AC279" s="19"/>
      <c r="AD279" s="19"/>
      <c r="AE279" s="5"/>
      <c r="AF279" s="19"/>
      <c r="AG279" s="5"/>
      <c r="AH279" s="17"/>
      <c r="AI279" s="19"/>
      <c r="AJ279" s="19"/>
      <c r="AK279" s="19"/>
      <c r="AL279" s="19"/>
      <c r="AM279" s="17"/>
      <c r="AN279" s="19"/>
      <c r="AO279" s="19"/>
      <c r="AP279" s="19"/>
      <c r="AQ279" s="19"/>
      <c r="AR279" s="19"/>
      <c r="AS279" s="21"/>
      <c r="AT279" s="5"/>
      <c r="AU279" s="19"/>
      <c r="AV279" s="5"/>
      <c r="AW279" s="22"/>
      <c r="AX279" s="19"/>
      <c r="AY279" s="5"/>
      <c r="AZ279" s="19"/>
      <c r="BA279" s="5"/>
      <c r="BB279" s="5"/>
      <c r="BC279" s="19"/>
      <c r="BD279" s="19"/>
      <c r="BE279" s="19"/>
      <c r="BF279" s="19"/>
      <c r="BG279" s="19"/>
      <c r="BH279" s="19"/>
      <c r="BI279" s="19"/>
      <c r="BJ279" s="19"/>
      <c r="BK279" s="13"/>
      <c r="BL279" s="5"/>
      <c r="BM279" s="5"/>
      <c r="BN279" s="19"/>
      <c r="BO279" s="17"/>
      <c r="BP279" s="19"/>
      <c r="BQ279" s="17"/>
      <c r="BR279" s="19"/>
      <c r="BS279" s="13"/>
      <c r="BT279" s="5"/>
      <c r="BU279" s="23"/>
      <c r="BV279" s="23"/>
      <c r="BW279" s="24"/>
      <c r="BX279" s="5"/>
      <c r="BY279" s="17">
        <f>M279+P279-Q279</f>
        <v>183.6</v>
      </c>
      <c r="BZ279" s="5"/>
      <c r="CA279" s="24"/>
      <c r="CB279" s="24"/>
      <c r="CC279" s="24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>
        <f t="shared" si="391"/>
        <v>180</v>
      </c>
      <c r="CV279" s="25">
        <f t="shared" si="392"/>
        <v>0</v>
      </c>
      <c r="CW279" s="26"/>
      <c r="CX279" s="5"/>
      <c r="CY279" s="5"/>
    </row>
    <row r="280" spans="1:103" x14ac:dyDescent="0.2">
      <c r="A280" s="27"/>
      <c r="B280" s="28"/>
      <c r="C280" s="29"/>
      <c r="D280" s="30"/>
      <c r="E280" s="31"/>
      <c r="F280" s="32"/>
      <c r="G280" s="33"/>
      <c r="H280" s="34"/>
      <c r="I280" s="34"/>
      <c r="J280" s="35"/>
      <c r="K280" s="36"/>
      <c r="L280" s="37"/>
      <c r="M280" s="38">
        <f>SUM(M279:M279)</f>
        <v>180</v>
      </c>
      <c r="N280" s="38"/>
      <c r="O280" s="39" t="s">
        <v>137</v>
      </c>
      <c r="P280" s="38">
        <f>SUM(P279:P279)</f>
        <v>3.6</v>
      </c>
      <c r="Q280" s="38"/>
      <c r="R280" s="30"/>
      <c r="S280" s="38">
        <f t="shared" ref="S280:AD280" si="459">SUM(S279:S279)</f>
        <v>0</v>
      </c>
      <c r="T280" s="38">
        <f t="shared" si="459"/>
        <v>0</v>
      </c>
      <c r="U280" s="38">
        <f t="shared" si="459"/>
        <v>0</v>
      </c>
      <c r="V280" s="38">
        <f t="shared" si="459"/>
        <v>0</v>
      </c>
      <c r="W280" s="38">
        <f t="shared" si="459"/>
        <v>0</v>
      </c>
      <c r="X280" s="38">
        <f t="shared" si="459"/>
        <v>0</v>
      </c>
      <c r="Y280" s="38">
        <f t="shared" si="459"/>
        <v>0</v>
      </c>
      <c r="Z280" s="38">
        <f t="shared" si="459"/>
        <v>0</v>
      </c>
      <c r="AA280" s="38">
        <f t="shared" si="459"/>
        <v>0</v>
      </c>
      <c r="AB280" s="38">
        <f t="shared" si="459"/>
        <v>0</v>
      </c>
      <c r="AC280" s="38">
        <f t="shared" si="459"/>
        <v>0</v>
      </c>
      <c r="AD280" s="38">
        <f t="shared" si="459"/>
        <v>0</v>
      </c>
      <c r="AE280" s="30"/>
      <c r="AF280" s="38">
        <f>SUM(AF279:AF279)</f>
        <v>0</v>
      </c>
      <c r="AG280" s="30"/>
      <c r="AH280" s="38">
        <f t="shared" ref="AH280:AZ280" si="460">SUM(AH279:AH279)</f>
        <v>0</v>
      </c>
      <c r="AI280" s="38">
        <f t="shared" si="460"/>
        <v>0</v>
      </c>
      <c r="AJ280" s="38">
        <f t="shared" si="460"/>
        <v>0</v>
      </c>
      <c r="AK280" s="38">
        <f t="shared" si="460"/>
        <v>0</v>
      </c>
      <c r="AL280" s="38">
        <f t="shared" si="460"/>
        <v>0</v>
      </c>
      <c r="AM280" s="38">
        <f t="shared" si="460"/>
        <v>0</v>
      </c>
      <c r="AN280" s="38">
        <f t="shared" si="460"/>
        <v>0</v>
      </c>
      <c r="AO280" s="38">
        <f t="shared" si="460"/>
        <v>0</v>
      </c>
      <c r="AP280" s="38">
        <f t="shared" si="460"/>
        <v>0</v>
      </c>
      <c r="AQ280" s="38">
        <f t="shared" si="460"/>
        <v>0</v>
      </c>
      <c r="AR280" s="38">
        <f t="shared" si="460"/>
        <v>0</v>
      </c>
      <c r="AS280" s="38">
        <f t="shared" si="460"/>
        <v>0</v>
      </c>
      <c r="AT280" s="38">
        <f t="shared" si="460"/>
        <v>0</v>
      </c>
      <c r="AU280" s="38">
        <f t="shared" si="460"/>
        <v>0</v>
      </c>
      <c r="AV280" s="38">
        <f t="shared" si="460"/>
        <v>0</v>
      </c>
      <c r="AW280" s="38">
        <f t="shared" si="460"/>
        <v>0</v>
      </c>
      <c r="AX280" s="38">
        <f t="shared" si="460"/>
        <v>0</v>
      </c>
      <c r="AY280" s="38">
        <f t="shared" si="460"/>
        <v>0</v>
      </c>
      <c r="AZ280" s="38">
        <f t="shared" si="460"/>
        <v>0</v>
      </c>
      <c r="BA280" s="30"/>
      <c r="BB280" s="38">
        <f t="shared" ref="BB280:CT280" si="461">SUM(BB279:BB279)</f>
        <v>0</v>
      </c>
      <c r="BC280" s="38">
        <f t="shared" si="461"/>
        <v>0</v>
      </c>
      <c r="BD280" s="38">
        <f t="shared" si="461"/>
        <v>0</v>
      </c>
      <c r="BE280" s="38">
        <f t="shared" si="461"/>
        <v>0</v>
      </c>
      <c r="BF280" s="38">
        <f t="shared" si="461"/>
        <v>0</v>
      </c>
      <c r="BG280" s="38">
        <f t="shared" si="461"/>
        <v>0</v>
      </c>
      <c r="BH280" s="38">
        <f t="shared" si="461"/>
        <v>0</v>
      </c>
      <c r="BI280" s="38">
        <f t="shared" si="461"/>
        <v>0</v>
      </c>
      <c r="BJ280" s="38">
        <f t="shared" si="461"/>
        <v>0</v>
      </c>
      <c r="BK280" s="38">
        <f t="shared" si="461"/>
        <v>0</v>
      </c>
      <c r="BL280" s="38">
        <f t="shared" si="461"/>
        <v>0</v>
      </c>
      <c r="BM280" s="38">
        <f t="shared" si="461"/>
        <v>0</v>
      </c>
      <c r="BN280" s="38">
        <f t="shared" si="461"/>
        <v>0</v>
      </c>
      <c r="BO280" s="38">
        <f t="shared" si="461"/>
        <v>0</v>
      </c>
      <c r="BP280" s="38">
        <f t="shared" si="461"/>
        <v>0</v>
      </c>
      <c r="BQ280" s="38">
        <f t="shared" si="461"/>
        <v>0</v>
      </c>
      <c r="BR280" s="38">
        <f t="shared" si="461"/>
        <v>0</v>
      </c>
      <c r="BS280" s="38">
        <f t="shared" si="461"/>
        <v>0</v>
      </c>
      <c r="BT280" s="38">
        <f t="shared" si="461"/>
        <v>0</v>
      </c>
      <c r="BU280" s="38">
        <f t="shared" si="461"/>
        <v>0</v>
      </c>
      <c r="BV280" s="38">
        <f t="shared" si="461"/>
        <v>0</v>
      </c>
      <c r="BW280" s="38">
        <f t="shared" si="461"/>
        <v>0</v>
      </c>
      <c r="BX280" s="38">
        <f t="shared" si="461"/>
        <v>0</v>
      </c>
      <c r="BY280" s="38">
        <f>SUM(BY279:BY279)</f>
        <v>183.6</v>
      </c>
      <c r="BZ280" s="38">
        <f t="shared" si="461"/>
        <v>0</v>
      </c>
      <c r="CA280" s="38">
        <f t="shared" si="461"/>
        <v>0</v>
      </c>
      <c r="CB280" s="38">
        <f t="shared" si="461"/>
        <v>0</v>
      </c>
      <c r="CC280" s="38">
        <f t="shared" si="461"/>
        <v>0</v>
      </c>
      <c r="CD280" s="38">
        <f t="shared" si="461"/>
        <v>0</v>
      </c>
      <c r="CE280" s="38">
        <f t="shared" si="461"/>
        <v>0</v>
      </c>
      <c r="CF280" s="38">
        <f t="shared" si="461"/>
        <v>0</v>
      </c>
      <c r="CG280" s="38">
        <f t="shared" si="461"/>
        <v>0</v>
      </c>
      <c r="CH280" s="38">
        <f t="shared" si="461"/>
        <v>0</v>
      </c>
      <c r="CI280" s="38">
        <f t="shared" si="461"/>
        <v>0</v>
      </c>
      <c r="CJ280" s="38">
        <f t="shared" si="461"/>
        <v>0</v>
      </c>
      <c r="CK280" s="38">
        <f t="shared" si="461"/>
        <v>0</v>
      </c>
      <c r="CL280" s="38">
        <f t="shared" si="461"/>
        <v>0</v>
      </c>
      <c r="CM280" s="38">
        <f t="shared" si="461"/>
        <v>0</v>
      </c>
      <c r="CN280" s="38">
        <f t="shared" si="461"/>
        <v>0</v>
      </c>
      <c r="CO280" s="38">
        <f t="shared" si="461"/>
        <v>0</v>
      </c>
      <c r="CP280" s="38">
        <f t="shared" si="461"/>
        <v>0</v>
      </c>
      <c r="CQ280" s="38">
        <f t="shared" si="461"/>
        <v>0</v>
      </c>
      <c r="CR280" s="38">
        <f t="shared" si="461"/>
        <v>0</v>
      </c>
      <c r="CS280" s="38">
        <f t="shared" si="461"/>
        <v>0</v>
      </c>
      <c r="CT280" s="38">
        <f t="shared" si="461"/>
        <v>0</v>
      </c>
      <c r="CU280" s="17">
        <f t="shared" si="391"/>
        <v>180</v>
      </c>
      <c r="CV280" s="25">
        <f t="shared" si="392"/>
        <v>0</v>
      </c>
      <c r="CW280" s="40"/>
      <c r="CX280" s="30"/>
      <c r="CY280" s="30"/>
    </row>
    <row r="281" spans="1:103" x14ac:dyDescent="0.2">
      <c r="A281" s="2">
        <v>45895</v>
      </c>
      <c r="B281" s="3" t="s">
        <v>604</v>
      </c>
      <c r="C281" s="4" t="s">
        <v>713</v>
      </c>
      <c r="D281" s="5" t="s">
        <v>609</v>
      </c>
      <c r="E281" s="6" t="s">
        <v>134</v>
      </c>
      <c r="F281" s="7"/>
      <c r="G281" s="8"/>
      <c r="H281" s="9"/>
      <c r="I281" s="10"/>
      <c r="J281" s="11" t="s">
        <v>135</v>
      </c>
      <c r="K281" s="12">
        <v>1</v>
      </c>
      <c r="L281" s="13">
        <v>300</v>
      </c>
      <c r="M281" s="14">
        <f t="shared" ref="M281" si="462">L281*K281</f>
        <v>300</v>
      </c>
      <c r="N281" s="15"/>
      <c r="O281" s="16" t="s">
        <v>137</v>
      </c>
      <c r="P281" s="17"/>
      <c r="Q281" s="18"/>
      <c r="R281" s="5"/>
      <c r="S281" s="19"/>
      <c r="T281" s="19"/>
      <c r="U281" s="19"/>
      <c r="V281" s="19"/>
      <c r="W281" s="17"/>
      <c r="X281" s="20"/>
      <c r="Y281" s="19"/>
      <c r="Z281" s="19"/>
      <c r="AA281" s="19"/>
      <c r="AB281" s="19"/>
      <c r="AC281" s="19"/>
      <c r="AD281" s="19"/>
      <c r="AE281" s="5"/>
      <c r="AF281" s="19"/>
      <c r="AG281" s="5"/>
      <c r="AH281" s="17"/>
      <c r="AI281" s="19"/>
      <c r="AJ281" s="19"/>
      <c r="AK281" s="19"/>
      <c r="AL281" s="19"/>
      <c r="AM281" s="17"/>
      <c r="AN281" s="19"/>
      <c r="AO281" s="19"/>
      <c r="AP281" s="19"/>
      <c r="AQ281" s="19"/>
      <c r="AR281" s="19"/>
      <c r="AS281" s="21"/>
      <c r="AT281" s="5"/>
      <c r="AU281" s="19"/>
      <c r="AV281" s="5"/>
      <c r="AW281" s="22"/>
      <c r="AX281" s="19"/>
      <c r="AY281" s="5"/>
      <c r="AZ281" s="19"/>
      <c r="BA281" s="5"/>
      <c r="BB281" s="5"/>
      <c r="BC281" s="19"/>
      <c r="BD281" s="19"/>
      <c r="BE281" s="19"/>
      <c r="BF281" s="19"/>
      <c r="BG281" s="19"/>
      <c r="BH281" s="19"/>
      <c r="BI281" s="19"/>
      <c r="BJ281" s="19"/>
      <c r="BK281" s="13"/>
      <c r="BL281" s="5"/>
      <c r="BM281" s="5"/>
      <c r="BN281" s="19"/>
      <c r="BO281" s="17">
        <f>M281+P281-Q281</f>
        <v>300</v>
      </c>
      <c r="BP281" s="19"/>
      <c r="BQ281" s="17"/>
      <c r="BR281" s="19"/>
      <c r="BS281" s="13"/>
      <c r="BT281" s="5"/>
      <c r="BU281" s="23"/>
      <c r="BV281" s="23"/>
      <c r="BW281" s="24"/>
      <c r="BX281" s="5"/>
      <c r="BY281" s="5"/>
      <c r="BZ281" s="5"/>
      <c r="CA281" s="24"/>
      <c r="CB281" s="24"/>
      <c r="CC281" s="24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>
        <f t="shared" si="391"/>
        <v>300</v>
      </c>
      <c r="CV281" s="25">
        <f t="shared" si="392"/>
        <v>0</v>
      </c>
      <c r="CW281" s="26"/>
      <c r="CX281" s="5"/>
      <c r="CY281" s="5"/>
    </row>
    <row r="282" spans="1:103" x14ac:dyDescent="0.2">
      <c r="A282" s="27"/>
      <c r="B282" s="28"/>
      <c r="C282" s="29"/>
      <c r="D282" s="30"/>
      <c r="E282" s="31"/>
      <c r="F282" s="32"/>
      <c r="G282" s="33"/>
      <c r="H282" s="34"/>
      <c r="I282" s="34"/>
      <c r="J282" s="35"/>
      <c r="K282" s="36"/>
      <c r="L282" s="37"/>
      <c r="M282" s="38">
        <f>SUM(M281:M281)</f>
        <v>300</v>
      </c>
      <c r="N282" s="38"/>
      <c r="O282" s="39" t="s">
        <v>137</v>
      </c>
      <c r="P282" s="38"/>
      <c r="Q282" s="38"/>
      <c r="R282" s="30"/>
      <c r="S282" s="38">
        <f t="shared" ref="S282:AD282" si="463">SUM(S281:S281)</f>
        <v>0</v>
      </c>
      <c r="T282" s="38">
        <f t="shared" si="463"/>
        <v>0</v>
      </c>
      <c r="U282" s="38">
        <f t="shared" si="463"/>
        <v>0</v>
      </c>
      <c r="V282" s="38">
        <f t="shared" si="463"/>
        <v>0</v>
      </c>
      <c r="W282" s="38">
        <f t="shared" si="463"/>
        <v>0</v>
      </c>
      <c r="X282" s="38">
        <f t="shared" si="463"/>
        <v>0</v>
      </c>
      <c r="Y282" s="38">
        <f t="shared" si="463"/>
        <v>0</v>
      </c>
      <c r="Z282" s="38">
        <f t="shared" si="463"/>
        <v>0</v>
      </c>
      <c r="AA282" s="38">
        <f t="shared" si="463"/>
        <v>0</v>
      </c>
      <c r="AB282" s="38">
        <f t="shared" si="463"/>
        <v>0</v>
      </c>
      <c r="AC282" s="38">
        <f t="shared" si="463"/>
        <v>0</v>
      </c>
      <c r="AD282" s="38">
        <f t="shared" si="463"/>
        <v>0</v>
      </c>
      <c r="AE282" s="30"/>
      <c r="AF282" s="38">
        <f>SUM(AF281:AF281)</f>
        <v>0</v>
      </c>
      <c r="AG282" s="30"/>
      <c r="AH282" s="38">
        <f t="shared" ref="AH282:AZ282" si="464">SUM(AH281:AH281)</f>
        <v>0</v>
      </c>
      <c r="AI282" s="38">
        <f t="shared" si="464"/>
        <v>0</v>
      </c>
      <c r="AJ282" s="38">
        <f t="shared" si="464"/>
        <v>0</v>
      </c>
      <c r="AK282" s="38">
        <f t="shared" si="464"/>
        <v>0</v>
      </c>
      <c r="AL282" s="38">
        <f t="shared" si="464"/>
        <v>0</v>
      </c>
      <c r="AM282" s="38">
        <f t="shared" si="464"/>
        <v>0</v>
      </c>
      <c r="AN282" s="38">
        <f t="shared" si="464"/>
        <v>0</v>
      </c>
      <c r="AO282" s="38">
        <f t="shared" si="464"/>
        <v>0</v>
      </c>
      <c r="AP282" s="38">
        <f t="shared" si="464"/>
        <v>0</v>
      </c>
      <c r="AQ282" s="38">
        <f t="shared" si="464"/>
        <v>0</v>
      </c>
      <c r="AR282" s="38">
        <f t="shared" si="464"/>
        <v>0</v>
      </c>
      <c r="AS282" s="38">
        <f t="shared" si="464"/>
        <v>0</v>
      </c>
      <c r="AT282" s="38">
        <f t="shared" si="464"/>
        <v>0</v>
      </c>
      <c r="AU282" s="38">
        <f t="shared" si="464"/>
        <v>0</v>
      </c>
      <c r="AV282" s="38">
        <f t="shared" si="464"/>
        <v>0</v>
      </c>
      <c r="AW282" s="38">
        <f t="shared" si="464"/>
        <v>0</v>
      </c>
      <c r="AX282" s="38">
        <f t="shared" si="464"/>
        <v>0</v>
      </c>
      <c r="AY282" s="38">
        <f t="shared" si="464"/>
        <v>0</v>
      </c>
      <c r="AZ282" s="38">
        <f t="shared" si="464"/>
        <v>0</v>
      </c>
      <c r="BA282" s="30"/>
      <c r="BB282" s="38">
        <f t="shared" ref="BB282:CT282" si="465">SUM(BB281:BB281)</f>
        <v>0</v>
      </c>
      <c r="BC282" s="38">
        <f t="shared" si="465"/>
        <v>0</v>
      </c>
      <c r="BD282" s="38">
        <f t="shared" si="465"/>
        <v>0</v>
      </c>
      <c r="BE282" s="38">
        <f t="shared" si="465"/>
        <v>0</v>
      </c>
      <c r="BF282" s="38">
        <f t="shared" si="465"/>
        <v>0</v>
      </c>
      <c r="BG282" s="38">
        <f t="shared" si="465"/>
        <v>0</v>
      </c>
      <c r="BH282" s="38">
        <f t="shared" si="465"/>
        <v>0</v>
      </c>
      <c r="BI282" s="38">
        <f t="shared" si="465"/>
        <v>0</v>
      </c>
      <c r="BJ282" s="38">
        <f t="shared" si="465"/>
        <v>0</v>
      </c>
      <c r="BK282" s="38">
        <f t="shared" si="465"/>
        <v>0</v>
      </c>
      <c r="BL282" s="38">
        <f t="shared" si="465"/>
        <v>0</v>
      </c>
      <c r="BM282" s="38">
        <f t="shared" si="465"/>
        <v>0</v>
      </c>
      <c r="BN282" s="38">
        <f t="shared" si="465"/>
        <v>0</v>
      </c>
      <c r="BO282" s="38">
        <f>SUM(BO281:BO281)</f>
        <v>300</v>
      </c>
      <c r="BP282" s="38">
        <f t="shared" si="465"/>
        <v>0</v>
      </c>
      <c r="BQ282" s="38">
        <f t="shared" si="465"/>
        <v>0</v>
      </c>
      <c r="BR282" s="38">
        <f t="shared" si="465"/>
        <v>0</v>
      </c>
      <c r="BS282" s="38">
        <f t="shared" si="465"/>
        <v>0</v>
      </c>
      <c r="BT282" s="38">
        <f t="shared" si="465"/>
        <v>0</v>
      </c>
      <c r="BU282" s="38">
        <f t="shared" si="465"/>
        <v>0</v>
      </c>
      <c r="BV282" s="38">
        <f t="shared" si="465"/>
        <v>0</v>
      </c>
      <c r="BW282" s="38">
        <f t="shared" si="465"/>
        <v>0</v>
      </c>
      <c r="BX282" s="38">
        <f t="shared" si="465"/>
        <v>0</v>
      </c>
      <c r="BY282" s="38">
        <f t="shared" si="465"/>
        <v>0</v>
      </c>
      <c r="BZ282" s="38">
        <f t="shared" si="465"/>
        <v>0</v>
      </c>
      <c r="CA282" s="38">
        <f t="shared" si="465"/>
        <v>0</v>
      </c>
      <c r="CB282" s="38">
        <f t="shared" si="465"/>
        <v>0</v>
      </c>
      <c r="CC282" s="38">
        <f t="shared" si="465"/>
        <v>0</v>
      </c>
      <c r="CD282" s="38">
        <f t="shared" si="465"/>
        <v>0</v>
      </c>
      <c r="CE282" s="38">
        <f t="shared" si="465"/>
        <v>0</v>
      </c>
      <c r="CF282" s="38">
        <f t="shared" si="465"/>
        <v>0</v>
      </c>
      <c r="CG282" s="38">
        <f t="shared" si="465"/>
        <v>0</v>
      </c>
      <c r="CH282" s="38">
        <f t="shared" si="465"/>
        <v>0</v>
      </c>
      <c r="CI282" s="38">
        <f t="shared" si="465"/>
        <v>0</v>
      </c>
      <c r="CJ282" s="38">
        <f t="shared" si="465"/>
        <v>0</v>
      </c>
      <c r="CK282" s="38">
        <f t="shared" si="465"/>
        <v>0</v>
      </c>
      <c r="CL282" s="38">
        <f t="shared" si="465"/>
        <v>0</v>
      </c>
      <c r="CM282" s="38">
        <f t="shared" si="465"/>
        <v>0</v>
      </c>
      <c r="CN282" s="38">
        <f t="shared" si="465"/>
        <v>0</v>
      </c>
      <c r="CO282" s="38">
        <f t="shared" si="465"/>
        <v>0</v>
      </c>
      <c r="CP282" s="38">
        <f t="shared" si="465"/>
        <v>0</v>
      </c>
      <c r="CQ282" s="38">
        <f t="shared" si="465"/>
        <v>0</v>
      </c>
      <c r="CR282" s="38">
        <f t="shared" si="465"/>
        <v>0</v>
      </c>
      <c r="CS282" s="38">
        <f t="shared" si="465"/>
        <v>0</v>
      </c>
      <c r="CT282" s="38">
        <f t="shared" si="465"/>
        <v>0</v>
      </c>
      <c r="CU282" s="17">
        <f t="shared" si="391"/>
        <v>300</v>
      </c>
      <c r="CV282" s="25">
        <f t="shared" si="392"/>
        <v>0</v>
      </c>
      <c r="CW282" s="40"/>
      <c r="CX282" s="30"/>
      <c r="CY282" s="30"/>
    </row>
    <row r="283" spans="1:103" x14ac:dyDescent="0.2">
      <c r="A283" s="2">
        <v>45895</v>
      </c>
      <c r="B283" s="3" t="s">
        <v>604</v>
      </c>
      <c r="C283" s="4" t="s">
        <v>714</v>
      </c>
      <c r="D283" s="5" t="s">
        <v>605</v>
      </c>
      <c r="E283" s="6" t="s">
        <v>234</v>
      </c>
      <c r="F283" s="7"/>
      <c r="G283" s="8"/>
      <c r="H283" s="9" t="s">
        <v>610</v>
      </c>
      <c r="I283" s="10"/>
      <c r="J283" s="11" t="s">
        <v>232</v>
      </c>
      <c r="K283" s="12">
        <v>1</v>
      </c>
      <c r="L283" s="13">
        <v>298</v>
      </c>
      <c r="M283" s="14">
        <f t="shared" ref="M283" si="466">L283*K283</f>
        <v>298</v>
      </c>
      <c r="N283" s="15"/>
      <c r="O283" s="16" t="s">
        <v>137</v>
      </c>
      <c r="P283" s="17"/>
      <c r="Q283" s="18"/>
      <c r="R283" s="5"/>
      <c r="S283" s="19"/>
      <c r="T283" s="19"/>
      <c r="U283" s="19"/>
      <c r="V283" s="19"/>
      <c r="W283" s="17"/>
      <c r="X283" s="20"/>
      <c r="Y283" s="19"/>
      <c r="Z283" s="19"/>
      <c r="AA283" s="19"/>
      <c r="AB283" s="19"/>
      <c r="AC283" s="19"/>
      <c r="AD283" s="19"/>
      <c r="AE283" s="5"/>
      <c r="AF283" s="19"/>
      <c r="AG283" s="5"/>
      <c r="AH283" s="17"/>
      <c r="AI283" s="19"/>
      <c r="AJ283" s="19"/>
      <c r="AK283" s="19"/>
      <c r="AL283" s="19"/>
      <c r="AM283" s="17"/>
      <c r="AN283" s="19"/>
      <c r="AO283" s="19"/>
      <c r="AP283" s="19"/>
      <c r="AQ283" s="19"/>
      <c r="AR283" s="19"/>
      <c r="AS283" s="21"/>
      <c r="AT283" s="5"/>
      <c r="AU283" s="19"/>
      <c r="AV283" s="5"/>
      <c r="AW283" s="22"/>
      <c r="AX283" s="19"/>
      <c r="AY283" s="5"/>
      <c r="AZ283" s="19"/>
      <c r="BA283" s="5"/>
      <c r="BB283" s="5"/>
      <c r="BC283" s="19"/>
      <c r="BD283" s="19"/>
      <c r="BE283" s="19"/>
      <c r="BF283" s="19"/>
      <c r="BG283" s="19"/>
      <c r="BH283" s="19"/>
      <c r="BI283" s="19"/>
      <c r="BJ283" s="19"/>
      <c r="BK283" s="13"/>
      <c r="BL283" s="5"/>
      <c r="BM283" s="5"/>
      <c r="BN283" s="19"/>
      <c r="BO283" s="17">
        <f>M283+P283-Q283</f>
        <v>298</v>
      </c>
      <c r="BP283" s="19"/>
      <c r="BQ283" s="17"/>
      <c r="BR283" s="19"/>
      <c r="BS283" s="13"/>
      <c r="BT283" s="5"/>
      <c r="BU283" s="23"/>
      <c r="BV283" s="23"/>
      <c r="BW283" s="24"/>
      <c r="BX283" s="5"/>
      <c r="BY283" s="5"/>
      <c r="BZ283" s="5"/>
      <c r="CA283" s="24"/>
      <c r="CB283" s="24"/>
      <c r="CC283" s="24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>
        <f t="shared" si="391"/>
        <v>298</v>
      </c>
      <c r="CV283" s="25">
        <f t="shared" si="392"/>
        <v>0</v>
      </c>
      <c r="CW283" s="26"/>
      <c r="CX283" s="5"/>
      <c r="CY283" s="5"/>
    </row>
    <row r="284" spans="1:103" x14ac:dyDescent="0.2">
      <c r="A284" s="161"/>
      <c r="B284" s="162"/>
      <c r="C284" s="163"/>
      <c r="D284" s="164"/>
      <c r="E284" s="165"/>
      <c r="F284" s="166"/>
      <c r="G284" s="167"/>
      <c r="H284" s="168"/>
      <c r="I284" s="168"/>
      <c r="J284" s="169"/>
      <c r="K284" s="170"/>
      <c r="L284" s="171"/>
      <c r="M284" s="172">
        <f>SUM(M283:M283)</f>
        <v>298</v>
      </c>
      <c r="N284" s="172">
        <f>M284+M282+M280</f>
        <v>778</v>
      </c>
      <c r="O284" s="173" t="s">
        <v>137</v>
      </c>
      <c r="P284" s="172">
        <f>SUM(P283:P283)</f>
        <v>0</v>
      </c>
      <c r="Q284" s="172">
        <f>SUM(Q283:Q283)</f>
        <v>0</v>
      </c>
      <c r="R284" s="164"/>
      <c r="S284" s="172">
        <f t="shared" ref="S284:AD284" si="467">SUM(S283:S283)</f>
        <v>0</v>
      </c>
      <c r="T284" s="172">
        <f t="shared" si="467"/>
        <v>0</v>
      </c>
      <c r="U284" s="172">
        <f t="shared" si="467"/>
        <v>0</v>
      </c>
      <c r="V284" s="172">
        <f t="shared" si="467"/>
        <v>0</v>
      </c>
      <c r="W284" s="172">
        <f t="shared" si="467"/>
        <v>0</v>
      </c>
      <c r="X284" s="172">
        <f t="shared" si="467"/>
        <v>0</v>
      </c>
      <c r="Y284" s="172">
        <f t="shared" si="467"/>
        <v>0</v>
      </c>
      <c r="Z284" s="172">
        <f t="shared" si="467"/>
        <v>0</v>
      </c>
      <c r="AA284" s="172">
        <f t="shared" si="467"/>
        <v>0</v>
      </c>
      <c r="AB284" s="172">
        <f t="shared" si="467"/>
        <v>0</v>
      </c>
      <c r="AC284" s="172">
        <f t="shared" si="467"/>
        <v>0</v>
      </c>
      <c r="AD284" s="172">
        <f t="shared" si="467"/>
        <v>0</v>
      </c>
      <c r="AE284" s="164"/>
      <c r="AF284" s="172">
        <f>SUM(AF283:AF283)</f>
        <v>0</v>
      </c>
      <c r="AG284" s="164"/>
      <c r="AH284" s="172">
        <f t="shared" ref="AH284:AZ284" si="468">SUM(AH283:AH283)</f>
        <v>0</v>
      </c>
      <c r="AI284" s="172">
        <f t="shared" si="468"/>
        <v>0</v>
      </c>
      <c r="AJ284" s="172">
        <f t="shared" si="468"/>
        <v>0</v>
      </c>
      <c r="AK284" s="172">
        <f t="shared" si="468"/>
        <v>0</v>
      </c>
      <c r="AL284" s="172">
        <f t="shared" si="468"/>
        <v>0</v>
      </c>
      <c r="AM284" s="172">
        <f t="shared" si="468"/>
        <v>0</v>
      </c>
      <c r="AN284" s="172">
        <f t="shared" si="468"/>
        <v>0</v>
      </c>
      <c r="AO284" s="172">
        <f t="shared" si="468"/>
        <v>0</v>
      </c>
      <c r="AP284" s="172">
        <f t="shared" si="468"/>
        <v>0</v>
      </c>
      <c r="AQ284" s="172">
        <f t="shared" si="468"/>
        <v>0</v>
      </c>
      <c r="AR284" s="172">
        <f t="shared" si="468"/>
        <v>0</v>
      </c>
      <c r="AS284" s="172">
        <f t="shared" si="468"/>
        <v>0</v>
      </c>
      <c r="AT284" s="172">
        <f t="shared" si="468"/>
        <v>0</v>
      </c>
      <c r="AU284" s="172">
        <f t="shared" si="468"/>
        <v>0</v>
      </c>
      <c r="AV284" s="172">
        <f t="shared" si="468"/>
        <v>0</v>
      </c>
      <c r="AW284" s="172">
        <f t="shared" si="468"/>
        <v>0</v>
      </c>
      <c r="AX284" s="172">
        <f t="shared" si="468"/>
        <v>0</v>
      </c>
      <c r="AY284" s="172">
        <f t="shared" si="468"/>
        <v>0</v>
      </c>
      <c r="AZ284" s="172">
        <f t="shared" si="468"/>
        <v>0</v>
      </c>
      <c r="BA284" s="164"/>
      <c r="BB284" s="172">
        <f t="shared" ref="BB284:CT284" si="469">SUM(BB283:BB283)</f>
        <v>0</v>
      </c>
      <c r="BC284" s="172">
        <f t="shared" si="469"/>
        <v>0</v>
      </c>
      <c r="BD284" s="172">
        <f t="shared" si="469"/>
        <v>0</v>
      </c>
      <c r="BE284" s="172">
        <f t="shared" si="469"/>
        <v>0</v>
      </c>
      <c r="BF284" s="172">
        <f t="shared" si="469"/>
        <v>0</v>
      </c>
      <c r="BG284" s="172">
        <f t="shared" si="469"/>
        <v>0</v>
      </c>
      <c r="BH284" s="172">
        <f t="shared" si="469"/>
        <v>0</v>
      </c>
      <c r="BI284" s="172">
        <f t="shared" si="469"/>
        <v>0</v>
      </c>
      <c r="BJ284" s="172">
        <f t="shared" si="469"/>
        <v>0</v>
      </c>
      <c r="BK284" s="172">
        <f t="shared" si="469"/>
        <v>0</v>
      </c>
      <c r="BL284" s="172">
        <f t="shared" si="469"/>
        <v>0</v>
      </c>
      <c r="BM284" s="172">
        <f t="shared" si="469"/>
        <v>0</v>
      </c>
      <c r="BN284" s="172">
        <f t="shared" si="469"/>
        <v>0</v>
      </c>
      <c r="BO284" s="172">
        <f>SUM(BO283:BO283)</f>
        <v>298</v>
      </c>
      <c r="BP284" s="172">
        <f t="shared" si="469"/>
        <v>0</v>
      </c>
      <c r="BQ284" s="172">
        <f t="shared" si="469"/>
        <v>0</v>
      </c>
      <c r="BR284" s="172">
        <f t="shared" si="469"/>
        <v>0</v>
      </c>
      <c r="BS284" s="172">
        <f t="shared" si="469"/>
        <v>0</v>
      </c>
      <c r="BT284" s="172">
        <f t="shared" si="469"/>
        <v>0</v>
      </c>
      <c r="BU284" s="172">
        <f t="shared" si="469"/>
        <v>0</v>
      </c>
      <c r="BV284" s="172">
        <f t="shared" si="469"/>
        <v>0</v>
      </c>
      <c r="BW284" s="172">
        <f t="shared" si="469"/>
        <v>0</v>
      </c>
      <c r="BX284" s="172">
        <f t="shared" si="469"/>
        <v>0</v>
      </c>
      <c r="BY284" s="172">
        <f t="shared" si="469"/>
        <v>0</v>
      </c>
      <c r="BZ284" s="172">
        <f t="shared" si="469"/>
        <v>0</v>
      </c>
      <c r="CA284" s="172">
        <f t="shared" si="469"/>
        <v>0</v>
      </c>
      <c r="CB284" s="172">
        <f t="shared" si="469"/>
        <v>0</v>
      </c>
      <c r="CC284" s="172">
        <f t="shared" si="469"/>
        <v>0</v>
      </c>
      <c r="CD284" s="172">
        <f t="shared" si="469"/>
        <v>0</v>
      </c>
      <c r="CE284" s="172">
        <f t="shared" si="469"/>
        <v>0</v>
      </c>
      <c r="CF284" s="172">
        <f t="shared" si="469"/>
        <v>0</v>
      </c>
      <c r="CG284" s="172">
        <f t="shared" si="469"/>
        <v>0</v>
      </c>
      <c r="CH284" s="172">
        <f t="shared" si="469"/>
        <v>0</v>
      </c>
      <c r="CI284" s="172">
        <f t="shared" si="469"/>
        <v>0</v>
      </c>
      <c r="CJ284" s="172">
        <f t="shared" si="469"/>
        <v>0</v>
      </c>
      <c r="CK284" s="172">
        <f t="shared" si="469"/>
        <v>0</v>
      </c>
      <c r="CL284" s="172">
        <f t="shared" si="469"/>
        <v>0</v>
      </c>
      <c r="CM284" s="172">
        <f t="shared" si="469"/>
        <v>0</v>
      </c>
      <c r="CN284" s="172">
        <f t="shared" si="469"/>
        <v>0</v>
      </c>
      <c r="CO284" s="172">
        <f t="shared" si="469"/>
        <v>0</v>
      </c>
      <c r="CP284" s="172">
        <f t="shared" si="469"/>
        <v>0</v>
      </c>
      <c r="CQ284" s="172">
        <f t="shared" si="469"/>
        <v>0</v>
      </c>
      <c r="CR284" s="172">
        <f t="shared" si="469"/>
        <v>0</v>
      </c>
      <c r="CS284" s="172">
        <f t="shared" si="469"/>
        <v>0</v>
      </c>
      <c r="CT284" s="172">
        <f t="shared" si="469"/>
        <v>0</v>
      </c>
      <c r="CU284" s="17">
        <f t="shared" si="391"/>
        <v>298</v>
      </c>
      <c r="CV284" s="25">
        <f t="shared" si="392"/>
        <v>0</v>
      </c>
      <c r="CW284" s="176"/>
      <c r="CX284" s="164"/>
      <c r="CY284" s="164"/>
    </row>
    <row r="285" spans="1:103" x14ac:dyDescent="0.2">
      <c r="A285" s="2">
        <v>45894</v>
      </c>
      <c r="B285" s="3" t="s">
        <v>611</v>
      </c>
      <c r="C285" s="4" t="s">
        <v>715</v>
      </c>
      <c r="D285" s="5" t="s">
        <v>570</v>
      </c>
      <c r="E285" s="6" t="s">
        <v>612</v>
      </c>
      <c r="F285" s="7" t="s">
        <v>229</v>
      </c>
      <c r="G285" s="8" t="s">
        <v>613</v>
      </c>
      <c r="H285" s="9">
        <v>34540</v>
      </c>
      <c r="I285" s="10"/>
      <c r="J285" s="11" t="s">
        <v>614</v>
      </c>
      <c r="K285" s="12">
        <v>1</v>
      </c>
      <c r="L285" s="13">
        <v>348</v>
      </c>
      <c r="M285" s="14">
        <f t="shared" ref="M285" si="470">L285*K285</f>
        <v>348</v>
      </c>
      <c r="N285" s="15"/>
      <c r="O285" s="16" t="s">
        <v>137</v>
      </c>
      <c r="P285" s="17">
        <f>M285*0.02</f>
        <v>6.96</v>
      </c>
      <c r="Q285" s="18"/>
      <c r="R285" s="5"/>
      <c r="S285" s="19"/>
      <c r="T285" s="19"/>
      <c r="U285" s="19"/>
      <c r="V285" s="19"/>
      <c r="W285" s="17"/>
      <c r="X285" s="20"/>
      <c r="Y285" s="19"/>
      <c r="Z285" s="19"/>
      <c r="AA285" s="19"/>
      <c r="AB285" s="19"/>
      <c r="AC285" s="19"/>
      <c r="AD285" s="19"/>
      <c r="AE285" s="5"/>
      <c r="AF285" s="19"/>
      <c r="AG285" s="5"/>
      <c r="AH285" s="17"/>
      <c r="AI285" s="19"/>
      <c r="AJ285" s="19"/>
      <c r="AK285" s="19"/>
      <c r="AL285" s="19"/>
      <c r="AM285" s="17"/>
      <c r="AN285" s="19"/>
      <c r="AO285" s="19"/>
      <c r="AP285" s="19"/>
      <c r="AQ285" s="19"/>
      <c r="AR285" s="19"/>
      <c r="AS285" s="21"/>
      <c r="AT285" s="5"/>
      <c r="AU285" s="19"/>
      <c r="AV285" s="5"/>
      <c r="AW285" s="17">
        <f>M285+P285-Q285</f>
        <v>354.96</v>
      </c>
      <c r="AX285" s="19"/>
      <c r="AY285" s="5"/>
      <c r="AZ285" s="19"/>
      <c r="BA285" s="5"/>
      <c r="BB285" s="5"/>
      <c r="BC285" s="19"/>
      <c r="BD285" s="19"/>
      <c r="BE285" s="19"/>
      <c r="BF285" s="19"/>
      <c r="BG285" s="19"/>
      <c r="BH285" s="19"/>
      <c r="BI285" s="19"/>
      <c r="BJ285" s="19"/>
      <c r="BK285" s="13"/>
      <c r="BL285" s="5"/>
      <c r="BM285" s="5"/>
      <c r="BN285" s="19"/>
      <c r="BO285" s="17"/>
      <c r="BP285" s="19"/>
      <c r="BQ285" s="17"/>
      <c r="BR285" s="19"/>
      <c r="BS285" s="13"/>
      <c r="BT285" s="5"/>
      <c r="BU285" s="23"/>
      <c r="BV285" s="23"/>
      <c r="BW285" s="24"/>
      <c r="BX285" s="5"/>
      <c r="BY285" s="5"/>
      <c r="BZ285" s="5"/>
      <c r="CA285" s="24"/>
      <c r="CB285" s="24"/>
      <c r="CC285" s="24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>
        <f t="shared" si="391"/>
        <v>348</v>
      </c>
      <c r="CV285" s="25">
        <f t="shared" si="392"/>
        <v>0</v>
      </c>
      <c r="CW285" s="26"/>
      <c r="CX285" s="5"/>
      <c r="CY285" s="5"/>
    </row>
    <row r="286" spans="1:103" x14ac:dyDescent="0.2">
      <c r="A286" s="27"/>
      <c r="B286" s="28"/>
      <c r="C286" s="29"/>
      <c r="D286" s="30"/>
      <c r="E286" s="31"/>
      <c r="F286" s="32"/>
      <c r="G286" s="33"/>
      <c r="H286" s="34"/>
      <c r="I286" s="34"/>
      <c r="J286" s="35"/>
      <c r="K286" s="36"/>
      <c r="L286" s="37"/>
      <c r="M286" s="38">
        <f>SUM(M285:M285)</f>
        <v>348</v>
      </c>
      <c r="N286" s="38"/>
      <c r="O286" s="39" t="s">
        <v>137</v>
      </c>
      <c r="P286" s="38">
        <f>SUM(P285:P285)</f>
        <v>6.96</v>
      </c>
      <c r="Q286" s="38"/>
      <c r="R286" s="30"/>
      <c r="S286" s="38">
        <f t="shared" ref="S286:AD286" si="471">SUM(S285:S285)</f>
        <v>0</v>
      </c>
      <c r="T286" s="38">
        <f t="shared" si="471"/>
        <v>0</v>
      </c>
      <c r="U286" s="38">
        <f t="shared" si="471"/>
        <v>0</v>
      </c>
      <c r="V286" s="38">
        <f t="shared" si="471"/>
        <v>0</v>
      </c>
      <c r="W286" s="38">
        <f t="shared" si="471"/>
        <v>0</v>
      </c>
      <c r="X286" s="38">
        <f t="shared" si="471"/>
        <v>0</v>
      </c>
      <c r="Y286" s="38">
        <f t="shared" si="471"/>
        <v>0</v>
      </c>
      <c r="Z286" s="38">
        <f t="shared" si="471"/>
        <v>0</v>
      </c>
      <c r="AA286" s="38">
        <f t="shared" si="471"/>
        <v>0</v>
      </c>
      <c r="AB286" s="38">
        <f t="shared" si="471"/>
        <v>0</v>
      </c>
      <c r="AC286" s="38">
        <f t="shared" si="471"/>
        <v>0</v>
      </c>
      <c r="AD286" s="38">
        <f t="shared" si="471"/>
        <v>0</v>
      </c>
      <c r="AE286" s="30"/>
      <c r="AF286" s="38">
        <f>SUM(AF285:AF285)</f>
        <v>0</v>
      </c>
      <c r="AG286" s="30"/>
      <c r="AH286" s="38">
        <f t="shared" ref="AH286:AZ286" si="472">SUM(AH285:AH285)</f>
        <v>0</v>
      </c>
      <c r="AI286" s="38">
        <f t="shared" si="472"/>
        <v>0</v>
      </c>
      <c r="AJ286" s="38">
        <f t="shared" si="472"/>
        <v>0</v>
      </c>
      <c r="AK286" s="38">
        <f t="shared" si="472"/>
        <v>0</v>
      </c>
      <c r="AL286" s="38">
        <f t="shared" si="472"/>
        <v>0</v>
      </c>
      <c r="AM286" s="38">
        <f t="shared" si="472"/>
        <v>0</v>
      </c>
      <c r="AN286" s="38">
        <f t="shared" si="472"/>
        <v>0</v>
      </c>
      <c r="AO286" s="38">
        <f t="shared" si="472"/>
        <v>0</v>
      </c>
      <c r="AP286" s="38">
        <f t="shared" si="472"/>
        <v>0</v>
      </c>
      <c r="AQ286" s="38">
        <f t="shared" si="472"/>
        <v>0</v>
      </c>
      <c r="AR286" s="38">
        <f t="shared" si="472"/>
        <v>0</v>
      </c>
      <c r="AS286" s="38">
        <f t="shared" si="472"/>
        <v>0</v>
      </c>
      <c r="AT286" s="38">
        <f t="shared" si="472"/>
        <v>0</v>
      </c>
      <c r="AU286" s="38">
        <f t="shared" si="472"/>
        <v>0</v>
      </c>
      <c r="AV286" s="38">
        <f t="shared" si="472"/>
        <v>0</v>
      </c>
      <c r="AW286" s="38">
        <f>SUM(AW285:AW285)</f>
        <v>354.96</v>
      </c>
      <c r="AX286" s="38">
        <f t="shared" si="472"/>
        <v>0</v>
      </c>
      <c r="AY286" s="38">
        <f t="shared" si="472"/>
        <v>0</v>
      </c>
      <c r="AZ286" s="38">
        <f t="shared" si="472"/>
        <v>0</v>
      </c>
      <c r="BA286" s="30"/>
      <c r="BB286" s="38">
        <f t="shared" ref="BB286:CT286" si="473">SUM(BB285:BB285)</f>
        <v>0</v>
      </c>
      <c r="BC286" s="38">
        <f t="shared" si="473"/>
        <v>0</v>
      </c>
      <c r="BD286" s="38">
        <f t="shared" si="473"/>
        <v>0</v>
      </c>
      <c r="BE286" s="38">
        <f t="shared" si="473"/>
        <v>0</v>
      </c>
      <c r="BF286" s="38">
        <f t="shared" si="473"/>
        <v>0</v>
      </c>
      <c r="BG286" s="38">
        <f t="shared" si="473"/>
        <v>0</v>
      </c>
      <c r="BH286" s="38">
        <f t="shared" si="473"/>
        <v>0</v>
      </c>
      <c r="BI286" s="38">
        <f t="shared" si="473"/>
        <v>0</v>
      </c>
      <c r="BJ286" s="38">
        <f t="shared" si="473"/>
        <v>0</v>
      </c>
      <c r="BK286" s="38">
        <f t="shared" si="473"/>
        <v>0</v>
      </c>
      <c r="BL286" s="38">
        <f t="shared" si="473"/>
        <v>0</v>
      </c>
      <c r="BM286" s="38">
        <f t="shared" si="473"/>
        <v>0</v>
      </c>
      <c r="BN286" s="38">
        <f t="shared" si="473"/>
        <v>0</v>
      </c>
      <c r="BO286" s="38">
        <f t="shared" si="473"/>
        <v>0</v>
      </c>
      <c r="BP286" s="38">
        <f t="shared" si="473"/>
        <v>0</v>
      </c>
      <c r="BQ286" s="38">
        <f t="shared" si="473"/>
        <v>0</v>
      </c>
      <c r="BR286" s="38">
        <f t="shared" si="473"/>
        <v>0</v>
      </c>
      <c r="BS286" s="38">
        <f t="shared" si="473"/>
        <v>0</v>
      </c>
      <c r="BT286" s="38">
        <f t="shared" si="473"/>
        <v>0</v>
      </c>
      <c r="BU286" s="38">
        <f t="shared" si="473"/>
        <v>0</v>
      </c>
      <c r="BV286" s="38">
        <f t="shared" si="473"/>
        <v>0</v>
      </c>
      <c r="BW286" s="38">
        <f t="shared" si="473"/>
        <v>0</v>
      </c>
      <c r="BX286" s="38">
        <f t="shared" si="473"/>
        <v>0</v>
      </c>
      <c r="BY286" s="38">
        <f t="shared" si="473"/>
        <v>0</v>
      </c>
      <c r="BZ286" s="38">
        <f t="shared" si="473"/>
        <v>0</v>
      </c>
      <c r="CA286" s="38">
        <f t="shared" si="473"/>
        <v>0</v>
      </c>
      <c r="CB286" s="38">
        <f t="shared" si="473"/>
        <v>0</v>
      </c>
      <c r="CC286" s="38">
        <f t="shared" si="473"/>
        <v>0</v>
      </c>
      <c r="CD286" s="38">
        <f t="shared" si="473"/>
        <v>0</v>
      </c>
      <c r="CE286" s="38">
        <f t="shared" si="473"/>
        <v>0</v>
      </c>
      <c r="CF286" s="38">
        <f t="shared" si="473"/>
        <v>0</v>
      </c>
      <c r="CG286" s="38">
        <f t="shared" si="473"/>
        <v>0</v>
      </c>
      <c r="CH286" s="38">
        <f t="shared" si="473"/>
        <v>0</v>
      </c>
      <c r="CI286" s="38">
        <f t="shared" si="473"/>
        <v>0</v>
      </c>
      <c r="CJ286" s="38">
        <f t="shared" si="473"/>
        <v>0</v>
      </c>
      <c r="CK286" s="38">
        <f t="shared" si="473"/>
        <v>0</v>
      </c>
      <c r="CL286" s="38">
        <f t="shared" si="473"/>
        <v>0</v>
      </c>
      <c r="CM286" s="38">
        <f t="shared" si="473"/>
        <v>0</v>
      </c>
      <c r="CN286" s="38">
        <f t="shared" si="473"/>
        <v>0</v>
      </c>
      <c r="CO286" s="38">
        <f t="shared" si="473"/>
        <v>0</v>
      </c>
      <c r="CP286" s="38">
        <f t="shared" si="473"/>
        <v>0</v>
      </c>
      <c r="CQ286" s="38">
        <f t="shared" si="473"/>
        <v>0</v>
      </c>
      <c r="CR286" s="38">
        <f t="shared" si="473"/>
        <v>0</v>
      </c>
      <c r="CS286" s="38">
        <f t="shared" si="473"/>
        <v>0</v>
      </c>
      <c r="CT286" s="38">
        <f t="shared" si="473"/>
        <v>0</v>
      </c>
      <c r="CU286" s="17">
        <f t="shared" si="391"/>
        <v>348</v>
      </c>
      <c r="CV286" s="25">
        <f t="shared" si="392"/>
        <v>0</v>
      </c>
      <c r="CW286" s="40"/>
      <c r="CX286" s="30"/>
      <c r="CY286" s="30"/>
    </row>
    <row r="287" spans="1:103" x14ac:dyDescent="0.2">
      <c r="A287" s="2">
        <v>45895</v>
      </c>
      <c r="B287" s="3" t="s">
        <v>611</v>
      </c>
      <c r="C287" s="4" t="s">
        <v>716</v>
      </c>
      <c r="D287" s="5" t="s">
        <v>570</v>
      </c>
      <c r="E287" s="6" t="s">
        <v>615</v>
      </c>
      <c r="F287" s="7" t="s">
        <v>229</v>
      </c>
      <c r="G287" s="8" t="s">
        <v>613</v>
      </c>
      <c r="H287" s="9">
        <v>34555</v>
      </c>
      <c r="I287" s="10"/>
      <c r="J287" s="11" t="s">
        <v>614</v>
      </c>
      <c r="K287" s="12">
        <v>1</v>
      </c>
      <c r="L287" s="13">
        <v>250</v>
      </c>
      <c r="M287" s="14">
        <f t="shared" ref="M287" si="474">L287*K287</f>
        <v>250</v>
      </c>
      <c r="N287" s="15"/>
      <c r="O287" s="16" t="s">
        <v>137</v>
      </c>
      <c r="P287" s="17">
        <f>M287*0.02</f>
        <v>5</v>
      </c>
      <c r="Q287" s="18"/>
      <c r="R287" s="5"/>
      <c r="S287" s="19"/>
      <c r="T287" s="19"/>
      <c r="U287" s="19"/>
      <c r="V287" s="19"/>
      <c r="W287" s="17"/>
      <c r="X287" s="20"/>
      <c r="Y287" s="19"/>
      <c r="Z287" s="19"/>
      <c r="AA287" s="19"/>
      <c r="AB287" s="19"/>
      <c r="AC287" s="19"/>
      <c r="AD287" s="19"/>
      <c r="AE287" s="5"/>
      <c r="AF287" s="19"/>
      <c r="AG287" s="5"/>
      <c r="AH287" s="17"/>
      <c r="AI287" s="19"/>
      <c r="AJ287" s="19"/>
      <c r="AK287" s="19"/>
      <c r="AL287" s="19"/>
      <c r="AM287" s="17"/>
      <c r="AN287" s="19"/>
      <c r="AO287" s="19"/>
      <c r="AP287" s="19"/>
      <c r="AQ287" s="19"/>
      <c r="AR287" s="19"/>
      <c r="AS287" s="21"/>
      <c r="AT287" s="5"/>
      <c r="AU287" s="19"/>
      <c r="AV287" s="5"/>
      <c r="AW287" s="17">
        <f>M287+P287-Q287</f>
        <v>255</v>
      </c>
      <c r="AX287" s="19"/>
      <c r="AY287" s="5"/>
      <c r="AZ287" s="19"/>
      <c r="BA287" s="5"/>
      <c r="BB287" s="5"/>
      <c r="BC287" s="19"/>
      <c r="BD287" s="19"/>
      <c r="BE287" s="19"/>
      <c r="BF287" s="19"/>
      <c r="BG287" s="19"/>
      <c r="BH287" s="19"/>
      <c r="BI287" s="19"/>
      <c r="BJ287" s="19"/>
      <c r="BK287" s="13"/>
      <c r="BL287" s="5"/>
      <c r="BM287" s="5"/>
      <c r="BN287" s="19"/>
      <c r="BO287" s="17"/>
      <c r="BP287" s="19"/>
      <c r="BQ287" s="17"/>
      <c r="BR287" s="19"/>
      <c r="BS287" s="13"/>
      <c r="BT287" s="5"/>
      <c r="BU287" s="23"/>
      <c r="BV287" s="23"/>
      <c r="BW287" s="24"/>
      <c r="BX287" s="5"/>
      <c r="BY287" s="5"/>
      <c r="BZ287" s="5"/>
      <c r="CA287" s="24"/>
      <c r="CB287" s="24"/>
      <c r="CC287" s="24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>
        <f t="shared" si="391"/>
        <v>250</v>
      </c>
      <c r="CV287" s="25">
        <f t="shared" si="392"/>
        <v>0</v>
      </c>
      <c r="CW287" s="26"/>
      <c r="CX287" s="5"/>
      <c r="CY287" s="5"/>
    </row>
    <row r="288" spans="1:103" x14ac:dyDescent="0.2">
      <c r="A288" s="161"/>
      <c r="B288" s="162"/>
      <c r="C288" s="163"/>
      <c r="D288" s="164"/>
      <c r="E288" s="165"/>
      <c r="F288" s="166"/>
      <c r="G288" s="167"/>
      <c r="H288" s="168"/>
      <c r="I288" s="168"/>
      <c r="J288" s="169"/>
      <c r="K288" s="170"/>
      <c r="L288" s="171"/>
      <c r="M288" s="172">
        <f>SUM(M287:M287)</f>
        <v>250</v>
      </c>
      <c r="N288" s="172">
        <f>M288+M286</f>
        <v>598</v>
      </c>
      <c r="O288" s="173" t="s">
        <v>137</v>
      </c>
      <c r="P288" s="172">
        <f>SUM(P287:P287)</f>
        <v>5</v>
      </c>
      <c r="Q288" s="172"/>
      <c r="R288" s="164"/>
      <c r="S288" s="172">
        <f t="shared" ref="S288:AD288" si="475">SUM(S287:S287)</f>
        <v>0</v>
      </c>
      <c r="T288" s="172">
        <f t="shared" si="475"/>
        <v>0</v>
      </c>
      <c r="U288" s="172">
        <f t="shared" si="475"/>
        <v>0</v>
      </c>
      <c r="V288" s="172">
        <f t="shared" si="475"/>
        <v>0</v>
      </c>
      <c r="W288" s="172">
        <f t="shared" si="475"/>
        <v>0</v>
      </c>
      <c r="X288" s="172">
        <f t="shared" si="475"/>
        <v>0</v>
      </c>
      <c r="Y288" s="172">
        <f t="shared" si="475"/>
        <v>0</v>
      </c>
      <c r="Z288" s="172">
        <f t="shared" si="475"/>
        <v>0</v>
      </c>
      <c r="AA288" s="172">
        <f t="shared" si="475"/>
        <v>0</v>
      </c>
      <c r="AB288" s="172">
        <f t="shared" si="475"/>
        <v>0</v>
      </c>
      <c r="AC288" s="172">
        <f t="shared" si="475"/>
        <v>0</v>
      </c>
      <c r="AD288" s="172">
        <f t="shared" si="475"/>
        <v>0</v>
      </c>
      <c r="AE288" s="164"/>
      <c r="AF288" s="172">
        <f>SUM(AF287:AF287)</f>
        <v>0</v>
      </c>
      <c r="AG288" s="164"/>
      <c r="AH288" s="172">
        <f t="shared" ref="AH288:AZ288" si="476">SUM(AH287:AH287)</f>
        <v>0</v>
      </c>
      <c r="AI288" s="172">
        <f t="shared" si="476"/>
        <v>0</v>
      </c>
      <c r="AJ288" s="172">
        <f t="shared" si="476"/>
        <v>0</v>
      </c>
      <c r="AK288" s="172">
        <f t="shared" si="476"/>
        <v>0</v>
      </c>
      <c r="AL288" s="172">
        <f t="shared" si="476"/>
        <v>0</v>
      </c>
      <c r="AM288" s="172">
        <f t="shared" si="476"/>
        <v>0</v>
      </c>
      <c r="AN288" s="172">
        <f t="shared" si="476"/>
        <v>0</v>
      </c>
      <c r="AO288" s="172">
        <f t="shared" si="476"/>
        <v>0</v>
      </c>
      <c r="AP288" s="172">
        <f t="shared" si="476"/>
        <v>0</v>
      </c>
      <c r="AQ288" s="172">
        <f t="shared" si="476"/>
        <v>0</v>
      </c>
      <c r="AR288" s="172">
        <f t="shared" si="476"/>
        <v>0</v>
      </c>
      <c r="AS288" s="172">
        <f t="shared" si="476"/>
        <v>0</v>
      </c>
      <c r="AT288" s="172">
        <f t="shared" si="476"/>
        <v>0</v>
      </c>
      <c r="AU288" s="172">
        <f t="shared" si="476"/>
        <v>0</v>
      </c>
      <c r="AV288" s="172">
        <f t="shared" si="476"/>
        <v>0</v>
      </c>
      <c r="AW288" s="172">
        <f>SUM(AW287:AW287)</f>
        <v>255</v>
      </c>
      <c r="AX288" s="172">
        <f t="shared" si="476"/>
        <v>0</v>
      </c>
      <c r="AY288" s="172">
        <f t="shared" si="476"/>
        <v>0</v>
      </c>
      <c r="AZ288" s="172">
        <f t="shared" si="476"/>
        <v>0</v>
      </c>
      <c r="BA288" s="164"/>
      <c r="BB288" s="172">
        <f t="shared" ref="BB288:CT288" si="477">SUM(BB287:BB287)</f>
        <v>0</v>
      </c>
      <c r="BC288" s="172">
        <f t="shared" si="477"/>
        <v>0</v>
      </c>
      <c r="BD288" s="172">
        <f t="shared" si="477"/>
        <v>0</v>
      </c>
      <c r="BE288" s="172">
        <f t="shared" si="477"/>
        <v>0</v>
      </c>
      <c r="BF288" s="172">
        <f t="shared" si="477"/>
        <v>0</v>
      </c>
      <c r="BG288" s="172">
        <f t="shared" si="477"/>
        <v>0</v>
      </c>
      <c r="BH288" s="172">
        <f t="shared" si="477"/>
        <v>0</v>
      </c>
      <c r="BI288" s="172">
        <f t="shared" si="477"/>
        <v>0</v>
      </c>
      <c r="BJ288" s="172">
        <f t="shared" si="477"/>
        <v>0</v>
      </c>
      <c r="BK288" s="172">
        <f t="shared" si="477"/>
        <v>0</v>
      </c>
      <c r="BL288" s="172">
        <f t="shared" si="477"/>
        <v>0</v>
      </c>
      <c r="BM288" s="172">
        <f t="shared" si="477"/>
        <v>0</v>
      </c>
      <c r="BN288" s="172">
        <f t="shared" si="477"/>
        <v>0</v>
      </c>
      <c r="BO288" s="172">
        <f t="shared" si="477"/>
        <v>0</v>
      </c>
      <c r="BP288" s="172">
        <f t="shared" si="477"/>
        <v>0</v>
      </c>
      <c r="BQ288" s="172">
        <f t="shared" si="477"/>
        <v>0</v>
      </c>
      <c r="BR288" s="172">
        <f t="shared" si="477"/>
        <v>0</v>
      </c>
      <c r="BS288" s="172">
        <f t="shared" si="477"/>
        <v>0</v>
      </c>
      <c r="BT288" s="172">
        <f t="shared" si="477"/>
        <v>0</v>
      </c>
      <c r="BU288" s="172">
        <f t="shared" si="477"/>
        <v>0</v>
      </c>
      <c r="BV288" s="172">
        <f t="shared" si="477"/>
        <v>0</v>
      </c>
      <c r="BW288" s="172">
        <f t="shared" si="477"/>
        <v>0</v>
      </c>
      <c r="BX288" s="172">
        <f t="shared" si="477"/>
        <v>0</v>
      </c>
      <c r="BY288" s="172">
        <f t="shared" si="477"/>
        <v>0</v>
      </c>
      <c r="BZ288" s="172">
        <f t="shared" si="477"/>
        <v>0</v>
      </c>
      <c r="CA288" s="172">
        <f t="shared" si="477"/>
        <v>0</v>
      </c>
      <c r="CB288" s="172">
        <f t="shared" si="477"/>
        <v>0</v>
      </c>
      <c r="CC288" s="172">
        <f t="shared" si="477"/>
        <v>0</v>
      </c>
      <c r="CD288" s="172">
        <f t="shared" si="477"/>
        <v>0</v>
      </c>
      <c r="CE288" s="172">
        <f t="shared" si="477"/>
        <v>0</v>
      </c>
      <c r="CF288" s="172">
        <f t="shared" si="477"/>
        <v>0</v>
      </c>
      <c r="CG288" s="172">
        <f t="shared" si="477"/>
        <v>0</v>
      </c>
      <c r="CH288" s="172">
        <f t="shared" si="477"/>
        <v>0</v>
      </c>
      <c r="CI288" s="172">
        <f t="shared" si="477"/>
        <v>0</v>
      </c>
      <c r="CJ288" s="172">
        <f t="shared" si="477"/>
        <v>0</v>
      </c>
      <c r="CK288" s="172">
        <f t="shared" si="477"/>
        <v>0</v>
      </c>
      <c r="CL288" s="172">
        <f t="shared" si="477"/>
        <v>0</v>
      </c>
      <c r="CM288" s="172">
        <f t="shared" si="477"/>
        <v>0</v>
      </c>
      <c r="CN288" s="172">
        <f t="shared" si="477"/>
        <v>0</v>
      </c>
      <c r="CO288" s="172">
        <f t="shared" si="477"/>
        <v>0</v>
      </c>
      <c r="CP288" s="172">
        <f t="shared" si="477"/>
        <v>0</v>
      </c>
      <c r="CQ288" s="172">
        <f t="shared" si="477"/>
        <v>0</v>
      </c>
      <c r="CR288" s="172">
        <f t="shared" si="477"/>
        <v>0</v>
      </c>
      <c r="CS288" s="172">
        <f t="shared" si="477"/>
        <v>0</v>
      </c>
      <c r="CT288" s="172">
        <f t="shared" si="477"/>
        <v>0</v>
      </c>
      <c r="CU288" s="17">
        <f t="shared" si="391"/>
        <v>250</v>
      </c>
      <c r="CV288" s="25">
        <f t="shared" si="392"/>
        <v>0</v>
      </c>
      <c r="CW288" s="176"/>
      <c r="CX288" s="164"/>
      <c r="CY288" s="164"/>
    </row>
    <row r="289" spans="1:103" x14ac:dyDescent="0.2">
      <c r="A289" s="2">
        <v>45883</v>
      </c>
      <c r="B289" s="3" t="s">
        <v>616</v>
      </c>
      <c r="C289" s="4" t="s">
        <v>717</v>
      </c>
      <c r="D289" s="5" t="s">
        <v>189</v>
      </c>
      <c r="E289" s="6" t="s">
        <v>266</v>
      </c>
      <c r="F289" s="7"/>
      <c r="G289" s="8"/>
      <c r="H289" s="9"/>
      <c r="I289" s="10"/>
      <c r="J289" s="11" t="s">
        <v>342</v>
      </c>
      <c r="K289" s="12">
        <v>10.95</v>
      </c>
      <c r="L289" s="13">
        <v>70</v>
      </c>
      <c r="M289" s="14">
        <f t="shared" ref="M289:M291" si="478">L289*K289</f>
        <v>766.5</v>
      </c>
      <c r="N289" s="15"/>
      <c r="O289" s="16" t="s">
        <v>137</v>
      </c>
      <c r="P289" s="17"/>
      <c r="Q289" s="18"/>
      <c r="R289" s="17">
        <f>M289+P289-Q289</f>
        <v>766.5</v>
      </c>
      <c r="S289" s="19"/>
      <c r="T289" s="19"/>
      <c r="U289" s="19"/>
      <c r="V289" s="19"/>
      <c r="W289" s="17"/>
      <c r="X289" s="20"/>
      <c r="Y289" s="19"/>
      <c r="Z289" s="19"/>
      <c r="AA289" s="19"/>
      <c r="AB289" s="19"/>
      <c r="AC289" s="19"/>
      <c r="AD289" s="19"/>
      <c r="AE289" s="5"/>
      <c r="AF289" s="19"/>
      <c r="AG289" s="5"/>
      <c r="AH289" s="17"/>
      <c r="AI289" s="19"/>
      <c r="AJ289" s="19"/>
      <c r="AK289" s="19"/>
      <c r="AL289" s="19"/>
      <c r="AM289" s="17"/>
      <c r="AN289" s="19"/>
      <c r="AO289" s="19"/>
      <c r="AP289" s="19"/>
      <c r="AQ289" s="19"/>
      <c r="AR289" s="19"/>
      <c r="AS289" s="21"/>
      <c r="AT289" s="5"/>
      <c r="AU289" s="19"/>
      <c r="AV289" s="5"/>
      <c r="AW289" s="22"/>
      <c r="AX289" s="19"/>
      <c r="AY289" s="5"/>
      <c r="AZ289" s="19"/>
      <c r="BA289" s="5"/>
      <c r="BB289" s="5"/>
      <c r="BC289" s="19"/>
      <c r="BD289" s="19"/>
      <c r="BE289" s="19"/>
      <c r="BF289" s="19"/>
      <c r="BG289" s="19"/>
      <c r="BH289" s="19"/>
      <c r="BI289" s="19"/>
      <c r="BJ289" s="19"/>
      <c r="BK289" s="13"/>
      <c r="BL289" s="5"/>
      <c r="BM289" s="5"/>
      <c r="BN289" s="19"/>
      <c r="BO289" s="17"/>
      <c r="BP289" s="19"/>
      <c r="BQ289" s="17"/>
      <c r="BR289" s="19"/>
      <c r="BS289" s="13"/>
      <c r="BT289" s="5"/>
      <c r="BU289" s="23"/>
      <c r="BV289" s="23"/>
      <c r="BW289" s="24"/>
      <c r="BX289" s="5"/>
      <c r="BY289" s="5"/>
      <c r="BZ289" s="5"/>
      <c r="CA289" s="24"/>
      <c r="CB289" s="24"/>
      <c r="CC289" s="24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>
        <f t="shared" si="391"/>
        <v>766.5</v>
      </c>
      <c r="CV289" s="25">
        <f t="shared" si="392"/>
        <v>0</v>
      </c>
      <c r="CW289" s="26"/>
      <c r="CX289" s="5"/>
      <c r="CY289" s="5"/>
    </row>
    <row r="290" spans="1:103" x14ac:dyDescent="0.2">
      <c r="A290" s="2"/>
      <c r="B290" s="3"/>
      <c r="C290" s="4"/>
      <c r="D290" s="5"/>
      <c r="E290" s="6"/>
      <c r="F290" s="7"/>
      <c r="G290" s="8"/>
      <c r="H290" s="9"/>
      <c r="I290" s="10"/>
      <c r="J290" s="11" t="s">
        <v>337</v>
      </c>
      <c r="K290" s="12">
        <v>16.399999999999999</v>
      </c>
      <c r="L290" s="13">
        <v>50</v>
      </c>
      <c r="M290" s="14">
        <f t="shared" si="478"/>
        <v>819.99999999999989</v>
      </c>
      <c r="N290" s="15"/>
      <c r="O290" s="16" t="s">
        <v>137</v>
      </c>
      <c r="P290" s="17"/>
      <c r="Q290" s="18"/>
      <c r="R290" s="17">
        <f t="shared" ref="R290:R291" si="479">M290+P290-Q290</f>
        <v>819.99999999999989</v>
      </c>
      <c r="S290" s="19"/>
      <c r="T290" s="19"/>
      <c r="U290" s="19"/>
      <c r="V290" s="19"/>
      <c r="W290" s="17"/>
      <c r="X290" s="20"/>
      <c r="Y290" s="19"/>
      <c r="Z290" s="19"/>
      <c r="AA290" s="19"/>
      <c r="AB290" s="19"/>
      <c r="AC290" s="19"/>
      <c r="AD290" s="19"/>
      <c r="AE290" s="5"/>
      <c r="AF290" s="19"/>
      <c r="AG290" s="5"/>
      <c r="AH290" s="17"/>
      <c r="AI290" s="19"/>
      <c r="AJ290" s="19"/>
      <c r="AK290" s="19"/>
      <c r="AL290" s="19"/>
      <c r="AM290" s="17"/>
      <c r="AN290" s="19"/>
      <c r="AO290" s="19"/>
      <c r="AP290" s="19"/>
      <c r="AQ290" s="19"/>
      <c r="AR290" s="19"/>
      <c r="AS290" s="21"/>
      <c r="AT290" s="5"/>
      <c r="AU290" s="19"/>
      <c r="AV290" s="5"/>
      <c r="AW290" s="22"/>
      <c r="AX290" s="19"/>
      <c r="AY290" s="5"/>
      <c r="AZ290" s="19"/>
      <c r="BA290" s="5"/>
      <c r="BB290" s="5"/>
      <c r="BC290" s="19"/>
      <c r="BD290" s="19"/>
      <c r="BE290" s="19"/>
      <c r="BF290" s="19"/>
      <c r="BG290" s="19"/>
      <c r="BH290" s="19"/>
      <c r="BI290" s="19"/>
      <c r="BJ290" s="19"/>
      <c r="BK290" s="13"/>
      <c r="BL290" s="5"/>
      <c r="BM290" s="5"/>
      <c r="BN290" s="19"/>
      <c r="BO290" s="17"/>
      <c r="BP290" s="19"/>
      <c r="BQ290" s="17"/>
      <c r="BR290" s="19"/>
      <c r="BS290" s="13"/>
      <c r="BT290" s="5"/>
      <c r="BU290" s="23"/>
      <c r="BV290" s="23"/>
      <c r="BW290" s="24"/>
      <c r="BX290" s="5"/>
      <c r="BY290" s="5"/>
      <c r="BZ290" s="5"/>
      <c r="CA290" s="24"/>
      <c r="CB290" s="24"/>
      <c r="CC290" s="24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>
        <f t="shared" si="391"/>
        <v>819.99999999999989</v>
      </c>
      <c r="CV290" s="25">
        <f t="shared" si="392"/>
        <v>0</v>
      </c>
      <c r="CW290" s="26"/>
      <c r="CX290" s="5"/>
      <c r="CY290" s="5"/>
    </row>
    <row r="291" spans="1:103" x14ac:dyDescent="0.2">
      <c r="A291" s="2"/>
      <c r="B291" s="3"/>
      <c r="C291" s="4"/>
      <c r="D291" s="5"/>
      <c r="E291" s="6"/>
      <c r="F291" s="7"/>
      <c r="G291" s="8"/>
      <c r="H291" s="9"/>
      <c r="I291" s="10"/>
      <c r="J291" s="11" t="s">
        <v>617</v>
      </c>
      <c r="K291" s="12">
        <v>5</v>
      </c>
      <c r="L291" s="13">
        <v>45</v>
      </c>
      <c r="M291" s="14">
        <f t="shared" si="478"/>
        <v>225</v>
      </c>
      <c r="N291" s="15"/>
      <c r="O291" s="16" t="s">
        <v>137</v>
      </c>
      <c r="P291" s="17"/>
      <c r="Q291" s="18"/>
      <c r="R291" s="17">
        <f t="shared" si="479"/>
        <v>225</v>
      </c>
      <c r="S291" s="19"/>
      <c r="T291" s="19"/>
      <c r="U291" s="19"/>
      <c r="V291" s="19"/>
      <c r="W291" s="17"/>
      <c r="X291" s="20"/>
      <c r="Y291" s="19"/>
      <c r="Z291" s="19"/>
      <c r="AA291" s="19"/>
      <c r="AB291" s="19"/>
      <c r="AC291" s="19"/>
      <c r="AD291" s="19"/>
      <c r="AE291" s="5"/>
      <c r="AF291" s="19"/>
      <c r="AG291" s="5"/>
      <c r="AH291" s="17"/>
      <c r="AI291" s="19"/>
      <c r="AJ291" s="19"/>
      <c r="AK291" s="19"/>
      <c r="AL291" s="19"/>
      <c r="AM291" s="17"/>
      <c r="AN291" s="19"/>
      <c r="AO291" s="19"/>
      <c r="AP291" s="19"/>
      <c r="AQ291" s="19"/>
      <c r="AR291" s="19"/>
      <c r="AS291" s="21"/>
      <c r="AT291" s="5"/>
      <c r="AU291" s="19"/>
      <c r="AV291" s="5"/>
      <c r="AW291" s="22"/>
      <c r="AX291" s="19"/>
      <c r="AY291" s="5"/>
      <c r="AZ291" s="19"/>
      <c r="BA291" s="5"/>
      <c r="BB291" s="5"/>
      <c r="BC291" s="19"/>
      <c r="BD291" s="19"/>
      <c r="BE291" s="19"/>
      <c r="BF291" s="19"/>
      <c r="BG291" s="19"/>
      <c r="BH291" s="19"/>
      <c r="BI291" s="19"/>
      <c r="BJ291" s="19"/>
      <c r="BK291" s="13"/>
      <c r="BL291" s="5"/>
      <c r="BM291" s="5"/>
      <c r="BN291" s="19"/>
      <c r="BO291" s="17"/>
      <c r="BP291" s="19"/>
      <c r="BQ291" s="17"/>
      <c r="BR291" s="19"/>
      <c r="BS291" s="13"/>
      <c r="BT291" s="5"/>
      <c r="BU291" s="23"/>
      <c r="BV291" s="23"/>
      <c r="BW291" s="24"/>
      <c r="BX291" s="5"/>
      <c r="BY291" s="5"/>
      <c r="BZ291" s="5"/>
      <c r="CA291" s="24"/>
      <c r="CB291" s="24"/>
      <c r="CC291" s="24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>
        <f t="shared" si="391"/>
        <v>225</v>
      </c>
      <c r="CV291" s="25">
        <f t="shared" si="392"/>
        <v>0</v>
      </c>
      <c r="CW291" s="26"/>
      <c r="CX291" s="5"/>
      <c r="CY291" s="5"/>
    </row>
    <row r="292" spans="1:103" x14ac:dyDescent="0.2">
      <c r="A292" s="27"/>
      <c r="B292" s="28"/>
      <c r="C292" s="29"/>
      <c r="D292" s="30"/>
      <c r="E292" s="31"/>
      <c r="F292" s="32"/>
      <c r="G292" s="33"/>
      <c r="H292" s="34"/>
      <c r="I292" s="34"/>
      <c r="J292" s="35"/>
      <c r="K292" s="36"/>
      <c r="L292" s="37"/>
      <c r="M292" s="38">
        <f>SUM(M289:M291)</f>
        <v>1811.5</v>
      </c>
      <c r="N292" s="38"/>
      <c r="O292" s="39" t="s">
        <v>137</v>
      </c>
      <c r="P292" s="38"/>
      <c r="Q292" s="38"/>
      <c r="R292" s="38">
        <f>SUM(R289:R291)</f>
        <v>1811.5</v>
      </c>
      <c r="S292" s="38">
        <f t="shared" ref="S292:AD292" si="480">SUM(S289:S289)</f>
        <v>0</v>
      </c>
      <c r="T292" s="38">
        <f t="shared" si="480"/>
        <v>0</v>
      </c>
      <c r="U292" s="38">
        <f t="shared" si="480"/>
        <v>0</v>
      </c>
      <c r="V292" s="38">
        <f t="shared" si="480"/>
        <v>0</v>
      </c>
      <c r="W292" s="38">
        <f t="shared" si="480"/>
        <v>0</v>
      </c>
      <c r="X292" s="38">
        <f t="shared" si="480"/>
        <v>0</v>
      </c>
      <c r="Y292" s="38">
        <f t="shared" si="480"/>
        <v>0</v>
      </c>
      <c r="Z292" s="38">
        <f t="shared" si="480"/>
        <v>0</v>
      </c>
      <c r="AA292" s="38">
        <f t="shared" si="480"/>
        <v>0</v>
      </c>
      <c r="AB292" s="38">
        <f t="shared" si="480"/>
        <v>0</v>
      </c>
      <c r="AC292" s="38">
        <f t="shared" si="480"/>
        <v>0</v>
      </c>
      <c r="AD292" s="38">
        <f t="shared" si="480"/>
        <v>0</v>
      </c>
      <c r="AE292" s="30"/>
      <c r="AF292" s="38">
        <f>SUM(AF289:AF289)</f>
        <v>0</v>
      </c>
      <c r="AG292" s="30"/>
      <c r="AH292" s="38">
        <f t="shared" ref="AH292:AZ292" si="481">SUM(AH289:AH289)</f>
        <v>0</v>
      </c>
      <c r="AI292" s="38">
        <f t="shared" si="481"/>
        <v>0</v>
      </c>
      <c r="AJ292" s="38">
        <f t="shared" si="481"/>
        <v>0</v>
      </c>
      <c r="AK292" s="38">
        <f t="shared" si="481"/>
        <v>0</v>
      </c>
      <c r="AL292" s="38">
        <f t="shared" si="481"/>
        <v>0</v>
      </c>
      <c r="AM292" s="38">
        <f t="shared" si="481"/>
        <v>0</v>
      </c>
      <c r="AN292" s="38">
        <f t="shared" si="481"/>
        <v>0</v>
      </c>
      <c r="AO292" s="38">
        <f t="shared" si="481"/>
        <v>0</v>
      </c>
      <c r="AP292" s="38">
        <f t="shared" si="481"/>
        <v>0</v>
      </c>
      <c r="AQ292" s="38">
        <f t="shared" si="481"/>
        <v>0</v>
      </c>
      <c r="AR292" s="38">
        <f t="shared" si="481"/>
        <v>0</v>
      </c>
      <c r="AS292" s="38">
        <f t="shared" si="481"/>
        <v>0</v>
      </c>
      <c r="AT292" s="38">
        <f t="shared" si="481"/>
        <v>0</v>
      </c>
      <c r="AU292" s="38">
        <f t="shared" si="481"/>
        <v>0</v>
      </c>
      <c r="AV292" s="38">
        <f t="shared" si="481"/>
        <v>0</v>
      </c>
      <c r="AW292" s="38">
        <f t="shared" si="481"/>
        <v>0</v>
      </c>
      <c r="AX292" s="38">
        <f t="shared" si="481"/>
        <v>0</v>
      </c>
      <c r="AY292" s="38">
        <f t="shared" si="481"/>
        <v>0</v>
      </c>
      <c r="AZ292" s="38">
        <f t="shared" si="481"/>
        <v>0</v>
      </c>
      <c r="BA292" s="30"/>
      <c r="BB292" s="38">
        <f t="shared" ref="BB292:CT292" si="482">SUM(BB289:BB289)</f>
        <v>0</v>
      </c>
      <c r="BC292" s="38">
        <f t="shared" si="482"/>
        <v>0</v>
      </c>
      <c r="BD292" s="38">
        <f t="shared" si="482"/>
        <v>0</v>
      </c>
      <c r="BE292" s="38">
        <f t="shared" si="482"/>
        <v>0</v>
      </c>
      <c r="BF292" s="38">
        <f t="shared" si="482"/>
        <v>0</v>
      </c>
      <c r="BG292" s="38">
        <f t="shared" si="482"/>
        <v>0</v>
      </c>
      <c r="BH292" s="38">
        <f t="shared" si="482"/>
        <v>0</v>
      </c>
      <c r="BI292" s="38">
        <f t="shared" si="482"/>
        <v>0</v>
      </c>
      <c r="BJ292" s="38">
        <f t="shared" si="482"/>
        <v>0</v>
      </c>
      <c r="BK292" s="38">
        <f t="shared" si="482"/>
        <v>0</v>
      </c>
      <c r="BL292" s="38">
        <f t="shared" si="482"/>
        <v>0</v>
      </c>
      <c r="BM292" s="38">
        <f t="shared" si="482"/>
        <v>0</v>
      </c>
      <c r="BN292" s="38">
        <f t="shared" si="482"/>
        <v>0</v>
      </c>
      <c r="BO292" s="38">
        <f t="shared" si="482"/>
        <v>0</v>
      </c>
      <c r="BP292" s="38">
        <f t="shared" si="482"/>
        <v>0</v>
      </c>
      <c r="BQ292" s="38">
        <f t="shared" si="482"/>
        <v>0</v>
      </c>
      <c r="BR292" s="38">
        <f t="shared" si="482"/>
        <v>0</v>
      </c>
      <c r="BS292" s="38">
        <f t="shared" si="482"/>
        <v>0</v>
      </c>
      <c r="BT292" s="38">
        <f t="shared" si="482"/>
        <v>0</v>
      </c>
      <c r="BU292" s="38">
        <f t="shared" si="482"/>
        <v>0</v>
      </c>
      <c r="BV292" s="38">
        <f t="shared" si="482"/>
        <v>0</v>
      </c>
      <c r="BW292" s="38">
        <f t="shared" si="482"/>
        <v>0</v>
      </c>
      <c r="BX292" s="38">
        <f t="shared" si="482"/>
        <v>0</v>
      </c>
      <c r="BY292" s="38">
        <f t="shared" si="482"/>
        <v>0</v>
      </c>
      <c r="BZ292" s="38">
        <f t="shared" si="482"/>
        <v>0</v>
      </c>
      <c r="CA292" s="38">
        <f t="shared" si="482"/>
        <v>0</v>
      </c>
      <c r="CB292" s="38">
        <f t="shared" si="482"/>
        <v>0</v>
      </c>
      <c r="CC292" s="38">
        <f t="shared" si="482"/>
        <v>0</v>
      </c>
      <c r="CD292" s="38">
        <f t="shared" si="482"/>
        <v>0</v>
      </c>
      <c r="CE292" s="38">
        <f t="shared" si="482"/>
        <v>0</v>
      </c>
      <c r="CF292" s="38">
        <f t="shared" si="482"/>
        <v>0</v>
      </c>
      <c r="CG292" s="38">
        <f t="shared" si="482"/>
        <v>0</v>
      </c>
      <c r="CH292" s="38">
        <f t="shared" si="482"/>
        <v>0</v>
      </c>
      <c r="CI292" s="38">
        <f t="shared" si="482"/>
        <v>0</v>
      </c>
      <c r="CJ292" s="38">
        <f t="shared" si="482"/>
        <v>0</v>
      </c>
      <c r="CK292" s="38">
        <f t="shared" si="482"/>
        <v>0</v>
      </c>
      <c r="CL292" s="38">
        <f t="shared" si="482"/>
        <v>0</v>
      </c>
      <c r="CM292" s="38">
        <f t="shared" si="482"/>
        <v>0</v>
      </c>
      <c r="CN292" s="38">
        <f t="shared" si="482"/>
        <v>0</v>
      </c>
      <c r="CO292" s="38">
        <f t="shared" si="482"/>
        <v>0</v>
      </c>
      <c r="CP292" s="38">
        <f t="shared" si="482"/>
        <v>0</v>
      </c>
      <c r="CQ292" s="38">
        <f t="shared" si="482"/>
        <v>0</v>
      </c>
      <c r="CR292" s="38">
        <f t="shared" si="482"/>
        <v>0</v>
      </c>
      <c r="CS292" s="38">
        <f t="shared" si="482"/>
        <v>0</v>
      </c>
      <c r="CT292" s="38">
        <f t="shared" si="482"/>
        <v>0</v>
      </c>
      <c r="CU292" s="17">
        <f t="shared" si="391"/>
        <v>1811.5</v>
      </c>
      <c r="CV292" s="25">
        <f t="shared" si="392"/>
        <v>0</v>
      </c>
      <c r="CW292" s="40"/>
      <c r="CX292" s="30"/>
      <c r="CY292" s="30"/>
    </row>
    <row r="293" spans="1:103" x14ac:dyDescent="0.2">
      <c r="A293" s="2">
        <v>45883</v>
      </c>
      <c r="B293" s="3" t="s">
        <v>616</v>
      </c>
      <c r="C293" s="4" t="s">
        <v>718</v>
      </c>
      <c r="D293" s="5" t="s">
        <v>189</v>
      </c>
      <c r="E293" s="6" t="s">
        <v>622</v>
      </c>
      <c r="F293" s="7" t="s">
        <v>229</v>
      </c>
      <c r="G293" s="8" t="s">
        <v>149</v>
      </c>
      <c r="H293" s="9">
        <v>212955</v>
      </c>
      <c r="I293" s="10" t="s">
        <v>618</v>
      </c>
      <c r="J293" s="11" t="s">
        <v>355</v>
      </c>
      <c r="K293" s="12">
        <v>5.56</v>
      </c>
      <c r="L293" s="13">
        <v>199</v>
      </c>
      <c r="M293" s="14">
        <f t="shared" ref="M293:M296" si="483">L293*K293</f>
        <v>1106.4399999999998</v>
      </c>
      <c r="N293" s="15"/>
      <c r="O293" s="16" t="s">
        <v>137</v>
      </c>
      <c r="P293" s="17">
        <f>M293*0.01</f>
        <v>11.064399999999999</v>
      </c>
      <c r="Q293" s="18"/>
      <c r="R293" s="17">
        <f>M293+P293-Q293</f>
        <v>1117.5043999999998</v>
      </c>
      <c r="S293" s="19"/>
      <c r="T293" s="19"/>
      <c r="U293" s="19"/>
      <c r="V293" s="19"/>
      <c r="W293" s="17"/>
      <c r="X293" s="20"/>
      <c r="Y293" s="19"/>
      <c r="Z293" s="19"/>
      <c r="AA293" s="19"/>
      <c r="AB293" s="19"/>
      <c r="AC293" s="19"/>
      <c r="AD293" s="19"/>
      <c r="AE293" s="5"/>
      <c r="AF293" s="19"/>
      <c r="AG293" s="5"/>
      <c r="AH293" s="17"/>
      <c r="AI293" s="19"/>
      <c r="AJ293" s="19"/>
      <c r="AK293" s="19"/>
      <c r="AL293" s="19"/>
      <c r="AM293" s="17"/>
      <c r="AN293" s="19"/>
      <c r="AO293" s="19"/>
      <c r="AP293" s="19"/>
      <c r="AQ293" s="19"/>
      <c r="AR293" s="19"/>
      <c r="AS293" s="21"/>
      <c r="AT293" s="5"/>
      <c r="AU293" s="19"/>
      <c r="AV293" s="5"/>
      <c r="AW293" s="22"/>
      <c r="AX293" s="19"/>
      <c r="AY293" s="5"/>
      <c r="AZ293" s="19"/>
      <c r="BA293" s="5"/>
      <c r="BB293" s="5"/>
      <c r="BC293" s="19"/>
      <c r="BD293" s="19"/>
      <c r="BE293" s="19"/>
      <c r="BF293" s="19"/>
      <c r="BG293" s="19"/>
      <c r="BH293" s="19"/>
      <c r="BI293" s="19"/>
      <c r="BJ293" s="19"/>
      <c r="BK293" s="13"/>
      <c r="BL293" s="5"/>
      <c r="BM293" s="5"/>
      <c r="BN293" s="19"/>
      <c r="BO293" s="17"/>
      <c r="BP293" s="19"/>
      <c r="BQ293" s="17"/>
      <c r="BR293" s="19"/>
      <c r="BS293" s="13"/>
      <c r="BT293" s="5"/>
      <c r="BU293" s="23"/>
      <c r="BV293" s="23"/>
      <c r="BW293" s="24"/>
      <c r="BX293" s="5"/>
      <c r="BY293" s="5"/>
      <c r="BZ293" s="5"/>
      <c r="CA293" s="24"/>
      <c r="CB293" s="24"/>
      <c r="CC293" s="24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>
        <f t="shared" si="391"/>
        <v>1106.4399999999998</v>
      </c>
      <c r="CV293" s="25">
        <f t="shared" si="392"/>
        <v>0</v>
      </c>
      <c r="CW293" s="26"/>
      <c r="CX293" s="5"/>
      <c r="CY293" s="5"/>
    </row>
    <row r="294" spans="1:103" x14ac:dyDescent="0.2">
      <c r="A294" s="2"/>
      <c r="B294" s="3"/>
      <c r="C294" s="4"/>
      <c r="D294" s="5"/>
      <c r="E294" s="6"/>
      <c r="F294" s="7"/>
      <c r="G294" s="8"/>
      <c r="H294" s="9"/>
      <c r="I294" s="10"/>
      <c r="J294" s="11" t="s">
        <v>619</v>
      </c>
      <c r="K294" s="12">
        <v>2</v>
      </c>
      <c r="L294" s="13">
        <v>234</v>
      </c>
      <c r="M294" s="14">
        <f t="shared" si="483"/>
        <v>468</v>
      </c>
      <c r="N294" s="15"/>
      <c r="O294" s="16" t="s">
        <v>111</v>
      </c>
      <c r="P294" s="17">
        <f t="shared" ref="P294:P296" si="484">M294/1.12*0.01</f>
        <v>4.1785714285714288</v>
      </c>
      <c r="Q294" s="18">
        <f t="shared" ref="Q294:Q296" si="485">M294/1.12*0.12</f>
        <v>50.142857142857139</v>
      </c>
      <c r="R294" s="17">
        <f t="shared" ref="R294:R296" si="486">M294+P294-Q294</f>
        <v>422.03571428571433</v>
      </c>
      <c r="S294" s="19"/>
      <c r="T294" s="19"/>
      <c r="U294" s="19"/>
      <c r="V294" s="19"/>
      <c r="W294" s="17"/>
      <c r="X294" s="20"/>
      <c r="Y294" s="19"/>
      <c r="Z294" s="19"/>
      <c r="AA294" s="19"/>
      <c r="AB294" s="19"/>
      <c r="AC294" s="19"/>
      <c r="AD294" s="19"/>
      <c r="AE294" s="5"/>
      <c r="AF294" s="19"/>
      <c r="AG294" s="5"/>
      <c r="AH294" s="17"/>
      <c r="AI294" s="19"/>
      <c r="AJ294" s="19"/>
      <c r="AK294" s="19"/>
      <c r="AL294" s="19"/>
      <c r="AM294" s="17"/>
      <c r="AN294" s="19"/>
      <c r="AO294" s="19"/>
      <c r="AP294" s="19"/>
      <c r="AQ294" s="19"/>
      <c r="AR294" s="19"/>
      <c r="AS294" s="21"/>
      <c r="AT294" s="5"/>
      <c r="AU294" s="19"/>
      <c r="AV294" s="5"/>
      <c r="AW294" s="22"/>
      <c r="AX294" s="19"/>
      <c r="AY294" s="5"/>
      <c r="AZ294" s="19"/>
      <c r="BA294" s="5"/>
      <c r="BB294" s="5"/>
      <c r="BC294" s="19"/>
      <c r="BD294" s="19"/>
      <c r="BE294" s="19"/>
      <c r="BF294" s="19"/>
      <c r="BG294" s="19"/>
      <c r="BH294" s="19"/>
      <c r="BI294" s="19"/>
      <c r="BJ294" s="19"/>
      <c r="BK294" s="13"/>
      <c r="BL294" s="5"/>
      <c r="BM294" s="5"/>
      <c r="BN294" s="19"/>
      <c r="BO294" s="17"/>
      <c r="BP294" s="19"/>
      <c r="BQ294" s="17"/>
      <c r="BR294" s="19"/>
      <c r="BS294" s="13"/>
      <c r="BT294" s="5"/>
      <c r="BU294" s="23"/>
      <c r="BV294" s="23"/>
      <c r="BW294" s="24"/>
      <c r="BX294" s="5"/>
      <c r="BY294" s="5"/>
      <c r="BZ294" s="5"/>
      <c r="CA294" s="24"/>
      <c r="CB294" s="24"/>
      <c r="CC294" s="24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>
        <f t="shared" si="391"/>
        <v>468</v>
      </c>
      <c r="CV294" s="25">
        <f t="shared" si="392"/>
        <v>0</v>
      </c>
      <c r="CW294" s="26"/>
      <c r="CX294" s="5"/>
      <c r="CY294" s="5"/>
    </row>
    <row r="295" spans="1:103" x14ac:dyDescent="0.2">
      <c r="A295" s="2"/>
      <c r="B295" s="3"/>
      <c r="C295" s="4"/>
      <c r="D295" s="5"/>
      <c r="E295" s="6"/>
      <c r="F295" s="7"/>
      <c r="G295" s="8"/>
      <c r="H295" s="9"/>
      <c r="I295" s="10"/>
      <c r="J295" s="11" t="s">
        <v>620</v>
      </c>
      <c r="K295" s="12">
        <v>4</v>
      </c>
      <c r="L295" s="13">
        <v>17.100000000000001</v>
      </c>
      <c r="M295" s="14">
        <f t="shared" si="483"/>
        <v>68.400000000000006</v>
      </c>
      <c r="N295" s="15"/>
      <c r="O295" s="16" t="s">
        <v>111</v>
      </c>
      <c r="P295" s="17">
        <f t="shared" si="484"/>
        <v>0.61071428571428565</v>
      </c>
      <c r="Q295" s="18">
        <f t="shared" si="485"/>
        <v>7.3285714285714283</v>
      </c>
      <c r="R295" s="17">
        <f t="shared" si="486"/>
        <v>61.682142857142857</v>
      </c>
      <c r="S295" s="19"/>
      <c r="T295" s="19"/>
      <c r="U295" s="19"/>
      <c r="V295" s="19"/>
      <c r="W295" s="17"/>
      <c r="X295" s="20"/>
      <c r="Y295" s="19"/>
      <c r="Z295" s="19"/>
      <c r="AA295" s="19"/>
      <c r="AB295" s="19"/>
      <c r="AC295" s="19"/>
      <c r="AD295" s="19"/>
      <c r="AE295" s="5"/>
      <c r="AF295" s="19"/>
      <c r="AG295" s="5"/>
      <c r="AH295" s="17"/>
      <c r="AI295" s="19"/>
      <c r="AJ295" s="19"/>
      <c r="AK295" s="19"/>
      <c r="AL295" s="19"/>
      <c r="AM295" s="17"/>
      <c r="AN295" s="19"/>
      <c r="AO295" s="19"/>
      <c r="AP295" s="19"/>
      <c r="AQ295" s="19"/>
      <c r="AR295" s="19"/>
      <c r="AS295" s="21"/>
      <c r="AT295" s="5"/>
      <c r="AU295" s="19"/>
      <c r="AV295" s="5"/>
      <c r="AW295" s="22"/>
      <c r="AX295" s="19"/>
      <c r="AY295" s="5"/>
      <c r="AZ295" s="19"/>
      <c r="BA295" s="5"/>
      <c r="BB295" s="5"/>
      <c r="BC295" s="19"/>
      <c r="BD295" s="19"/>
      <c r="BE295" s="19"/>
      <c r="BF295" s="19"/>
      <c r="BG295" s="19"/>
      <c r="BH295" s="19"/>
      <c r="BI295" s="19"/>
      <c r="BJ295" s="19"/>
      <c r="BK295" s="13"/>
      <c r="BL295" s="5"/>
      <c r="BM295" s="5"/>
      <c r="BN295" s="19"/>
      <c r="BO295" s="17"/>
      <c r="BP295" s="19"/>
      <c r="BQ295" s="17"/>
      <c r="BR295" s="19"/>
      <c r="BS295" s="13"/>
      <c r="BT295" s="5"/>
      <c r="BU295" s="23"/>
      <c r="BV295" s="23"/>
      <c r="BW295" s="24"/>
      <c r="BX295" s="5"/>
      <c r="BY295" s="5"/>
      <c r="BZ295" s="5"/>
      <c r="CA295" s="24"/>
      <c r="CB295" s="24"/>
      <c r="CC295" s="24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>
        <f t="shared" si="391"/>
        <v>68.400000000000006</v>
      </c>
      <c r="CV295" s="25">
        <f t="shared" si="392"/>
        <v>0</v>
      </c>
      <c r="CW295" s="26"/>
      <c r="CX295" s="5"/>
      <c r="CY295" s="5"/>
    </row>
    <row r="296" spans="1:103" x14ac:dyDescent="0.2">
      <c r="A296" s="2"/>
      <c r="B296" s="3"/>
      <c r="C296" s="4"/>
      <c r="D296" s="5"/>
      <c r="E296" s="6"/>
      <c r="F296" s="7"/>
      <c r="G296" s="8"/>
      <c r="H296" s="9"/>
      <c r="I296" s="10"/>
      <c r="J296" s="11" t="s">
        <v>621</v>
      </c>
      <c r="K296" s="12">
        <v>1</v>
      </c>
      <c r="L296" s="13">
        <v>33.950000000000003</v>
      </c>
      <c r="M296" s="14">
        <f t="shared" si="483"/>
        <v>33.950000000000003</v>
      </c>
      <c r="N296" s="15"/>
      <c r="O296" s="16" t="s">
        <v>111</v>
      </c>
      <c r="P296" s="17">
        <f t="shared" si="484"/>
        <v>0.30312500000000003</v>
      </c>
      <c r="Q296" s="18">
        <f t="shared" si="485"/>
        <v>3.6374999999999997</v>
      </c>
      <c r="R296" s="17">
        <f t="shared" si="486"/>
        <v>30.615625000000005</v>
      </c>
      <c r="S296" s="19"/>
      <c r="T296" s="19"/>
      <c r="U296" s="19"/>
      <c r="V296" s="19"/>
      <c r="W296" s="17"/>
      <c r="X296" s="20"/>
      <c r="Y296" s="19"/>
      <c r="Z296" s="19"/>
      <c r="AA296" s="19"/>
      <c r="AB296" s="19"/>
      <c r="AC296" s="19"/>
      <c r="AD296" s="19"/>
      <c r="AE296" s="5"/>
      <c r="AF296" s="19"/>
      <c r="AG296" s="5"/>
      <c r="AH296" s="17"/>
      <c r="AI296" s="19"/>
      <c r="AJ296" s="19"/>
      <c r="AK296" s="19"/>
      <c r="AL296" s="19"/>
      <c r="AM296" s="17"/>
      <c r="AN296" s="19"/>
      <c r="AO296" s="19"/>
      <c r="AP296" s="19"/>
      <c r="AQ296" s="19"/>
      <c r="AR296" s="19"/>
      <c r="AS296" s="21"/>
      <c r="AT296" s="5"/>
      <c r="AU296" s="19"/>
      <c r="AV296" s="5"/>
      <c r="AW296" s="22"/>
      <c r="AX296" s="19"/>
      <c r="AY296" s="5"/>
      <c r="AZ296" s="19"/>
      <c r="BA296" s="5"/>
      <c r="BB296" s="5"/>
      <c r="BC296" s="19"/>
      <c r="BD296" s="19"/>
      <c r="BE296" s="19"/>
      <c r="BF296" s="19"/>
      <c r="BG296" s="19"/>
      <c r="BH296" s="19"/>
      <c r="BI296" s="19"/>
      <c r="BJ296" s="19"/>
      <c r="BK296" s="13"/>
      <c r="BL296" s="5"/>
      <c r="BM296" s="5"/>
      <c r="BN296" s="19"/>
      <c r="BO296" s="17"/>
      <c r="BP296" s="19"/>
      <c r="BQ296" s="17"/>
      <c r="BR296" s="19"/>
      <c r="BS296" s="13"/>
      <c r="BT296" s="5"/>
      <c r="BU296" s="23"/>
      <c r="BV296" s="23"/>
      <c r="BW296" s="24"/>
      <c r="BX296" s="5"/>
      <c r="BY296" s="5"/>
      <c r="BZ296" s="5"/>
      <c r="CA296" s="24"/>
      <c r="CB296" s="24"/>
      <c r="CC296" s="24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>
        <f t="shared" si="391"/>
        <v>33.950000000000003</v>
      </c>
      <c r="CV296" s="25">
        <f t="shared" si="392"/>
        <v>0</v>
      </c>
      <c r="CW296" s="26"/>
      <c r="CX296" s="5"/>
      <c r="CY296" s="5"/>
    </row>
    <row r="297" spans="1:103" x14ac:dyDescent="0.2">
      <c r="A297" s="27"/>
      <c r="B297" s="28"/>
      <c r="C297" s="29"/>
      <c r="D297" s="30"/>
      <c r="E297" s="31"/>
      <c r="F297" s="32"/>
      <c r="G297" s="33"/>
      <c r="H297" s="34"/>
      <c r="I297" s="34"/>
      <c r="J297" s="35"/>
      <c r="K297" s="36"/>
      <c r="L297" s="37"/>
      <c r="M297" s="38">
        <f>SUM(M293:M296)</f>
        <v>1676.79</v>
      </c>
      <c r="N297" s="38"/>
      <c r="O297" s="39"/>
      <c r="P297" s="38">
        <f>SUM(P293:P296)</f>
        <v>16.156810714285715</v>
      </c>
      <c r="Q297" s="38">
        <f>SUM(Q293:Q296)</f>
        <v>61.108928571428571</v>
      </c>
      <c r="R297" s="38">
        <f>SUM(R293:R296)</f>
        <v>1631.8378821428569</v>
      </c>
      <c r="S297" s="38">
        <f t="shared" ref="S297:AD297" si="487">SUM(S293:S293)</f>
        <v>0</v>
      </c>
      <c r="T297" s="38">
        <f t="shared" si="487"/>
        <v>0</v>
      </c>
      <c r="U297" s="38">
        <f t="shared" si="487"/>
        <v>0</v>
      </c>
      <c r="V297" s="38">
        <f t="shared" si="487"/>
        <v>0</v>
      </c>
      <c r="W297" s="38">
        <f t="shared" si="487"/>
        <v>0</v>
      </c>
      <c r="X297" s="38">
        <f t="shared" si="487"/>
        <v>0</v>
      </c>
      <c r="Y297" s="38">
        <f t="shared" si="487"/>
        <v>0</v>
      </c>
      <c r="Z297" s="38">
        <f t="shared" si="487"/>
        <v>0</v>
      </c>
      <c r="AA297" s="38">
        <f t="shared" si="487"/>
        <v>0</v>
      </c>
      <c r="AB297" s="38">
        <f t="shared" si="487"/>
        <v>0</v>
      </c>
      <c r="AC297" s="38">
        <f t="shared" si="487"/>
        <v>0</v>
      </c>
      <c r="AD297" s="38">
        <f t="shared" si="487"/>
        <v>0</v>
      </c>
      <c r="AE297" s="30"/>
      <c r="AF297" s="38">
        <f>SUM(AF293:AF293)</f>
        <v>0</v>
      </c>
      <c r="AG297" s="30"/>
      <c r="AH297" s="38">
        <f t="shared" ref="AH297:AZ297" si="488">SUM(AH293:AH293)</f>
        <v>0</v>
      </c>
      <c r="AI297" s="38">
        <f t="shared" si="488"/>
        <v>0</v>
      </c>
      <c r="AJ297" s="38">
        <f t="shared" si="488"/>
        <v>0</v>
      </c>
      <c r="AK297" s="38">
        <f t="shared" si="488"/>
        <v>0</v>
      </c>
      <c r="AL297" s="38">
        <f t="shared" si="488"/>
        <v>0</v>
      </c>
      <c r="AM297" s="38">
        <f t="shared" si="488"/>
        <v>0</v>
      </c>
      <c r="AN297" s="38">
        <f t="shared" si="488"/>
        <v>0</v>
      </c>
      <c r="AO297" s="38">
        <f t="shared" si="488"/>
        <v>0</v>
      </c>
      <c r="AP297" s="38">
        <f t="shared" si="488"/>
        <v>0</v>
      </c>
      <c r="AQ297" s="38">
        <f t="shared" si="488"/>
        <v>0</v>
      </c>
      <c r="AR297" s="38">
        <f t="shared" si="488"/>
        <v>0</v>
      </c>
      <c r="AS297" s="38">
        <f t="shared" si="488"/>
        <v>0</v>
      </c>
      <c r="AT297" s="38">
        <f t="shared" si="488"/>
        <v>0</v>
      </c>
      <c r="AU297" s="38">
        <f t="shared" si="488"/>
        <v>0</v>
      </c>
      <c r="AV297" s="38">
        <f t="shared" si="488"/>
        <v>0</v>
      </c>
      <c r="AW297" s="38">
        <f t="shared" si="488"/>
        <v>0</v>
      </c>
      <c r="AX297" s="38">
        <f t="shared" si="488"/>
        <v>0</v>
      </c>
      <c r="AY297" s="38">
        <f t="shared" si="488"/>
        <v>0</v>
      </c>
      <c r="AZ297" s="38">
        <f t="shared" si="488"/>
        <v>0</v>
      </c>
      <c r="BA297" s="30"/>
      <c r="BB297" s="38">
        <f t="shared" ref="BB297:CT297" si="489">SUM(BB293:BB293)</f>
        <v>0</v>
      </c>
      <c r="BC297" s="38">
        <f t="shared" si="489"/>
        <v>0</v>
      </c>
      <c r="BD297" s="38">
        <f t="shared" si="489"/>
        <v>0</v>
      </c>
      <c r="BE297" s="38">
        <f t="shared" si="489"/>
        <v>0</v>
      </c>
      <c r="BF297" s="38">
        <f t="shared" si="489"/>
        <v>0</v>
      </c>
      <c r="BG297" s="38">
        <f t="shared" si="489"/>
        <v>0</v>
      </c>
      <c r="BH297" s="38">
        <f t="shared" si="489"/>
        <v>0</v>
      </c>
      <c r="BI297" s="38">
        <f t="shared" si="489"/>
        <v>0</v>
      </c>
      <c r="BJ297" s="38">
        <f t="shared" si="489"/>
        <v>0</v>
      </c>
      <c r="BK297" s="38">
        <f t="shared" si="489"/>
        <v>0</v>
      </c>
      <c r="BL297" s="38">
        <f t="shared" si="489"/>
        <v>0</v>
      </c>
      <c r="BM297" s="38">
        <f t="shared" si="489"/>
        <v>0</v>
      </c>
      <c r="BN297" s="38">
        <f t="shared" si="489"/>
        <v>0</v>
      </c>
      <c r="BO297" s="38">
        <f t="shared" si="489"/>
        <v>0</v>
      </c>
      <c r="BP297" s="38">
        <f t="shared" si="489"/>
        <v>0</v>
      </c>
      <c r="BQ297" s="38">
        <f t="shared" si="489"/>
        <v>0</v>
      </c>
      <c r="BR297" s="38">
        <f t="shared" si="489"/>
        <v>0</v>
      </c>
      <c r="BS297" s="38">
        <f t="shared" si="489"/>
        <v>0</v>
      </c>
      <c r="BT297" s="38">
        <f t="shared" si="489"/>
        <v>0</v>
      </c>
      <c r="BU297" s="38">
        <f t="shared" si="489"/>
        <v>0</v>
      </c>
      <c r="BV297" s="38">
        <f t="shared" si="489"/>
        <v>0</v>
      </c>
      <c r="BW297" s="38">
        <f t="shared" si="489"/>
        <v>0</v>
      </c>
      <c r="BX297" s="38">
        <f t="shared" si="489"/>
        <v>0</v>
      </c>
      <c r="BY297" s="38">
        <f t="shared" si="489"/>
        <v>0</v>
      </c>
      <c r="BZ297" s="38">
        <f t="shared" si="489"/>
        <v>0</v>
      </c>
      <c r="CA297" s="38">
        <f t="shared" si="489"/>
        <v>0</v>
      </c>
      <c r="CB297" s="38">
        <f t="shared" si="489"/>
        <v>0</v>
      </c>
      <c r="CC297" s="38">
        <f t="shared" si="489"/>
        <v>0</v>
      </c>
      <c r="CD297" s="38">
        <f t="shared" si="489"/>
        <v>0</v>
      </c>
      <c r="CE297" s="38">
        <f t="shared" si="489"/>
        <v>0</v>
      </c>
      <c r="CF297" s="38">
        <f t="shared" si="489"/>
        <v>0</v>
      </c>
      <c r="CG297" s="38">
        <f t="shared" si="489"/>
        <v>0</v>
      </c>
      <c r="CH297" s="38">
        <f t="shared" si="489"/>
        <v>0</v>
      </c>
      <c r="CI297" s="38">
        <f t="shared" si="489"/>
        <v>0</v>
      </c>
      <c r="CJ297" s="38">
        <f t="shared" si="489"/>
        <v>0</v>
      </c>
      <c r="CK297" s="38">
        <f t="shared" si="489"/>
        <v>0</v>
      </c>
      <c r="CL297" s="38">
        <f t="shared" si="489"/>
        <v>0</v>
      </c>
      <c r="CM297" s="38">
        <f t="shared" si="489"/>
        <v>0</v>
      </c>
      <c r="CN297" s="38">
        <f t="shared" si="489"/>
        <v>0</v>
      </c>
      <c r="CO297" s="38">
        <f t="shared" si="489"/>
        <v>0</v>
      </c>
      <c r="CP297" s="38">
        <f t="shared" si="489"/>
        <v>0</v>
      </c>
      <c r="CQ297" s="38">
        <f t="shared" si="489"/>
        <v>0</v>
      </c>
      <c r="CR297" s="38">
        <f t="shared" si="489"/>
        <v>0</v>
      </c>
      <c r="CS297" s="38">
        <f t="shared" si="489"/>
        <v>0</v>
      </c>
      <c r="CT297" s="38">
        <f t="shared" si="489"/>
        <v>0</v>
      </c>
      <c r="CU297" s="17">
        <f t="shared" si="391"/>
        <v>1676.7899999999997</v>
      </c>
      <c r="CV297" s="25">
        <f t="shared" si="392"/>
        <v>0</v>
      </c>
      <c r="CW297" s="40"/>
      <c r="CX297" s="30"/>
      <c r="CY297" s="30"/>
    </row>
    <row r="298" spans="1:103" x14ac:dyDescent="0.2">
      <c r="A298" s="2">
        <v>45887</v>
      </c>
      <c r="B298" s="3" t="s">
        <v>616</v>
      </c>
      <c r="C298" s="4" t="s">
        <v>719</v>
      </c>
      <c r="D298" s="5" t="s">
        <v>189</v>
      </c>
      <c r="E298" s="6" t="s">
        <v>266</v>
      </c>
      <c r="F298" s="7"/>
      <c r="G298" s="8"/>
      <c r="H298" s="9"/>
      <c r="I298" s="10"/>
      <c r="J298" s="11" t="s">
        <v>623</v>
      </c>
      <c r="K298" s="12">
        <v>4.68</v>
      </c>
      <c r="L298" s="13">
        <v>25</v>
      </c>
      <c r="M298" s="14">
        <f t="shared" ref="M298" si="490">L298*K298</f>
        <v>117</v>
      </c>
      <c r="N298" s="15"/>
      <c r="O298" s="16" t="s">
        <v>137</v>
      </c>
      <c r="P298" s="17"/>
      <c r="Q298" s="18"/>
      <c r="R298" s="17">
        <f>M298+P298-Q298</f>
        <v>117</v>
      </c>
      <c r="S298" s="19"/>
      <c r="T298" s="19"/>
      <c r="U298" s="19"/>
      <c r="V298" s="19"/>
      <c r="W298" s="17"/>
      <c r="X298" s="20"/>
      <c r="Y298" s="19"/>
      <c r="Z298" s="19"/>
      <c r="AA298" s="19"/>
      <c r="AB298" s="19"/>
      <c r="AC298" s="19"/>
      <c r="AD298" s="19"/>
      <c r="AE298" s="5"/>
      <c r="AF298" s="19"/>
      <c r="AG298" s="5"/>
      <c r="AH298" s="17"/>
      <c r="AI298" s="19"/>
      <c r="AJ298" s="19"/>
      <c r="AK298" s="19"/>
      <c r="AL298" s="19"/>
      <c r="AM298" s="17"/>
      <c r="AN298" s="19"/>
      <c r="AO298" s="19"/>
      <c r="AP298" s="19"/>
      <c r="AQ298" s="19"/>
      <c r="AR298" s="19"/>
      <c r="AS298" s="21"/>
      <c r="AT298" s="5"/>
      <c r="AU298" s="19"/>
      <c r="AV298" s="5"/>
      <c r="AW298" s="22"/>
      <c r="AX298" s="19"/>
      <c r="AY298" s="5"/>
      <c r="AZ298" s="19"/>
      <c r="BA298" s="5"/>
      <c r="BB298" s="5"/>
      <c r="BC298" s="19"/>
      <c r="BD298" s="19"/>
      <c r="BE298" s="19"/>
      <c r="BF298" s="19"/>
      <c r="BG298" s="19"/>
      <c r="BH298" s="19"/>
      <c r="BI298" s="19"/>
      <c r="BJ298" s="19"/>
      <c r="BK298" s="13"/>
      <c r="BL298" s="5"/>
      <c r="BM298" s="5"/>
      <c r="BN298" s="19"/>
      <c r="BO298" s="17"/>
      <c r="BP298" s="19"/>
      <c r="BQ298" s="17"/>
      <c r="BR298" s="19"/>
      <c r="BS298" s="13"/>
      <c r="BT298" s="5"/>
      <c r="BU298" s="23"/>
      <c r="BV298" s="23"/>
      <c r="BW298" s="24"/>
      <c r="BX298" s="5"/>
      <c r="BY298" s="5"/>
      <c r="BZ298" s="5"/>
      <c r="CA298" s="24"/>
      <c r="CB298" s="24"/>
      <c r="CC298" s="24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>
        <f t="shared" si="391"/>
        <v>117</v>
      </c>
      <c r="CV298" s="25">
        <f t="shared" si="392"/>
        <v>0</v>
      </c>
      <c r="CW298" s="26"/>
      <c r="CX298" s="5"/>
      <c r="CY298" s="5"/>
    </row>
    <row r="299" spans="1:103" x14ac:dyDescent="0.2">
      <c r="A299" s="161"/>
      <c r="B299" s="162"/>
      <c r="C299" s="163"/>
      <c r="D299" s="164"/>
      <c r="E299" s="165"/>
      <c r="F299" s="166"/>
      <c r="G299" s="167"/>
      <c r="H299" s="168"/>
      <c r="I299" s="168"/>
      <c r="J299" s="169"/>
      <c r="K299" s="170"/>
      <c r="L299" s="171"/>
      <c r="M299" s="172">
        <f>SUM(M298:M298)</f>
        <v>117</v>
      </c>
      <c r="N299" s="172">
        <f>M299+M297+M292</f>
        <v>3605.29</v>
      </c>
      <c r="O299" s="173" t="s">
        <v>137</v>
      </c>
      <c r="P299" s="172"/>
      <c r="Q299" s="172"/>
      <c r="R299" s="172">
        <f>SUM(R298:R298)</f>
        <v>117</v>
      </c>
      <c r="S299" s="172">
        <f t="shared" ref="S299:AD299" si="491">SUM(S298:S298)</f>
        <v>0</v>
      </c>
      <c r="T299" s="172">
        <f t="shared" si="491"/>
        <v>0</v>
      </c>
      <c r="U299" s="172">
        <f t="shared" si="491"/>
        <v>0</v>
      </c>
      <c r="V299" s="172">
        <f t="shared" si="491"/>
        <v>0</v>
      </c>
      <c r="W299" s="172">
        <f t="shared" si="491"/>
        <v>0</v>
      </c>
      <c r="X299" s="172">
        <f t="shared" si="491"/>
        <v>0</v>
      </c>
      <c r="Y299" s="172">
        <f t="shared" si="491"/>
        <v>0</v>
      </c>
      <c r="Z299" s="172">
        <f t="shared" si="491"/>
        <v>0</v>
      </c>
      <c r="AA299" s="172">
        <f t="shared" si="491"/>
        <v>0</v>
      </c>
      <c r="AB299" s="172">
        <f t="shared" si="491"/>
        <v>0</v>
      </c>
      <c r="AC299" s="172">
        <f t="shared" si="491"/>
        <v>0</v>
      </c>
      <c r="AD299" s="172">
        <f t="shared" si="491"/>
        <v>0</v>
      </c>
      <c r="AE299" s="164"/>
      <c r="AF299" s="172">
        <f>SUM(AF298:AF298)</f>
        <v>0</v>
      </c>
      <c r="AG299" s="164"/>
      <c r="AH299" s="172">
        <f t="shared" ref="AH299:AZ299" si="492">SUM(AH298:AH298)</f>
        <v>0</v>
      </c>
      <c r="AI299" s="172">
        <f t="shared" si="492"/>
        <v>0</v>
      </c>
      <c r="AJ299" s="172">
        <f t="shared" si="492"/>
        <v>0</v>
      </c>
      <c r="AK299" s="172">
        <f t="shared" si="492"/>
        <v>0</v>
      </c>
      <c r="AL299" s="172">
        <f t="shared" si="492"/>
        <v>0</v>
      </c>
      <c r="AM299" s="172">
        <f t="shared" si="492"/>
        <v>0</v>
      </c>
      <c r="AN299" s="172">
        <f t="shared" si="492"/>
        <v>0</v>
      </c>
      <c r="AO299" s="172">
        <f t="shared" si="492"/>
        <v>0</v>
      </c>
      <c r="AP299" s="172">
        <f t="shared" si="492"/>
        <v>0</v>
      </c>
      <c r="AQ299" s="172">
        <f t="shared" si="492"/>
        <v>0</v>
      </c>
      <c r="AR299" s="172">
        <f t="shared" si="492"/>
        <v>0</v>
      </c>
      <c r="AS299" s="172">
        <f t="shared" si="492"/>
        <v>0</v>
      </c>
      <c r="AT299" s="172">
        <f t="shared" si="492"/>
        <v>0</v>
      </c>
      <c r="AU299" s="172">
        <f t="shared" si="492"/>
        <v>0</v>
      </c>
      <c r="AV299" s="172">
        <f t="shared" si="492"/>
        <v>0</v>
      </c>
      <c r="AW299" s="172">
        <f t="shared" si="492"/>
        <v>0</v>
      </c>
      <c r="AX299" s="172">
        <f t="shared" si="492"/>
        <v>0</v>
      </c>
      <c r="AY299" s="172">
        <f t="shared" si="492"/>
        <v>0</v>
      </c>
      <c r="AZ299" s="172">
        <f t="shared" si="492"/>
        <v>0</v>
      </c>
      <c r="BA299" s="164"/>
      <c r="BB299" s="172">
        <f t="shared" ref="BB299:CT299" si="493">SUM(BB298:BB298)</f>
        <v>0</v>
      </c>
      <c r="BC299" s="172">
        <f t="shared" si="493"/>
        <v>0</v>
      </c>
      <c r="BD299" s="172">
        <f t="shared" si="493"/>
        <v>0</v>
      </c>
      <c r="BE299" s="172">
        <f t="shared" si="493"/>
        <v>0</v>
      </c>
      <c r="BF299" s="172">
        <f t="shared" si="493"/>
        <v>0</v>
      </c>
      <c r="BG299" s="172">
        <f t="shared" si="493"/>
        <v>0</v>
      </c>
      <c r="BH299" s="172">
        <f t="shared" si="493"/>
        <v>0</v>
      </c>
      <c r="BI299" s="172">
        <f t="shared" si="493"/>
        <v>0</v>
      </c>
      <c r="BJ299" s="172">
        <f t="shared" si="493"/>
        <v>0</v>
      </c>
      <c r="BK299" s="172">
        <f t="shared" si="493"/>
        <v>0</v>
      </c>
      <c r="BL299" s="172">
        <f t="shared" si="493"/>
        <v>0</v>
      </c>
      <c r="BM299" s="172">
        <f t="shared" si="493"/>
        <v>0</v>
      </c>
      <c r="BN299" s="172">
        <f t="shared" si="493"/>
        <v>0</v>
      </c>
      <c r="BO299" s="172">
        <f t="shared" si="493"/>
        <v>0</v>
      </c>
      <c r="BP299" s="172">
        <f t="shared" si="493"/>
        <v>0</v>
      </c>
      <c r="BQ299" s="172">
        <f t="shared" si="493"/>
        <v>0</v>
      </c>
      <c r="BR299" s="172">
        <f t="shared" si="493"/>
        <v>0</v>
      </c>
      <c r="BS299" s="172">
        <f t="shared" si="493"/>
        <v>0</v>
      </c>
      <c r="BT299" s="172">
        <f t="shared" si="493"/>
        <v>0</v>
      </c>
      <c r="BU299" s="172">
        <f t="shared" si="493"/>
        <v>0</v>
      </c>
      <c r="BV299" s="172">
        <f t="shared" si="493"/>
        <v>0</v>
      </c>
      <c r="BW299" s="172">
        <f t="shared" si="493"/>
        <v>0</v>
      </c>
      <c r="BX299" s="172">
        <f t="shared" si="493"/>
        <v>0</v>
      </c>
      <c r="BY299" s="172">
        <f t="shared" si="493"/>
        <v>0</v>
      </c>
      <c r="BZ299" s="172">
        <f t="shared" si="493"/>
        <v>0</v>
      </c>
      <c r="CA299" s="172">
        <f t="shared" si="493"/>
        <v>0</v>
      </c>
      <c r="CB299" s="172">
        <f t="shared" si="493"/>
        <v>0</v>
      </c>
      <c r="CC299" s="172">
        <f t="shared" si="493"/>
        <v>0</v>
      </c>
      <c r="CD299" s="172">
        <f t="shared" si="493"/>
        <v>0</v>
      </c>
      <c r="CE299" s="172">
        <f t="shared" si="493"/>
        <v>0</v>
      </c>
      <c r="CF299" s="172">
        <f t="shared" si="493"/>
        <v>0</v>
      </c>
      <c r="CG299" s="172">
        <f t="shared" si="493"/>
        <v>0</v>
      </c>
      <c r="CH299" s="172">
        <f t="shared" si="493"/>
        <v>0</v>
      </c>
      <c r="CI299" s="172">
        <f t="shared" si="493"/>
        <v>0</v>
      </c>
      <c r="CJ299" s="172">
        <f t="shared" si="493"/>
        <v>0</v>
      </c>
      <c r="CK299" s="172">
        <f t="shared" si="493"/>
        <v>0</v>
      </c>
      <c r="CL299" s="172">
        <f t="shared" si="493"/>
        <v>0</v>
      </c>
      <c r="CM299" s="172">
        <f t="shared" si="493"/>
        <v>0</v>
      </c>
      <c r="CN299" s="172">
        <f t="shared" si="493"/>
        <v>0</v>
      </c>
      <c r="CO299" s="172">
        <f t="shared" si="493"/>
        <v>0</v>
      </c>
      <c r="CP299" s="172">
        <f t="shared" si="493"/>
        <v>0</v>
      </c>
      <c r="CQ299" s="172">
        <f t="shared" si="493"/>
        <v>0</v>
      </c>
      <c r="CR299" s="172">
        <f t="shared" si="493"/>
        <v>0</v>
      </c>
      <c r="CS299" s="172">
        <f t="shared" si="493"/>
        <v>0</v>
      </c>
      <c r="CT299" s="172">
        <f t="shared" si="493"/>
        <v>0</v>
      </c>
      <c r="CU299" s="17">
        <f t="shared" si="391"/>
        <v>117</v>
      </c>
      <c r="CV299" s="25">
        <f t="shared" si="392"/>
        <v>0</v>
      </c>
      <c r="CW299" s="176"/>
      <c r="CX299" s="164"/>
      <c r="CY299" s="164"/>
    </row>
    <row r="300" spans="1:103" x14ac:dyDescent="0.2">
      <c r="A300" s="2">
        <v>45870</v>
      </c>
      <c r="B300" s="3" t="s">
        <v>624</v>
      </c>
      <c r="C300" s="4" t="s">
        <v>720</v>
      </c>
      <c r="D300" s="5" t="s">
        <v>625</v>
      </c>
      <c r="E300" s="6" t="s">
        <v>272</v>
      </c>
      <c r="F300" s="7" t="s">
        <v>229</v>
      </c>
      <c r="G300" s="8" t="s">
        <v>273</v>
      </c>
      <c r="H300" s="9">
        <v>25376</v>
      </c>
      <c r="I300" s="10" t="s">
        <v>626</v>
      </c>
      <c r="J300" s="11" t="s">
        <v>274</v>
      </c>
      <c r="K300" s="12">
        <v>5</v>
      </c>
      <c r="L300" s="13">
        <v>90</v>
      </c>
      <c r="M300" s="14">
        <f t="shared" ref="M300" si="494">L300*K300</f>
        <v>450</v>
      </c>
      <c r="N300" s="15"/>
      <c r="O300" s="16" t="s">
        <v>111</v>
      </c>
      <c r="P300" s="17">
        <f>M300/1.12*0.01</f>
        <v>4.0178571428571423</v>
      </c>
      <c r="Q300" s="18">
        <f>M300/1.12*0.12</f>
        <v>48.214285714285708</v>
      </c>
      <c r="R300" s="17">
        <f>M300+P300-Q300</f>
        <v>405.80357142857144</v>
      </c>
      <c r="S300" s="19"/>
      <c r="T300" s="19"/>
      <c r="U300" s="19"/>
      <c r="V300" s="19"/>
      <c r="W300" s="17"/>
      <c r="X300" s="20"/>
      <c r="Y300" s="19"/>
      <c r="Z300" s="19"/>
      <c r="AA300" s="19"/>
      <c r="AB300" s="19"/>
      <c r="AC300" s="19"/>
      <c r="AD300" s="19"/>
      <c r="AE300" s="5"/>
      <c r="AF300" s="19"/>
      <c r="AG300" s="5"/>
      <c r="AH300" s="17"/>
      <c r="AI300" s="19"/>
      <c r="AJ300" s="19"/>
      <c r="AK300" s="19"/>
      <c r="AL300" s="19"/>
      <c r="AM300" s="17"/>
      <c r="AN300" s="19"/>
      <c r="AO300" s="19"/>
      <c r="AP300" s="19"/>
      <c r="AQ300" s="19"/>
      <c r="AR300" s="19"/>
      <c r="AS300" s="21"/>
      <c r="AT300" s="5"/>
      <c r="AU300" s="19"/>
      <c r="AV300" s="5"/>
      <c r="AW300" s="22"/>
      <c r="AX300" s="19"/>
      <c r="AY300" s="5"/>
      <c r="AZ300" s="19"/>
      <c r="BA300" s="5"/>
      <c r="BB300" s="5"/>
      <c r="BC300" s="19"/>
      <c r="BD300" s="19"/>
      <c r="BE300" s="19"/>
      <c r="BF300" s="19"/>
      <c r="BG300" s="19"/>
      <c r="BH300" s="19"/>
      <c r="BI300" s="19"/>
      <c r="BJ300" s="19"/>
      <c r="BK300" s="13"/>
      <c r="BL300" s="5"/>
      <c r="BM300" s="5"/>
      <c r="BN300" s="19"/>
      <c r="BO300" s="17"/>
      <c r="BP300" s="19"/>
      <c r="BQ300" s="17"/>
      <c r="BR300" s="19"/>
      <c r="BS300" s="13"/>
      <c r="BT300" s="5"/>
      <c r="BU300" s="23"/>
      <c r="BV300" s="23"/>
      <c r="BW300" s="24"/>
      <c r="BX300" s="5"/>
      <c r="BY300" s="5"/>
      <c r="BZ300" s="5"/>
      <c r="CA300" s="24"/>
      <c r="CB300" s="24"/>
      <c r="CC300" s="24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>
        <f t="shared" si="391"/>
        <v>450</v>
      </c>
      <c r="CV300" s="25">
        <f t="shared" si="392"/>
        <v>0</v>
      </c>
      <c r="CW300" s="26"/>
      <c r="CX300" s="5"/>
      <c r="CY300" s="5"/>
    </row>
    <row r="301" spans="1:103" x14ac:dyDescent="0.2">
      <c r="A301" s="161"/>
      <c r="B301" s="162"/>
      <c r="C301" s="163"/>
      <c r="D301" s="164"/>
      <c r="E301" s="165"/>
      <c r="F301" s="166"/>
      <c r="G301" s="167"/>
      <c r="H301" s="168"/>
      <c r="I301" s="168"/>
      <c r="J301" s="169"/>
      <c r="K301" s="170"/>
      <c r="L301" s="171"/>
      <c r="M301" s="172">
        <f>SUM(M300:M300)</f>
        <v>450</v>
      </c>
      <c r="N301" s="172">
        <f>M301</f>
        <v>450</v>
      </c>
      <c r="O301" s="173" t="s">
        <v>111</v>
      </c>
      <c r="P301" s="172">
        <f>SUM(P300:P300)</f>
        <v>4.0178571428571423</v>
      </c>
      <c r="Q301" s="172">
        <f>SUM(Q300:Q300)</f>
        <v>48.214285714285708</v>
      </c>
      <c r="R301" s="172">
        <f>SUM(R300:R300)</f>
        <v>405.80357142857144</v>
      </c>
      <c r="S301" s="172">
        <f t="shared" ref="S301:AD301" si="495">SUM(S300:S300)</f>
        <v>0</v>
      </c>
      <c r="T301" s="172">
        <f t="shared" si="495"/>
        <v>0</v>
      </c>
      <c r="U301" s="172">
        <f t="shared" si="495"/>
        <v>0</v>
      </c>
      <c r="V301" s="172">
        <f t="shared" si="495"/>
        <v>0</v>
      </c>
      <c r="W301" s="172">
        <f t="shared" si="495"/>
        <v>0</v>
      </c>
      <c r="X301" s="172">
        <f t="shared" si="495"/>
        <v>0</v>
      </c>
      <c r="Y301" s="172">
        <f t="shared" si="495"/>
        <v>0</v>
      </c>
      <c r="Z301" s="172">
        <f t="shared" si="495"/>
        <v>0</v>
      </c>
      <c r="AA301" s="172">
        <f t="shared" si="495"/>
        <v>0</v>
      </c>
      <c r="AB301" s="172">
        <f t="shared" si="495"/>
        <v>0</v>
      </c>
      <c r="AC301" s="172">
        <f t="shared" si="495"/>
        <v>0</v>
      </c>
      <c r="AD301" s="172">
        <f t="shared" si="495"/>
        <v>0</v>
      </c>
      <c r="AE301" s="164"/>
      <c r="AF301" s="172">
        <f>SUM(AF300:AF300)</f>
        <v>0</v>
      </c>
      <c r="AG301" s="164"/>
      <c r="AH301" s="172">
        <f t="shared" ref="AH301:AZ301" si="496">SUM(AH300:AH300)</f>
        <v>0</v>
      </c>
      <c r="AI301" s="172">
        <f t="shared" si="496"/>
        <v>0</v>
      </c>
      <c r="AJ301" s="172">
        <f t="shared" si="496"/>
        <v>0</v>
      </c>
      <c r="AK301" s="172">
        <f t="shared" si="496"/>
        <v>0</v>
      </c>
      <c r="AL301" s="172">
        <f t="shared" si="496"/>
        <v>0</v>
      </c>
      <c r="AM301" s="172">
        <f t="shared" si="496"/>
        <v>0</v>
      </c>
      <c r="AN301" s="172">
        <f t="shared" si="496"/>
        <v>0</v>
      </c>
      <c r="AO301" s="172">
        <f t="shared" si="496"/>
        <v>0</v>
      </c>
      <c r="AP301" s="172">
        <f t="shared" si="496"/>
        <v>0</v>
      </c>
      <c r="AQ301" s="172">
        <f t="shared" si="496"/>
        <v>0</v>
      </c>
      <c r="AR301" s="172">
        <f t="shared" si="496"/>
        <v>0</v>
      </c>
      <c r="AS301" s="172">
        <f t="shared" si="496"/>
        <v>0</v>
      </c>
      <c r="AT301" s="172">
        <f t="shared" si="496"/>
        <v>0</v>
      </c>
      <c r="AU301" s="172">
        <f t="shared" si="496"/>
        <v>0</v>
      </c>
      <c r="AV301" s="172">
        <f t="shared" si="496"/>
        <v>0</v>
      </c>
      <c r="AW301" s="172">
        <f t="shared" si="496"/>
        <v>0</v>
      </c>
      <c r="AX301" s="172">
        <f t="shared" si="496"/>
        <v>0</v>
      </c>
      <c r="AY301" s="172">
        <f t="shared" si="496"/>
        <v>0</v>
      </c>
      <c r="AZ301" s="172">
        <f t="shared" si="496"/>
        <v>0</v>
      </c>
      <c r="BA301" s="164"/>
      <c r="BB301" s="172">
        <f t="shared" ref="BB301:CT301" si="497">SUM(BB300:BB300)</f>
        <v>0</v>
      </c>
      <c r="BC301" s="172">
        <f t="shared" si="497"/>
        <v>0</v>
      </c>
      <c r="BD301" s="172">
        <f t="shared" si="497"/>
        <v>0</v>
      </c>
      <c r="BE301" s="172">
        <f t="shared" si="497"/>
        <v>0</v>
      </c>
      <c r="BF301" s="172">
        <f t="shared" si="497"/>
        <v>0</v>
      </c>
      <c r="BG301" s="172">
        <f t="shared" si="497"/>
        <v>0</v>
      </c>
      <c r="BH301" s="172">
        <f t="shared" si="497"/>
        <v>0</v>
      </c>
      <c r="BI301" s="172">
        <f t="shared" si="497"/>
        <v>0</v>
      </c>
      <c r="BJ301" s="172">
        <f t="shared" si="497"/>
        <v>0</v>
      </c>
      <c r="BK301" s="172">
        <f t="shared" si="497"/>
        <v>0</v>
      </c>
      <c r="BL301" s="172">
        <f t="shared" si="497"/>
        <v>0</v>
      </c>
      <c r="BM301" s="172">
        <f t="shared" si="497"/>
        <v>0</v>
      </c>
      <c r="BN301" s="172">
        <f t="shared" si="497"/>
        <v>0</v>
      </c>
      <c r="BO301" s="172">
        <f t="shared" si="497"/>
        <v>0</v>
      </c>
      <c r="BP301" s="172">
        <f t="shared" si="497"/>
        <v>0</v>
      </c>
      <c r="BQ301" s="172">
        <f t="shared" si="497"/>
        <v>0</v>
      </c>
      <c r="BR301" s="172">
        <f t="shared" si="497"/>
        <v>0</v>
      </c>
      <c r="BS301" s="172">
        <f t="shared" si="497"/>
        <v>0</v>
      </c>
      <c r="BT301" s="172">
        <f t="shared" si="497"/>
        <v>0</v>
      </c>
      <c r="BU301" s="172">
        <f t="shared" si="497"/>
        <v>0</v>
      </c>
      <c r="BV301" s="172">
        <f t="shared" si="497"/>
        <v>0</v>
      </c>
      <c r="BW301" s="172">
        <f t="shared" si="497"/>
        <v>0</v>
      </c>
      <c r="BX301" s="172">
        <f t="shared" si="497"/>
        <v>0</v>
      </c>
      <c r="BY301" s="172">
        <f t="shared" si="497"/>
        <v>0</v>
      </c>
      <c r="BZ301" s="172">
        <f t="shared" si="497"/>
        <v>0</v>
      </c>
      <c r="CA301" s="172">
        <f t="shared" si="497"/>
        <v>0</v>
      </c>
      <c r="CB301" s="172">
        <f t="shared" si="497"/>
        <v>0</v>
      </c>
      <c r="CC301" s="172">
        <f t="shared" si="497"/>
        <v>0</v>
      </c>
      <c r="CD301" s="172">
        <f t="shared" si="497"/>
        <v>0</v>
      </c>
      <c r="CE301" s="172">
        <f t="shared" si="497"/>
        <v>0</v>
      </c>
      <c r="CF301" s="172">
        <f t="shared" si="497"/>
        <v>0</v>
      </c>
      <c r="CG301" s="172">
        <f t="shared" si="497"/>
        <v>0</v>
      </c>
      <c r="CH301" s="172">
        <f t="shared" si="497"/>
        <v>0</v>
      </c>
      <c r="CI301" s="172">
        <f t="shared" si="497"/>
        <v>0</v>
      </c>
      <c r="CJ301" s="172">
        <f t="shared" si="497"/>
        <v>0</v>
      </c>
      <c r="CK301" s="172">
        <f t="shared" si="497"/>
        <v>0</v>
      </c>
      <c r="CL301" s="172">
        <f t="shared" si="497"/>
        <v>0</v>
      </c>
      <c r="CM301" s="172">
        <f t="shared" si="497"/>
        <v>0</v>
      </c>
      <c r="CN301" s="172">
        <f t="shared" si="497"/>
        <v>0</v>
      </c>
      <c r="CO301" s="172">
        <f t="shared" si="497"/>
        <v>0</v>
      </c>
      <c r="CP301" s="172">
        <f t="shared" si="497"/>
        <v>0</v>
      </c>
      <c r="CQ301" s="172">
        <f t="shared" si="497"/>
        <v>0</v>
      </c>
      <c r="CR301" s="172">
        <f t="shared" si="497"/>
        <v>0</v>
      </c>
      <c r="CS301" s="172">
        <f t="shared" si="497"/>
        <v>0</v>
      </c>
      <c r="CT301" s="172">
        <f t="shared" si="497"/>
        <v>0</v>
      </c>
      <c r="CU301" s="17">
        <f t="shared" si="391"/>
        <v>450</v>
      </c>
      <c r="CV301" s="25">
        <f t="shared" si="392"/>
        <v>0</v>
      </c>
      <c r="CW301" s="176"/>
      <c r="CX301" s="164"/>
      <c r="CY301" s="164"/>
    </row>
    <row r="302" spans="1:103" x14ac:dyDescent="0.2">
      <c r="A302" s="2">
        <v>45896</v>
      </c>
      <c r="B302" s="3" t="s">
        <v>675</v>
      </c>
      <c r="C302" s="4" t="s">
        <v>721</v>
      </c>
      <c r="D302" s="5" t="s">
        <v>676</v>
      </c>
      <c r="E302" s="6" t="s">
        <v>272</v>
      </c>
      <c r="F302" s="7" t="s">
        <v>229</v>
      </c>
      <c r="G302" s="8" t="s">
        <v>677</v>
      </c>
      <c r="H302" s="9">
        <v>31715</v>
      </c>
      <c r="I302" s="10" t="s">
        <v>678</v>
      </c>
      <c r="J302" s="11" t="s">
        <v>339</v>
      </c>
      <c r="K302" s="12">
        <v>3</v>
      </c>
      <c r="L302" s="13">
        <v>90</v>
      </c>
      <c r="M302" s="14">
        <f t="shared" ref="M302" si="498">L302*K302</f>
        <v>270</v>
      </c>
      <c r="N302" s="15"/>
      <c r="O302" s="16" t="s">
        <v>111</v>
      </c>
      <c r="P302" s="17">
        <f>M302/1.12*0.01</f>
        <v>2.4107142857142856</v>
      </c>
      <c r="Q302" s="18">
        <f>M302/1.12*0.12</f>
        <v>28.928571428571427</v>
      </c>
      <c r="R302" s="17">
        <f>M302+P302-Q302</f>
        <v>243.48214285714286</v>
      </c>
      <c r="S302" s="19"/>
      <c r="T302" s="19"/>
      <c r="U302" s="19"/>
      <c r="V302" s="19"/>
      <c r="W302" s="17"/>
      <c r="X302" s="20"/>
      <c r="Y302" s="19"/>
      <c r="Z302" s="19"/>
      <c r="AA302" s="19"/>
      <c r="AB302" s="19"/>
      <c r="AC302" s="19"/>
      <c r="AD302" s="19"/>
      <c r="AE302" s="5"/>
      <c r="AF302" s="19"/>
      <c r="AG302" s="5"/>
      <c r="AH302" s="17"/>
      <c r="AI302" s="19"/>
      <c r="AJ302" s="19"/>
      <c r="AK302" s="19"/>
      <c r="AL302" s="19"/>
      <c r="AM302" s="17"/>
      <c r="AN302" s="19"/>
      <c r="AO302" s="19"/>
      <c r="AP302" s="19"/>
      <c r="AQ302" s="19"/>
      <c r="AR302" s="19"/>
      <c r="AS302" s="21"/>
      <c r="AT302" s="5"/>
      <c r="AU302" s="19"/>
      <c r="AV302" s="5"/>
      <c r="AW302" s="22"/>
      <c r="AX302" s="19"/>
      <c r="AY302" s="5"/>
      <c r="AZ302" s="19"/>
      <c r="BA302" s="5"/>
      <c r="BB302" s="5"/>
      <c r="BC302" s="19"/>
      <c r="BD302" s="19"/>
      <c r="BE302" s="19"/>
      <c r="BF302" s="19"/>
      <c r="BG302" s="19"/>
      <c r="BH302" s="19"/>
      <c r="BI302" s="19"/>
      <c r="BJ302" s="19"/>
      <c r="BK302" s="13"/>
      <c r="BL302" s="5"/>
      <c r="BM302" s="5"/>
      <c r="BN302" s="19"/>
      <c r="BO302" s="17"/>
      <c r="BP302" s="19"/>
      <c r="BQ302" s="17"/>
      <c r="BR302" s="19"/>
      <c r="BS302" s="13"/>
      <c r="BT302" s="5"/>
      <c r="BU302" s="23"/>
      <c r="BV302" s="23"/>
      <c r="BW302" s="24"/>
      <c r="BX302" s="5"/>
      <c r="BY302" s="5"/>
      <c r="BZ302" s="5"/>
      <c r="CA302" s="24"/>
      <c r="CB302" s="24"/>
      <c r="CC302" s="24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>
        <f t="shared" si="391"/>
        <v>270</v>
      </c>
      <c r="CV302" s="25">
        <f t="shared" si="392"/>
        <v>0</v>
      </c>
      <c r="CW302" s="26"/>
      <c r="CX302" s="5"/>
      <c r="CY302" s="5"/>
    </row>
    <row r="303" spans="1:103" x14ac:dyDescent="0.2">
      <c r="A303" s="161"/>
      <c r="B303" s="162"/>
      <c r="C303" s="163"/>
      <c r="D303" s="164"/>
      <c r="E303" s="165"/>
      <c r="F303" s="166"/>
      <c r="G303" s="167"/>
      <c r="H303" s="168"/>
      <c r="I303" s="168"/>
      <c r="J303" s="169"/>
      <c r="K303" s="170"/>
      <c r="L303" s="171"/>
      <c r="M303" s="172">
        <f>SUM(M302:M302)</f>
        <v>270</v>
      </c>
      <c r="N303" s="172">
        <f>M303</f>
        <v>270</v>
      </c>
      <c r="O303" s="173" t="s">
        <v>111</v>
      </c>
      <c r="P303" s="172">
        <f>SUM(P302:P302)</f>
        <v>2.4107142857142856</v>
      </c>
      <c r="Q303" s="172">
        <f>SUM(Q302:Q302)</f>
        <v>28.928571428571427</v>
      </c>
      <c r="R303" s="172">
        <f>SUM(R302:R302)</f>
        <v>243.48214285714286</v>
      </c>
      <c r="S303" s="172">
        <f t="shared" ref="S303:AD303" si="499">SUM(S302:S302)</f>
        <v>0</v>
      </c>
      <c r="T303" s="172">
        <f t="shared" si="499"/>
        <v>0</v>
      </c>
      <c r="U303" s="172">
        <f t="shared" si="499"/>
        <v>0</v>
      </c>
      <c r="V303" s="172">
        <f t="shared" si="499"/>
        <v>0</v>
      </c>
      <c r="W303" s="172">
        <f t="shared" si="499"/>
        <v>0</v>
      </c>
      <c r="X303" s="172">
        <f t="shared" si="499"/>
        <v>0</v>
      </c>
      <c r="Y303" s="172">
        <f t="shared" si="499"/>
        <v>0</v>
      </c>
      <c r="Z303" s="172">
        <f t="shared" si="499"/>
        <v>0</v>
      </c>
      <c r="AA303" s="172">
        <f t="shared" si="499"/>
        <v>0</v>
      </c>
      <c r="AB303" s="172">
        <f t="shared" si="499"/>
        <v>0</v>
      </c>
      <c r="AC303" s="172">
        <f t="shared" si="499"/>
        <v>0</v>
      </c>
      <c r="AD303" s="172">
        <f t="shared" si="499"/>
        <v>0</v>
      </c>
      <c r="AE303" s="164"/>
      <c r="AF303" s="172">
        <f>SUM(AF302:AF302)</f>
        <v>0</v>
      </c>
      <c r="AG303" s="164"/>
      <c r="AH303" s="172">
        <f t="shared" ref="AH303:AZ303" si="500">SUM(AH302:AH302)</f>
        <v>0</v>
      </c>
      <c r="AI303" s="172">
        <f t="shared" si="500"/>
        <v>0</v>
      </c>
      <c r="AJ303" s="172">
        <f t="shared" si="500"/>
        <v>0</v>
      </c>
      <c r="AK303" s="172">
        <f t="shared" si="500"/>
        <v>0</v>
      </c>
      <c r="AL303" s="172">
        <f t="shared" si="500"/>
        <v>0</v>
      </c>
      <c r="AM303" s="172">
        <f t="shared" si="500"/>
        <v>0</v>
      </c>
      <c r="AN303" s="172">
        <f t="shared" si="500"/>
        <v>0</v>
      </c>
      <c r="AO303" s="172">
        <f t="shared" si="500"/>
        <v>0</v>
      </c>
      <c r="AP303" s="172">
        <f t="shared" si="500"/>
        <v>0</v>
      </c>
      <c r="AQ303" s="172">
        <f t="shared" si="500"/>
        <v>0</v>
      </c>
      <c r="AR303" s="172">
        <f t="shared" si="500"/>
        <v>0</v>
      </c>
      <c r="AS303" s="172">
        <f t="shared" si="500"/>
        <v>0</v>
      </c>
      <c r="AT303" s="172">
        <f t="shared" si="500"/>
        <v>0</v>
      </c>
      <c r="AU303" s="172">
        <f t="shared" si="500"/>
        <v>0</v>
      </c>
      <c r="AV303" s="172">
        <f t="shared" si="500"/>
        <v>0</v>
      </c>
      <c r="AW303" s="172">
        <f t="shared" si="500"/>
        <v>0</v>
      </c>
      <c r="AX303" s="172">
        <f t="shared" si="500"/>
        <v>0</v>
      </c>
      <c r="AY303" s="172">
        <f t="shared" si="500"/>
        <v>0</v>
      </c>
      <c r="AZ303" s="172">
        <f t="shared" si="500"/>
        <v>0</v>
      </c>
      <c r="BA303" s="164"/>
      <c r="BB303" s="172">
        <f t="shared" ref="BB303:CT303" si="501">SUM(BB302:BB302)</f>
        <v>0</v>
      </c>
      <c r="BC303" s="172">
        <f t="shared" si="501"/>
        <v>0</v>
      </c>
      <c r="BD303" s="172">
        <f t="shared" si="501"/>
        <v>0</v>
      </c>
      <c r="BE303" s="172">
        <f t="shared" si="501"/>
        <v>0</v>
      </c>
      <c r="BF303" s="172">
        <f t="shared" si="501"/>
        <v>0</v>
      </c>
      <c r="BG303" s="172">
        <f t="shared" si="501"/>
        <v>0</v>
      </c>
      <c r="BH303" s="172">
        <f t="shared" si="501"/>
        <v>0</v>
      </c>
      <c r="BI303" s="172">
        <f t="shared" si="501"/>
        <v>0</v>
      </c>
      <c r="BJ303" s="172">
        <f t="shared" si="501"/>
        <v>0</v>
      </c>
      <c r="BK303" s="172">
        <f t="shared" si="501"/>
        <v>0</v>
      </c>
      <c r="BL303" s="172">
        <f t="shared" si="501"/>
        <v>0</v>
      </c>
      <c r="BM303" s="172">
        <f t="shared" si="501"/>
        <v>0</v>
      </c>
      <c r="BN303" s="172">
        <f t="shared" si="501"/>
        <v>0</v>
      </c>
      <c r="BO303" s="172">
        <f t="shared" si="501"/>
        <v>0</v>
      </c>
      <c r="BP303" s="172">
        <f t="shared" si="501"/>
        <v>0</v>
      </c>
      <c r="BQ303" s="172">
        <f t="shared" si="501"/>
        <v>0</v>
      </c>
      <c r="BR303" s="172">
        <f t="shared" si="501"/>
        <v>0</v>
      </c>
      <c r="BS303" s="172">
        <f t="shared" si="501"/>
        <v>0</v>
      </c>
      <c r="BT303" s="172">
        <f t="shared" si="501"/>
        <v>0</v>
      </c>
      <c r="BU303" s="172">
        <f t="shared" si="501"/>
        <v>0</v>
      </c>
      <c r="BV303" s="172">
        <f t="shared" si="501"/>
        <v>0</v>
      </c>
      <c r="BW303" s="172">
        <f t="shared" si="501"/>
        <v>0</v>
      </c>
      <c r="BX303" s="172">
        <f t="shared" si="501"/>
        <v>0</v>
      </c>
      <c r="BY303" s="172">
        <f t="shared" si="501"/>
        <v>0</v>
      </c>
      <c r="BZ303" s="172">
        <f t="shared" si="501"/>
        <v>0</v>
      </c>
      <c r="CA303" s="172">
        <f t="shared" si="501"/>
        <v>0</v>
      </c>
      <c r="CB303" s="172">
        <f t="shared" si="501"/>
        <v>0</v>
      </c>
      <c r="CC303" s="172">
        <f t="shared" si="501"/>
        <v>0</v>
      </c>
      <c r="CD303" s="172">
        <f t="shared" si="501"/>
        <v>0</v>
      </c>
      <c r="CE303" s="172">
        <f t="shared" si="501"/>
        <v>0</v>
      </c>
      <c r="CF303" s="172">
        <f t="shared" si="501"/>
        <v>0</v>
      </c>
      <c r="CG303" s="172">
        <f t="shared" si="501"/>
        <v>0</v>
      </c>
      <c r="CH303" s="172">
        <f t="shared" si="501"/>
        <v>0</v>
      </c>
      <c r="CI303" s="172">
        <f t="shared" si="501"/>
        <v>0</v>
      </c>
      <c r="CJ303" s="172">
        <f t="shared" si="501"/>
        <v>0</v>
      </c>
      <c r="CK303" s="172">
        <f t="shared" si="501"/>
        <v>0</v>
      </c>
      <c r="CL303" s="172">
        <f t="shared" si="501"/>
        <v>0</v>
      </c>
      <c r="CM303" s="172">
        <f t="shared" si="501"/>
        <v>0</v>
      </c>
      <c r="CN303" s="172">
        <f t="shared" si="501"/>
        <v>0</v>
      </c>
      <c r="CO303" s="172">
        <f t="shared" si="501"/>
        <v>0</v>
      </c>
      <c r="CP303" s="172">
        <f t="shared" si="501"/>
        <v>0</v>
      </c>
      <c r="CQ303" s="172">
        <f t="shared" si="501"/>
        <v>0</v>
      </c>
      <c r="CR303" s="172">
        <f t="shared" si="501"/>
        <v>0</v>
      </c>
      <c r="CS303" s="172">
        <f t="shared" si="501"/>
        <v>0</v>
      </c>
      <c r="CT303" s="172">
        <f t="shared" si="501"/>
        <v>0</v>
      </c>
      <c r="CU303" s="17">
        <f t="shared" si="391"/>
        <v>270</v>
      </c>
      <c r="CV303" s="25">
        <f t="shared" si="392"/>
        <v>0</v>
      </c>
      <c r="CW303" s="176"/>
      <c r="CX303" s="164"/>
      <c r="CY303" s="164"/>
    </row>
    <row r="304" spans="1:103" x14ac:dyDescent="0.2">
      <c r="A304" s="2">
        <v>45895</v>
      </c>
      <c r="B304" s="3" t="s">
        <v>627</v>
      </c>
      <c r="C304" s="4" t="s">
        <v>722</v>
      </c>
      <c r="D304" s="5" t="s">
        <v>189</v>
      </c>
      <c r="E304" s="6" t="s">
        <v>332</v>
      </c>
      <c r="F304" s="7" t="s">
        <v>687</v>
      </c>
      <c r="G304" s="8" t="s">
        <v>333</v>
      </c>
      <c r="H304" s="9" t="s">
        <v>628</v>
      </c>
      <c r="I304" s="10"/>
      <c r="J304" s="11" t="s">
        <v>688</v>
      </c>
      <c r="K304" s="12">
        <v>1</v>
      </c>
      <c r="L304" s="13">
        <v>260</v>
      </c>
      <c r="M304" s="14">
        <f t="shared" ref="M304" si="502">L304*K304</f>
        <v>260</v>
      </c>
      <c r="N304" s="15"/>
      <c r="O304" s="16" t="s">
        <v>111</v>
      </c>
      <c r="P304" s="17">
        <f>M304/1.12*0.01</f>
        <v>2.3214285714285712</v>
      </c>
      <c r="Q304" s="18">
        <f>M304/1.12*0.12</f>
        <v>27.857142857142851</v>
      </c>
      <c r="R304" s="5"/>
      <c r="S304" s="19"/>
      <c r="T304" s="19"/>
      <c r="U304" s="19"/>
      <c r="V304" s="19"/>
      <c r="W304" s="17"/>
      <c r="X304" s="20"/>
      <c r="Y304" s="19"/>
      <c r="Z304" s="19"/>
      <c r="AA304" s="19"/>
      <c r="AB304" s="19"/>
      <c r="AC304" s="19"/>
      <c r="AD304" s="19"/>
      <c r="AE304" s="5"/>
      <c r="AF304" s="19"/>
      <c r="AG304" s="5"/>
      <c r="AH304" s="17"/>
      <c r="AI304" s="19"/>
      <c r="AJ304" s="19"/>
      <c r="AK304" s="19"/>
      <c r="AL304" s="19"/>
      <c r="AM304" s="17"/>
      <c r="AN304" s="19"/>
      <c r="AO304" s="19"/>
      <c r="AP304" s="19"/>
      <c r="AQ304" s="19"/>
      <c r="AR304" s="19"/>
      <c r="AS304" s="21"/>
      <c r="AT304" s="5"/>
      <c r="AU304" s="19"/>
      <c r="AV304" s="5"/>
      <c r="AW304" s="22"/>
      <c r="AX304" s="19"/>
      <c r="AY304" s="5"/>
      <c r="AZ304" s="19"/>
      <c r="BA304" s="5"/>
      <c r="BB304" s="5"/>
      <c r="BC304" s="19"/>
      <c r="BD304" s="19"/>
      <c r="BE304" s="19"/>
      <c r="BF304" s="19"/>
      <c r="BG304" s="19"/>
      <c r="BH304" s="19"/>
      <c r="BI304" s="19"/>
      <c r="BJ304" s="19"/>
      <c r="BK304" s="13"/>
      <c r="BL304" s="5"/>
      <c r="BM304" s="5"/>
      <c r="BN304" s="19"/>
      <c r="BO304" s="17"/>
      <c r="BP304" s="19"/>
      <c r="BQ304" s="17"/>
      <c r="BR304" s="19"/>
      <c r="BS304" s="17">
        <f>M304+P304-Q304</f>
        <v>234.46428571428569</v>
      </c>
      <c r="BT304" s="5"/>
      <c r="BU304" s="23"/>
      <c r="BV304" s="23"/>
      <c r="BW304" s="24"/>
      <c r="BX304" s="5"/>
      <c r="BY304" s="5"/>
      <c r="BZ304" s="5"/>
      <c r="CA304" s="24"/>
      <c r="CB304" s="24"/>
      <c r="CC304" s="24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>
        <f t="shared" si="391"/>
        <v>260</v>
      </c>
      <c r="CV304" s="25">
        <f t="shared" si="392"/>
        <v>0</v>
      </c>
      <c r="CW304" s="26"/>
      <c r="CX304" s="5"/>
      <c r="CY304" s="5"/>
    </row>
    <row r="305" spans="1:103" x14ac:dyDescent="0.2">
      <c r="A305" s="27"/>
      <c r="B305" s="28"/>
      <c r="C305" s="29"/>
      <c r="D305" s="30"/>
      <c r="E305" s="31"/>
      <c r="F305" s="32"/>
      <c r="G305" s="33"/>
      <c r="H305" s="34"/>
      <c r="I305" s="34"/>
      <c r="J305" s="35"/>
      <c r="K305" s="36"/>
      <c r="L305" s="37"/>
      <c r="M305" s="38">
        <f>SUM(M304:M304)</f>
        <v>260</v>
      </c>
      <c r="N305" s="38"/>
      <c r="O305" s="39" t="s">
        <v>111</v>
      </c>
      <c r="P305" s="38">
        <f>SUM(P304:P304)</f>
        <v>2.3214285714285712</v>
      </c>
      <c r="Q305" s="38">
        <f>SUM(Q304:Q304)</f>
        <v>27.857142857142851</v>
      </c>
      <c r="R305" s="30"/>
      <c r="S305" s="38">
        <f t="shared" ref="S305:AD305" si="503">SUM(S304:S304)</f>
        <v>0</v>
      </c>
      <c r="T305" s="38">
        <f t="shared" si="503"/>
        <v>0</v>
      </c>
      <c r="U305" s="38">
        <f t="shared" si="503"/>
        <v>0</v>
      </c>
      <c r="V305" s="38">
        <f t="shared" si="503"/>
        <v>0</v>
      </c>
      <c r="W305" s="38">
        <f t="shared" si="503"/>
        <v>0</v>
      </c>
      <c r="X305" s="38">
        <f t="shared" si="503"/>
        <v>0</v>
      </c>
      <c r="Y305" s="38">
        <f t="shared" si="503"/>
        <v>0</v>
      </c>
      <c r="Z305" s="38">
        <f t="shared" si="503"/>
        <v>0</v>
      </c>
      <c r="AA305" s="38">
        <f t="shared" si="503"/>
        <v>0</v>
      </c>
      <c r="AB305" s="38">
        <f t="shared" si="503"/>
        <v>0</v>
      </c>
      <c r="AC305" s="38">
        <f t="shared" si="503"/>
        <v>0</v>
      </c>
      <c r="AD305" s="38">
        <f t="shared" si="503"/>
        <v>0</v>
      </c>
      <c r="AE305" s="30"/>
      <c r="AF305" s="38">
        <f>SUM(AF304:AF304)</f>
        <v>0</v>
      </c>
      <c r="AG305" s="30"/>
      <c r="AH305" s="38">
        <f t="shared" ref="AH305:AZ305" si="504">SUM(AH304:AH304)</f>
        <v>0</v>
      </c>
      <c r="AI305" s="38">
        <f t="shared" si="504"/>
        <v>0</v>
      </c>
      <c r="AJ305" s="38">
        <f t="shared" si="504"/>
        <v>0</v>
      </c>
      <c r="AK305" s="38">
        <f t="shared" si="504"/>
        <v>0</v>
      </c>
      <c r="AL305" s="38">
        <f t="shared" si="504"/>
        <v>0</v>
      </c>
      <c r="AM305" s="38">
        <f t="shared" si="504"/>
        <v>0</v>
      </c>
      <c r="AN305" s="38">
        <f t="shared" si="504"/>
        <v>0</v>
      </c>
      <c r="AO305" s="38">
        <f t="shared" si="504"/>
        <v>0</v>
      </c>
      <c r="AP305" s="38">
        <f t="shared" si="504"/>
        <v>0</v>
      </c>
      <c r="AQ305" s="38">
        <f t="shared" si="504"/>
        <v>0</v>
      </c>
      <c r="AR305" s="38">
        <f t="shared" si="504"/>
        <v>0</v>
      </c>
      <c r="AS305" s="38">
        <f t="shared" si="504"/>
        <v>0</v>
      </c>
      <c r="AT305" s="38">
        <f t="shared" si="504"/>
        <v>0</v>
      </c>
      <c r="AU305" s="38">
        <f t="shared" si="504"/>
        <v>0</v>
      </c>
      <c r="AV305" s="38">
        <f t="shared" si="504"/>
        <v>0</v>
      </c>
      <c r="AW305" s="38">
        <f t="shared" si="504"/>
        <v>0</v>
      </c>
      <c r="AX305" s="38">
        <f t="shared" si="504"/>
        <v>0</v>
      </c>
      <c r="AY305" s="38">
        <f t="shared" si="504"/>
        <v>0</v>
      </c>
      <c r="AZ305" s="38">
        <f t="shared" si="504"/>
        <v>0</v>
      </c>
      <c r="BA305" s="30"/>
      <c r="BB305" s="38">
        <f t="shared" ref="BB305:CT305" si="505">SUM(BB304:BB304)</f>
        <v>0</v>
      </c>
      <c r="BC305" s="38">
        <f t="shared" si="505"/>
        <v>0</v>
      </c>
      <c r="BD305" s="38">
        <f t="shared" si="505"/>
        <v>0</v>
      </c>
      <c r="BE305" s="38">
        <f t="shared" si="505"/>
        <v>0</v>
      </c>
      <c r="BF305" s="38">
        <f t="shared" si="505"/>
        <v>0</v>
      </c>
      <c r="BG305" s="38">
        <f t="shared" si="505"/>
        <v>0</v>
      </c>
      <c r="BH305" s="38">
        <f t="shared" si="505"/>
        <v>0</v>
      </c>
      <c r="BI305" s="38">
        <f t="shared" si="505"/>
        <v>0</v>
      </c>
      <c r="BJ305" s="38">
        <f t="shared" si="505"/>
        <v>0</v>
      </c>
      <c r="BK305" s="38">
        <f t="shared" si="505"/>
        <v>0</v>
      </c>
      <c r="BL305" s="38">
        <f t="shared" si="505"/>
        <v>0</v>
      </c>
      <c r="BM305" s="38">
        <f t="shared" si="505"/>
        <v>0</v>
      </c>
      <c r="BN305" s="38">
        <f t="shared" si="505"/>
        <v>0</v>
      </c>
      <c r="BO305" s="38">
        <f t="shared" si="505"/>
        <v>0</v>
      </c>
      <c r="BP305" s="38">
        <f t="shared" si="505"/>
        <v>0</v>
      </c>
      <c r="BQ305" s="38">
        <f t="shared" si="505"/>
        <v>0</v>
      </c>
      <c r="BR305" s="38">
        <f t="shared" si="505"/>
        <v>0</v>
      </c>
      <c r="BS305" s="38">
        <f>SUM(BS304:BS304)</f>
        <v>234.46428571428569</v>
      </c>
      <c r="BT305" s="38">
        <f t="shared" si="505"/>
        <v>0</v>
      </c>
      <c r="BU305" s="38">
        <f t="shared" si="505"/>
        <v>0</v>
      </c>
      <c r="BV305" s="38">
        <f t="shared" si="505"/>
        <v>0</v>
      </c>
      <c r="BW305" s="38">
        <f t="shared" si="505"/>
        <v>0</v>
      </c>
      <c r="BX305" s="38">
        <f t="shared" si="505"/>
        <v>0</v>
      </c>
      <c r="BY305" s="38">
        <f t="shared" si="505"/>
        <v>0</v>
      </c>
      <c r="BZ305" s="38">
        <f t="shared" si="505"/>
        <v>0</v>
      </c>
      <c r="CA305" s="38">
        <f t="shared" si="505"/>
        <v>0</v>
      </c>
      <c r="CB305" s="38">
        <f t="shared" si="505"/>
        <v>0</v>
      </c>
      <c r="CC305" s="38">
        <f t="shared" si="505"/>
        <v>0</v>
      </c>
      <c r="CD305" s="38">
        <f t="shared" si="505"/>
        <v>0</v>
      </c>
      <c r="CE305" s="38">
        <f t="shared" si="505"/>
        <v>0</v>
      </c>
      <c r="CF305" s="38">
        <f t="shared" si="505"/>
        <v>0</v>
      </c>
      <c r="CG305" s="38">
        <f t="shared" si="505"/>
        <v>0</v>
      </c>
      <c r="CH305" s="38">
        <f t="shared" si="505"/>
        <v>0</v>
      </c>
      <c r="CI305" s="38">
        <f t="shared" si="505"/>
        <v>0</v>
      </c>
      <c r="CJ305" s="38">
        <f t="shared" si="505"/>
        <v>0</v>
      </c>
      <c r="CK305" s="38">
        <f t="shared" si="505"/>
        <v>0</v>
      </c>
      <c r="CL305" s="38">
        <f t="shared" si="505"/>
        <v>0</v>
      </c>
      <c r="CM305" s="38">
        <f t="shared" si="505"/>
        <v>0</v>
      </c>
      <c r="CN305" s="38">
        <f t="shared" si="505"/>
        <v>0</v>
      </c>
      <c r="CO305" s="38">
        <f t="shared" si="505"/>
        <v>0</v>
      </c>
      <c r="CP305" s="38">
        <f t="shared" si="505"/>
        <v>0</v>
      </c>
      <c r="CQ305" s="38">
        <f t="shared" si="505"/>
        <v>0</v>
      </c>
      <c r="CR305" s="38">
        <f t="shared" si="505"/>
        <v>0</v>
      </c>
      <c r="CS305" s="38">
        <f t="shared" si="505"/>
        <v>0</v>
      </c>
      <c r="CT305" s="38">
        <f t="shared" si="505"/>
        <v>0</v>
      </c>
      <c r="CU305" s="17">
        <f t="shared" ref="CU305:CU336" si="506">SUM(Q305:CT305)-P305</f>
        <v>260</v>
      </c>
      <c r="CV305" s="25">
        <f t="shared" ref="CV305:CV336" si="507">CU305-M305</f>
        <v>0</v>
      </c>
      <c r="CW305" s="40"/>
      <c r="CX305" s="30"/>
      <c r="CY305" s="30"/>
    </row>
    <row r="306" spans="1:103" x14ac:dyDescent="0.2">
      <c r="A306" s="2">
        <v>45895</v>
      </c>
      <c r="B306" s="3" t="s">
        <v>627</v>
      </c>
      <c r="C306" s="4" t="s">
        <v>723</v>
      </c>
      <c r="D306" s="5" t="s">
        <v>189</v>
      </c>
      <c r="E306" s="6" t="s">
        <v>690</v>
      </c>
      <c r="F306" s="7"/>
      <c r="G306" s="8" t="s">
        <v>629</v>
      </c>
      <c r="H306" s="9" t="s">
        <v>691</v>
      </c>
      <c r="I306" s="10"/>
      <c r="J306" s="11" t="s">
        <v>135</v>
      </c>
      <c r="K306" s="12">
        <v>1</v>
      </c>
      <c r="L306" s="13">
        <v>100</v>
      </c>
      <c r="M306" s="14">
        <f t="shared" ref="M306" si="508">L306*K306</f>
        <v>100</v>
      </c>
      <c r="N306" s="15"/>
      <c r="O306" s="16" t="s">
        <v>111</v>
      </c>
      <c r="P306" s="17">
        <f>M306/1.12*0.01</f>
        <v>0.89285714285714279</v>
      </c>
      <c r="Q306" s="18">
        <f>M306/1.12*0.12</f>
        <v>10.714285714285714</v>
      </c>
      <c r="R306" s="5"/>
      <c r="S306" s="19"/>
      <c r="T306" s="19"/>
      <c r="U306" s="19"/>
      <c r="V306" s="19"/>
      <c r="W306" s="17"/>
      <c r="X306" s="20"/>
      <c r="Y306" s="19"/>
      <c r="Z306" s="19"/>
      <c r="AA306" s="19"/>
      <c r="AB306" s="19"/>
      <c r="AC306" s="19"/>
      <c r="AD306" s="19"/>
      <c r="AE306" s="5"/>
      <c r="AF306" s="19"/>
      <c r="AG306" s="5"/>
      <c r="AH306" s="17"/>
      <c r="AI306" s="19"/>
      <c r="AJ306" s="19"/>
      <c r="AK306" s="19"/>
      <c r="AL306" s="19"/>
      <c r="AM306" s="17"/>
      <c r="AN306" s="19"/>
      <c r="AO306" s="19"/>
      <c r="AP306" s="19"/>
      <c r="AQ306" s="19"/>
      <c r="AR306" s="19"/>
      <c r="AS306" s="21"/>
      <c r="AT306" s="5"/>
      <c r="AU306" s="19"/>
      <c r="AV306" s="5"/>
      <c r="AW306" s="22"/>
      <c r="AX306" s="19"/>
      <c r="AY306" s="5"/>
      <c r="AZ306" s="19"/>
      <c r="BA306" s="5"/>
      <c r="BB306" s="5"/>
      <c r="BC306" s="19"/>
      <c r="BD306" s="19"/>
      <c r="BE306" s="19"/>
      <c r="BF306" s="19"/>
      <c r="BG306" s="19"/>
      <c r="BH306" s="19"/>
      <c r="BI306" s="19"/>
      <c r="BJ306" s="19"/>
      <c r="BK306" s="13"/>
      <c r="BL306" s="5"/>
      <c r="BM306" s="5"/>
      <c r="BN306" s="19"/>
      <c r="BO306" s="17">
        <f>M306+P306-Q306</f>
        <v>90.178571428571431</v>
      </c>
      <c r="BP306" s="19"/>
      <c r="BQ306" s="17"/>
      <c r="BR306" s="19"/>
      <c r="BS306" s="13"/>
      <c r="BT306" s="5"/>
      <c r="BU306" s="23"/>
      <c r="BV306" s="23"/>
      <c r="BW306" s="24"/>
      <c r="BX306" s="5"/>
      <c r="BY306" s="5"/>
      <c r="BZ306" s="5"/>
      <c r="CA306" s="24"/>
      <c r="CB306" s="24"/>
      <c r="CC306" s="24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>
        <f t="shared" si="506"/>
        <v>100</v>
      </c>
      <c r="CV306" s="25">
        <f t="shared" si="507"/>
        <v>0</v>
      </c>
      <c r="CW306" s="26"/>
      <c r="CX306" s="5"/>
      <c r="CY306" s="5"/>
    </row>
    <row r="307" spans="1:103" x14ac:dyDescent="0.2">
      <c r="A307" s="27"/>
      <c r="B307" s="28"/>
      <c r="C307" s="29"/>
      <c r="D307" s="30"/>
      <c r="E307" s="31"/>
      <c r="F307" s="32"/>
      <c r="G307" s="33"/>
      <c r="H307" s="34"/>
      <c r="I307" s="34"/>
      <c r="J307" s="35"/>
      <c r="K307" s="36"/>
      <c r="L307" s="37"/>
      <c r="M307" s="38">
        <f>SUM(M306:M306)</f>
        <v>100</v>
      </c>
      <c r="N307" s="38"/>
      <c r="O307" s="39" t="s">
        <v>111</v>
      </c>
      <c r="P307" s="38">
        <f>SUM(P306:P306)</f>
        <v>0.89285714285714279</v>
      </c>
      <c r="Q307" s="38">
        <f>SUM(Q306:Q306)</f>
        <v>10.714285714285714</v>
      </c>
      <c r="R307" s="30"/>
      <c r="S307" s="38">
        <f t="shared" ref="S307:AD307" si="509">SUM(S306:S306)</f>
        <v>0</v>
      </c>
      <c r="T307" s="38">
        <f t="shared" si="509"/>
        <v>0</v>
      </c>
      <c r="U307" s="38">
        <f t="shared" si="509"/>
        <v>0</v>
      </c>
      <c r="V307" s="38">
        <f t="shared" si="509"/>
        <v>0</v>
      </c>
      <c r="W307" s="38">
        <f t="shared" si="509"/>
        <v>0</v>
      </c>
      <c r="X307" s="38">
        <f t="shared" si="509"/>
        <v>0</v>
      </c>
      <c r="Y307" s="38">
        <f t="shared" si="509"/>
        <v>0</v>
      </c>
      <c r="Z307" s="38">
        <f t="shared" si="509"/>
        <v>0</v>
      </c>
      <c r="AA307" s="38">
        <f t="shared" si="509"/>
        <v>0</v>
      </c>
      <c r="AB307" s="38">
        <f t="shared" si="509"/>
        <v>0</v>
      </c>
      <c r="AC307" s="38">
        <f t="shared" si="509"/>
        <v>0</v>
      </c>
      <c r="AD307" s="38">
        <f t="shared" si="509"/>
        <v>0</v>
      </c>
      <c r="AE307" s="30"/>
      <c r="AF307" s="38">
        <f>SUM(AF306:AF306)</f>
        <v>0</v>
      </c>
      <c r="AG307" s="30"/>
      <c r="AH307" s="38">
        <f t="shared" ref="AH307:AZ307" si="510">SUM(AH306:AH306)</f>
        <v>0</v>
      </c>
      <c r="AI307" s="38">
        <f t="shared" si="510"/>
        <v>0</v>
      </c>
      <c r="AJ307" s="38">
        <f t="shared" si="510"/>
        <v>0</v>
      </c>
      <c r="AK307" s="38">
        <f t="shared" si="510"/>
        <v>0</v>
      </c>
      <c r="AL307" s="38">
        <f t="shared" si="510"/>
        <v>0</v>
      </c>
      <c r="AM307" s="38">
        <f t="shared" si="510"/>
        <v>0</v>
      </c>
      <c r="AN307" s="38">
        <f t="shared" si="510"/>
        <v>0</v>
      </c>
      <c r="AO307" s="38">
        <f t="shared" si="510"/>
        <v>0</v>
      </c>
      <c r="AP307" s="38">
        <f t="shared" si="510"/>
        <v>0</v>
      </c>
      <c r="AQ307" s="38">
        <f t="shared" si="510"/>
        <v>0</v>
      </c>
      <c r="AR307" s="38">
        <f t="shared" si="510"/>
        <v>0</v>
      </c>
      <c r="AS307" s="38">
        <f t="shared" si="510"/>
        <v>0</v>
      </c>
      <c r="AT307" s="38">
        <f t="shared" si="510"/>
        <v>0</v>
      </c>
      <c r="AU307" s="38">
        <f t="shared" si="510"/>
        <v>0</v>
      </c>
      <c r="AV307" s="38">
        <f t="shared" si="510"/>
        <v>0</v>
      </c>
      <c r="AW307" s="38">
        <f t="shared" si="510"/>
        <v>0</v>
      </c>
      <c r="AX307" s="38">
        <f t="shared" si="510"/>
        <v>0</v>
      </c>
      <c r="AY307" s="38">
        <f t="shared" si="510"/>
        <v>0</v>
      </c>
      <c r="AZ307" s="38">
        <f t="shared" si="510"/>
        <v>0</v>
      </c>
      <c r="BA307" s="30"/>
      <c r="BB307" s="38">
        <f t="shared" ref="BB307:CT307" si="511">SUM(BB306:BB306)</f>
        <v>0</v>
      </c>
      <c r="BC307" s="38">
        <f t="shared" si="511"/>
        <v>0</v>
      </c>
      <c r="BD307" s="38">
        <f t="shared" si="511"/>
        <v>0</v>
      </c>
      <c r="BE307" s="38">
        <f t="shared" si="511"/>
        <v>0</v>
      </c>
      <c r="BF307" s="38">
        <f t="shared" si="511"/>
        <v>0</v>
      </c>
      <c r="BG307" s="38">
        <f t="shared" si="511"/>
        <v>0</v>
      </c>
      <c r="BH307" s="38">
        <f t="shared" si="511"/>
        <v>0</v>
      </c>
      <c r="BI307" s="38">
        <f t="shared" si="511"/>
        <v>0</v>
      </c>
      <c r="BJ307" s="38">
        <f t="shared" si="511"/>
        <v>0</v>
      </c>
      <c r="BK307" s="38">
        <f t="shared" si="511"/>
        <v>0</v>
      </c>
      <c r="BL307" s="38">
        <f t="shared" si="511"/>
        <v>0</v>
      </c>
      <c r="BM307" s="38">
        <f t="shared" si="511"/>
        <v>0</v>
      </c>
      <c r="BN307" s="38">
        <f t="shared" si="511"/>
        <v>0</v>
      </c>
      <c r="BO307" s="38">
        <f>SUM(BO306:BO306)</f>
        <v>90.178571428571431</v>
      </c>
      <c r="BP307" s="38">
        <f t="shared" si="511"/>
        <v>0</v>
      </c>
      <c r="BQ307" s="38">
        <f t="shared" si="511"/>
        <v>0</v>
      </c>
      <c r="BR307" s="38">
        <f t="shared" si="511"/>
        <v>0</v>
      </c>
      <c r="BS307" s="38">
        <f t="shared" si="511"/>
        <v>0</v>
      </c>
      <c r="BT307" s="38">
        <f t="shared" si="511"/>
        <v>0</v>
      </c>
      <c r="BU307" s="38">
        <f t="shared" si="511"/>
        <v>0</v>
      </c>
      <c r="BV307" s="38">
        <f t="shared" si="511"/>
        <v>0</v>
      </c>
      <c r="BW307" s="38">
        <f t="shared" si="511"/>
        <v>0</v>
      </c>
      <c r="BX307" s="38">
        <f t="shared" si="511"/>
        <v>0</v>
      </c>
      <c r="BY307" s="38">
        <f t="shared" si="511"/>
        <v>0</v>
      </c>
      <c r="BZ307" s="38">
        <f t="shared" si="511"/>
        <v>0</v>
      </c>
      <c r="CA307" s="38">
        <f t="shared" si="511"/>
        <v>0</v>
      </c>
      <c r="CB307" s="38">
        <f t="shared" si="511"/>
        <v>0</v>
      </c>
      <c r="CC307" s="38">
        <f t="shared" si="511"/>
        <v>0</v>
      </c>
      <c r="CD307" s="38">
        <f t="shared" si="511"/>
        <v>0</v>
      </c>
      <c r="CE307" s="38">
        <f t="shared" si="511"/>
        <v>0</v>
      </c>
      <c r="CF307" s="38">
        <f t="shared" si="511"/>
        <v>0</v>
      </c>
      <c r="CG307" s="38">
        <f t="shared" si="511"/>
        <v>0</v>
      </c>
      <c r="CH307" s="38">
        <f t="shared" si="511"/>
        <v>0</v>
      </c>
      <c r="CI307" s="38">
        <f t="shared" si="511"/>
        <v>0</v>
      </c>
      <c r="CJ307" s="38">
        <f t="shared" si="511"/>
        <v>0</v>
      </c>
      <c r="CK307" s="38">
        <f t="shared" si="511"/>
        <v>0</v>
      </c>
      <c r="CL307" s="38">
        <f t="shared" si="511"/>
        <v>0</v>
      </c>
      <c r="CM307" s="38">
        <f t="shared" si="511"/>
        <v>0</v>
      </c>
      <c r="CN307" s="38">
        <f t="shared" si="511"/>
        <v>0</v>
      </c>
      <c r="CO307" s="38">
        <f t="shared" si="511"/>
        <v>0</v>
      </c>
      <c r="CP307" s="38">
        <f t="shared" si="511"/>
        <v>0</v>
      </c>
      <c r="CQ307" s="38">
        <f t="shared" si="511"/>
        <v>0</v>
      </c>
      <c r="CR307" s="38">
        <f t="shared" si="511"/>
        <v>0</v>
      </c>
      <c r="CS307" s="38">
        <f t="shared" si="511"/>
        <v>0</v>
      </c>
      <c r="CT307" s="38">
        <f t="shared" si="511"/>
        <v>0</v>
      </c>
      <c r="CU307" s="17">
        <f t="shared" si="506"/>
        <v>100</v>
      </c>
      <c r="CV307" s="25">
        <f t="shared" si="507"/>
        <v>0</v>
      </c>
      <c r="CW307" s="40"/>
      <c r="CX307" s="30"/>
      <c r="CY307" s="30"/>
    </row>
    <row r="308" spans="1:103" x14ac:dyDescent="0.2">
      <c r="A308" s="2">
        <v>45895</v>
      </c>
      <c r="B308" s="3" t="s">
        <v>627</v>
      </c>
      <c r="C308" s="4" t="s">
        <v>724</v>
      </c>
      <c r="D308" s="5" t="s">
        <v>189</v>
      </c>
      <c r="E308" s="6" t="s">
        <v>690</v>
      </c>
      <c r="F308" s="7"/>
      <c r="G308" s="8" t="s">
        <v>629</v>
      </c>
      <c r="H308" s="9" t="s">
        <v>693</v>
      </c>
      <c r="I308" s="10"/>
      <c r="J308" s="11" t="s">
        <v>135</v>
      </c>
      <c r="K308" s="12">
        <v>1</v>
      </c>
      <c r="L308" s="13">
        <v>100</v>
      </c>
      <c r="M308" s="14">
        <f t="shared" ref="M308" si="512">L308*K308</f>
        <v>100</v>
      </c>
      <c r="N308" s="15"/>
      <c r="O308" s="16" t="s">
        <v>111</v>
      </c>
      <c r="P308" s="17">
        <f>M308/1.12*0.01</f>
        <v>0.89285714285714279</v>
      </c>
      <c r="Q308" s="18">
        <f>M308/1.12*0.12</f>
        <v>10.714285714285714</v>
      </c>
      <c r="R308" s="5"/>
      <c r="S308" s="19"/>
      <c r="T308" s="19"/>
      <c r="U308" s="19"/>
      <c r="V308" s="19"/>
      <c r="W308" s="17"/>
      <c r="X308" s="20"/>
      <c r="Y308" s="19"/>
      <c r="Z308" s="19"/>
      <c r="AA308" s="19"/>
      <c r="AB308" s="19"/>
      <c r="AC308" s="19"/>
      <c r="AD308" s="19"/>
      <c r="AE308" s="5"/>
      <c r="AF308" s="19"/>
      <c r="AG308" s="5"/>
      <c r="AH308" s="17"/>
      <c r="AI308" s="19"/>
      <c r="AJ308" s="19"/>
      <c r="AK308" s="19"/>
      <c r="AL308" s="19"/>
      <c r="AM308" s="17"/>
      <c r="AN308" s="19"/>
      <c r="AO308" s="19"/>
      <c r="AP308" s="19"/>
      <c r="AQ308" s="19"/>
      <c r="AR308" s="19"/>
      <c r="AS308" s="21"/>
      <c r="AT308" s="5"/>
      <c r="AU308" s="19"/>
      <c r="AV308" s="5"/>
      <c r="AW308" s="22"/>
      <c r="AX308" s="19"/>
      <c r="AY308" s="5"/>
      <c r="AZ308" s="19"/>
      <c r="BA308" s="5"/>
      <c r="BB308" s="5"/>
      <c r="BC308" s="19"/>
      <c r="BD308" s="19"/>
      <c r="BE308" s="19"/>
      <c r="BF308" s="19"/>
      <c r="BG308" s="19"/>
      <c r="BH308" s="19"/>
      <c r="BI308" s="19"/>
      <c r="BJ308" s="19"/>
      <c r="BK308" s="13"/>
      <c r="BL308" s="5"/>
      <c r="BM308" s="5"/>
      <c r="BN308" s="19"/>
      <c r="BO308" s="17">
        <f>M308+P308-Q308</f>
        <v>90.178571428571431</v>
      </c>
      <c r="BP308" s="19"/>
      <c r="BQ308" s="17"/>
      <c r="BR308" s="19"/>
      <c r="BS308" s="13"/>
      <c r="BT308" s="5"/>
      <c r="BU308" s="23"/>
      <c r="BV308" s="23"/>
      <c r="BW308" s="24"/>
      <c r="BX308" s="5"/>
      <c r="BY308" s="5"/>
      <c r="BZ308" s="5"/>
      <c r="CA308" s="24"/>
      <c r="CB308" s="24"/>
      <c r="CC308" s="24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>
        <f t="shared" si="506"/>
        <v>100</v>
      </c>
      <c r="CV308" s="25">
        <f t="shared" si="507"/>
        <v>0</v>
      </c>
      <c r="CW308" s="26"/>
      <c r="CX308" s="5"/>
      <c r="CY308" s="5"/>
    </row>
    <row r="309" spans="1:103" x14ac:dyDescent="0.2">
      <c r="A309" s="27"/>
      <c r="B309" s="28"/>
      <c r="C309" s="29"/>
      <c r="D309" s="30"/>
      <c r="E309" s="31"/>
      <c r="F309" s="32"/>
      <c r="G309" s="33"/>
      <c r="H309" s="34"/>
      <c r="I309" s="34"/>
      <c r="J309" s="35"/>
      <c r="K309" s="36"/>
      <c r="L309" s="37"/>
      <c r="M309" s="38">
        <f>SUM(M308:M308)</f>
        <v>100</v>
      </c>
      <c r="N309" s="38"/>
      <c r="O309" s="39" t="s">
        <v>111</v>
      </c>
      <c r="P309" s="38">
        <f>SUM(P308:P308)</f>
        <v>0.89285714285714279</v>
      </c>
      <c r="Q309" s="38">
        <f>SUM(Q308:Q308)</f>
        <v>10.714285714285714</v>
      </c>
      <c r="R309" s="38">
        <f>SUM(R308:R308)</f>
        <v>0</v>
      </c>
      <c r="S309" s="38">
        <f t="shared" ref="S309:AD309" si="513">SUM(S308:S308)</f>
        <v>0</v>
      </c>
      <c r="T309" s="38">
        <f t="shared" si="513"/>
        <v>0</v>
      </c>
      <c r="U309" s="38">
        <f t="shared" si="513"/>
        <v>0</v>
      </c>
      <c r="V309" s="38">
        <f t="shared" si="513"/>
        <v>0</v>
      </c>
      <c r="W309" s="38">
        <f t="shared" si="513"/>
        <v>0</v>
      </c>
      <c r="X309" s="38">
        <f t="shared" si="513"/>
        <v>0</v>
      </c>
      <c r="Y309" s="38">
        <f t="shared" si="513"/>
        <v>0</v>
      </c>
      <c r="Z309" s="38">
        <f t="shared" si="513"/>
        <v>0</v>
      </c>
      <c r="AA309" s="38">
        <f t="shared" si="513"/>
        <v>0</v>
      </c>
      <c r="AB309" s="38">
        <f t="shared" si="513"/>
        <v>0</v>
      </c>
      <c r="AC309" s="38">
        <f t="shared" si="513"/>
        <v>0</v>
      </c>
      <c r="AD309" s="38">
        <f t="shared" si="513"/>
        <v>0</v>
      </c>
      <c r="AE309" s="30"/>
      <c r="AF309" s="38">
        <f>SUM(AF308:AF308)</f>
        <v>0</v>
      </c>
      <c r="AG309" s="30"/>
      <c r="AH309" s="38">
        <f t="shared" ref="AH309:AZ309" si="514">SUM(AH308:AH308)</f>
        <v>0</v>
      </c>
      <c r="AI309" s="38">
        <f t="shared" si="514"/>
        <v>0</v>
      </c>
      <c r="AJ309" s="38">
        <f t="shared" si="514"/>
        <v>0</v>
      </c>
      <c r="AK309" s="38">
        <f t="shared" si="514"/>
        <v>0</v>
      </c>
      <c r="AL309" s="38">
        <f t="shared" si="514"/>
        <v>0</v>
      </c>
      <c r="AM309" s="38">
        <f t="shared" si="514"/>
        <v>0</v>
      </c>
      <c r="AN309" s="38">
        <f t="shared" si="514"/>
        <v>0</v>
      </c>
      <c r="AO309" s="38">
        <f t="shared" si="514"/>
        <v>0</v>
      </c>
      <c r="AP309" s="38">
        <f t="shared" si="514"/>
        <v>0</v>
      </c>
      <c r="AQ309" s="38">
        <f t="shared" si="514"/>
        <v>0</v>
      </c>
      <c r="AR309" s="38">
        <f t="shared" si="514"/>
        <v>0</v>
      </c>
      <c r="AS309" s="38">
        <f t="shared" si="514"/>
        <v>0</v>
      </c>
      <c r="AT309" s="38">
        <f t="shared" si="514"/>
        <v>0</v>
      </c>
      <c r="AU309" s="38">
        <f t="shared" si="514"/>
        <v>0</v>
      </c>
      <c r="AV309" s="38">
        <f t="shared" si="514"/>
        <v>0</v>
      </c>
      <c r="AW309" s="38">
        <f t="shared" si="514"/>
        <v>0</v>
      </c>
      <c r="AX309" s="38">
        <f t="shared" si="514"/>
        <v>0</v>
      </c>
      <c r="AY309" s="38">
        <f t="shared" si="514"/>
        <v>0</v>
      </c>
      <c r="AZ309" s="38">
        <f t="shared" si="514"/>
        <v>0</v>
      </c>
      <c r="BA309" s="30"/>
      <c r="BB309" s="38">
        <f t="shared" ref="BB309:CT309" si="515">SUM(BB308:BB308)</f>
        <v>0</v>
      </c>
      <c r="BC309" s="38">
        <f t="shared" si="515"/>
        <v>0</v>
      </c>
      <c r="BD309" s="38">
        <f t="shared" si="515"/>
        <v>0</v>
      </c>
      <c r="BE309" s="38">
        <f t="shared" si="515"/>
        <v>0</v>
      </c>
      <c r="BF309" s="38">
        <f t="shared" si="515"/>
        <v>0</v>
      </c>
      <c r="BG309" s="38">
        <f t="shared" si="515"/>
        <v>0</v>
      </c>
      <c r="BH309" s="38">
        <f t="shared" si="515"/>
        <v>0</v>
      </c>
      <c r="BI309" s="38">
        <f t="shared" si="515"/>
        <v>0</v>
      </c>
      <c r="BJ309" s="38">
        <f t="shared" si="515"/>
        <v>0</v>
      </c>
      <c r="BK309" s="38">
        <f t="shared" si="515"/>
        <v>0</v>
      </c>
      <c r="BL309" s="38">
        <f t="shared" si="515"/>
        <v>0</v>
      </c>
      <c r="BM309" s="38">
        <f t="shared" si="515"/>
        <v>0</v>
      </c>
      <c r="BN309" s="38">
        <f t="shared" si="515"/>
        <v>0</v>
      </c>
      <c r="BO309" s="38">
        <f>SUM(BO308:BO308)</f>
        <v>90.178571428571431</v>
      </c>
      <c r="BP309" s="38">
        <f t="shared" si="515"/>
        <v>0</v>
      </c>
      <c r="BQ309" s="38">
        <f t="shared" si="515"/>
        <v>0</v>
      </c>
      <c r="BR309" s="38">
        <f t="shared" si="515"/>
        <v>0</v>
      </c>
      <c r="BS309" s="38">
        <f t="shared" si="515"/>
        <v>0</v>
      </c>
      <c r="BT309" s="38">
        <f t="shared" si="515"/>
        <v>0</v>
      </c>
      <c r="BU309" s="38">
        <f t="shared" si="515"/>
        <v>0</v>
      </c>
      <c r="BV309" s="38">
        <f t="shared" si="515"/>
        <v>0</v>
      </c>
      <c r="BW309" s="38">
        <f t="shared" si="515"/>
        <v>0</v>
      </c>
      <c r="BX309" s="38">
        <f t="shared" si="515"/>
        <v>0</v>
      </c>
      <c r="BY309" s="38">
        <f t="shared" si="515"/>
        <v>0</v>
      </c>
      <c r="BZ309" s="38">
        <f t="shared" si="515"/>
        <v>0</v>
      </c>
      <c r="CA309" s="38">
        <f t="shared" si="515"/>
        <v>0</v>
      </c>
      <c r="CB309" s="38">
        <f t="shared" si="515"/>
        <v>0</v>
      </c>
      <c r="CC309" s="38">
        <f t="shared" si="515"/>
        <v>0</v>
      </c>
      <c r="CD309" s="38">
        <f t="shared" si="515"/>
        <v>0</v>
      </c>
      <c r="CE309" s="38">
        <f t="shared" si="515"/>
        <v>0</v>
      </c>
      <c r="CF309" s="38">
        <f t="shared" si="515"/>
        <v>0</v>
      </c>
      <c r="CG309" s="38">
        <f t="shared" si="515"/>
        <v>0</v>
      </c>
      <c r="CH309" s="38">
        <f t="shared" si="515"/>
        <v>0</v>
      </c>
      <c r="CI309" s="38">
        <f t="shared" si="515"/>
        <v>0</v>
      </c>
      <c r="CJ309" s="38">
        <f t="shared" si="515"/>
        <v>0</v>
      </c>
      <c r="CK309" s="38">
        <f t="shared" si="515"/>
        <v>0</v>
      </c>
      <c r="CL309" s="38">
        <f t="shared" si="515"/>
        <v>0</v>
      </c>
      <c r="CM309" s="38">
        <f t="shared" si="515"/>
        <v>0</v>
      </c>
      <c r="CN309" s="38">
        <f t="shared" si="515"/>
        <v>0</v>
      </c>
      <c r="CO309" s="38">
        <f t="shared" si="515"/>
        <v>0</v>
      </c>
      <c r="CP309" s="38">
        <f t="shared" si="515"/>
        <v>0</v>
      </c>
      <c r="CQ309" s="38">
        <f t="shared" si="515"/>
        <v>0</v>
      </c>
      <c r="CR309" s="38">
        <f t="shared" si="515"/>
        <v>0</v>
      </c>
      <c r="CS309" s="38">
        <f t="shared" si="515"/>
        <v>0</v>
      </c>
      <c r="CT309" s="38">
        <f t="shared" si="515"/>
        <v>0</v>
      </c>
      <c r="CU309" s="17">
        <f t="shared" si="506"/>
        <v>100</v>
      </c>
      <c r="CV309" s="25">
        <f t="shared" si="507"/>
        <v>0</v>
      </c>
      <c r="CW309" s="40"/>
      <c r="CX309" s="30"/>
      <c r="CY309" s="30"/>
    </row>
    <row r="310" spans="1:103" x14ac:dyDescent="0.2">
      <c r="A310" s="2">
        <v>45895</v>
      </c>
      <c r="B310" s="3" t="s">
        <v>627</v>
      </c>
      <c r="C310" s="4" t="s">
        <v>725</v>
      </c>
      <c r="D310" s="5" t="s">
        <v>189</v>
      </c>
      <c r="E310" s="6" t="s">
        <v>690</v>
      </c>
      <c r="F310" s="7"/>
      <c r="G310" s="8" t="s">
        <v>629</v>
      </c>
      <c r="H310" s="9" t="s">
        <v>694</v>
      </c>
      <c r="I310" s="10"/>
      <c r="J310" s="11" t="s">
        <v>135</v>
      </c>
      <c r="K310" s="12">
        <v>1</v>
      </c>
      <c r="L310" s="13">
        <v>100</v>
      </c>
      <c r="M310" s="14">
        <f t="shared" ref="M310" si="516">L310*K310</f>
        <v>100</v>
      </c>
      <c r="N310" s="15"/>
      <c r="O310" s="16" t="s">
        <v>111</v>
      </c>
      <c r="P310" s="17">
        <f>M310/1.12*0.01</f>
        <v>0.89285714285714279</v>
      </c>
      <c r="Q310" s="18">
        <f>M310/1.12*0.12</f>
        <v>10.714285714285714</v>
      </c>
      <c r="R310" s="5"/>
      <c r="S310" s="19"/>
      <c r="T310" s="19"/>
      <c r="U310" s="19"/>
      <c r="V310" s="19"/>
      <c r="W310" s="17"/>
      <c r="X310" s="20"/>
      <c r="Y310" s="19"/>
      <c r="Z310" s="19"/>
      <c r="AA310" s="19"/>
      <c r="AB310" s="19"/>
      <c r="AC310" s="19"/>
      <c r="AD310" s="19"/>
      <c r="AE310" s="5"/>
      <c r="AF310" s="19"/>
      <c r="AG310" s="5"/>
      <c r="AH310" s="17"/>
      <c r="AI310" s="19"/>
      <c r="AJ310" s="19"/>
      <c r="AK310" s="19"/>
      <c r="AL310" s="19"/>
      <c r="AM310" s="17"/>
      <c r="AN310" s="19"/>
      <c r="AO310" s="19"/>
      <c r="AP310" s="19"/>
      <c r="AQ310" s="19"/>
      <c r="AR310" s="19"/>
      <c r="AS310" s="21"/>
      <c r="AT310" s="5"/>
      <c r="AU310" s="19"/>
      <c r="AV310" s="5"/>
      <c r="AW310" s="22"/>
      <c r="AX310" s="19"/>
      <c r="AY310" s="5"/>
      <c r="AZ310" s="19"/>
      <c r="BA310" s="5"/>
      <c r="BB310" s="5"/>
      <c r="BC310" s="19"/>
      <c r="BD310" s="19"/>
      <c r="BE310" s="19"/>
      <c r="BF310" s="19"/>
      <c r="BG310" s="19"/>
      <c r="BH310" s="19"/>
      <c r="BI310" s="19"/>
      <c r="BJ310" s="19"/>
      <c r="BK310" s="13"/>
      <c r="BL310" s="5"/>
      <c r="BM310" s="5"/>
      <c r="BN310" s="19"/>
      <c r="BO310" s="17">
        <f>M310+P310-Q310</f>
        <v>90.178571428571431</v>
      </c>
      <c r="BP310" s="19"/>
      <c r="BQ310" s="17"/>
      <c r="BR310" s="19"/>
      <c r="BS310" s="13"/>
      <c r="BT310" s="5"/>
      <c r="BU310" s="23"/>
      <c r="BV310" s="23"/>
      <c r="BW310" s="24"/>
      <c r="BX310" s="5"/>
      <c r="BY310" s="5"/>
      <c r="BZ310" s="5"/>
      <c r="CA310" s="24"/>
      <c r="CB310" s="24"/>
      <c r="CC310" s="24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>
        <f t="shared" si="506"/>
        <v>100</v>
      </c>
      <c r="CV310" s="25">
        <f t="shared" si="507"/>
        <v>0</v>
      </c>
      <c r="CW310" s="26"/>
      <c r="CX310" s="5"/>
      <c r="CY310" s="5"/>
    </row>
    <row r="311" spans="1:103" x14ac:dyDescent="0.2">
      <c r="A311" s="161"/>
      <c r="B311" s="162"/>
      <c r="C311" s="163"/>
      <c r="D311" s="164"/>
      <c r="E311" s="165"/>
      <c r="F311" s="166"/>
      <c r="G311" s="167"/>
      <c r="H311" s="168"/>
      <c r="I311" s="168"/>
      <c r="J311" s="169"/>
      <c r="K311" s="170"/>
      <c r="L311" s="171"/>
      <c r="M311" s="172">
        <f>SUM(M310:M310)</f>
        <v>100</v>
      </c>
      <c r="N311" s="172">
        <f>M311+M309+M307+M305</f>
        <v>560</v>
      </c>
      <c r="O311" s="173" t="s">
        <v>111</v>
      </c>
      <c r="P311" s="172">
        <f>SUM(P310:P310)</f>
        <v>0.89285714285714279</v>
      </c>
      <c r="Q311" s="172">
        <f>SUM(Q310:Q310)</f>
        <v>10.714285714285714</v>
      </c>
      <c r="R311" s="172">
        <f>SUM(R310:R310)</f>
        <v>0</v>
      </c>
      <c r="S311" s="172">
        <f t="shared" ref="S311:AD311" si="517">SUM(S310:S310)</f>
        <v>0</v>
      </c>
      <c r="T311" s="172">
        <f t="shared" si="517"/>
        <v>0</v>
      </c>
      <c r="U311" s="172">
        <f t="shared" si="517"/>
        <v>0</v>
      </c>
      <c r="V311" s="172">
        <f t="shared" si="517"/>
        <v>0</v>
      </c>
      <c r="W311" s="172">
        <f t="shared" si="517"/>
        <v>0</v>
      </c>
      <c r="X311" s="172">
        <f t="shared" si="517"/>
        <v>0</v>
      </c>
      <c r="Y311" s="172">
        <f t="shared" si="517"/>
        <v>0</v>
      </c>
      <c r="Z311" s="172">
        <f t="shared" si="517"/>
        <v>0</v>
      </c>
      <c r="AA311" s="172">
        <f t="shared" si="517"/>
        <v>0</v>
      </c>
      <c r="AB311" s="172">
        <f t="shared" si="517"/>
        <v>0</v>
      </c>
      <c r="AC311" s="172">
        <f t="shared" si="517"/>
        <v>0</v>
      </c>
      <c r="AD311" s="172">
        <f t="shared" si="517"/>
        <v>0</v>
      </c>
      <c r="AE311" s="164"/>
      <c r="AF311" s="172">
        <f>SUM(AF310:AF310)</f>
        <v>0</v>
      </c>
      <c r="AG311" s="164"/>
      <c r="AH311" s="172">
        <f t="shared" ref="AH311:AZ311" si="518">SUM(AH310:AH310)</f>
        <v>0</v>
      </c>
      <c r="AI311" s="172">
        <f t="shared" si="518"/>
        <v>0</v>
      </c>
      <c r="AJ311" s="172">
        <f t="shared" si="518"/>
        <v>0</v>
      </c>
      <c r="AK311" s="172">
        <f t="shared" si="518"/>
        <v>0</v>
      </c>
      <c r="AL311" s="172">
        <f t="shared" si="518"/>
        <v>0</v>
      </c>
      <c r="AM311" s="172">
        <f t="shared" si="518"/>
        <v>0</v>
      </c>
      <c r="AN311" s="172">
        <f t="shared" si="518"/>
        <v>0</v>
      </c>
      <c r="AO311" s="172">
        <f t="shared" si="518"/>
        <v>0</v>
      </c>
      <c r="AP311" s="172">
        <f t="shared" si="518"/>
        <v>0</v>
      </c>
      <c r="AQ311" s="172">
        <f t="shared" si="518"/>
        <v>0</v>
      </c>
      <c r="AR311" s="172">
        <f t="shared" si="518"/>
        <v>0</v>
      </c>
      <c r="AS311" s="172">
        <f t="shared" si="518"/>
        <v>0</v>
      </c>
      <c r="AT311" s="172">
        <f t="shared" si="518"/>
        <v>0</v>
      </c>
      <c r="AU311" s="172">
        <f t="shared" si="518"/>
        <v>0</v>
      </c>
      <c r="AV311" s="172">
        <f t="shared" si="518"/>
        <v>0</v>
      </c>
      <c r="AW311" s="172">
        <f t="shared" si="518"/>
        <v>0</v>
      </c>
      <c r="AX311" s="172">
        <f t="shared" si="518"/>
        <v>0</v>
      </c>
      <c r="AY311" s="172">
        <f t="shared" si="518"/>
        <v>0</v>
      </c>
      <c r="AZ311" s="172">
        <f t="shared" si="518"/>
        <v>0</v>
      </c>
      <c r="BA311" s="164"/>
      <c r="BB311" s="172">
        <f t="shared" ref="BB311:CT311" si="519">SUM(BB310:BB310)</f>
        <v>0</v>
      </c>
      <c r="BC311" s="172">
        <f t="shared" si="519"/>
        <v>0</v>
      </c>
      <c r="BD311" s="172">
        <f t="shared" si="519"/>
        <v>0</v>
      </c>
      <c r="BE311" s="172">
        <f t="shared" si="519"/>
        <v>0</v>
      </c>
      <c r="BF311" s="172">
        <f t="shared" si="519"/>
        <v>0</v>
      </c>
      <c r="BG311" s="172">
        <f t="shared" si="519"/>
        <v>0</v>
      </c>
      <c r="BH311" s="172">
        <f t="shared" si="519"/>
        <v>0</v>
      </c>
      <c r="BI311" s="172">
        <f t="shared" si="519"/>
        <v>0</v>
      </c>
      <c r="BJ311" s="172">
        <f t="shared" si="519"/>
        <v>0</v>
      </c>
      <c r="BK311" s="172">
        <f t="shared" si="519"/>
        <v>0</v>
      </c>
      <c r="BL311" s="172">
        <f t="shared" si="519"/>
        <v>0</v>
      </c>
      <c r="BM311" s="172">
        <f t="shared" si="519"/>
        <v>0</v>
      </c>
      <c r="BN311" s="172">
        <f t="shared" si="519"/>
        <v>0</v>
      </c>
      <c r="BO311" s="172">
        <f t="shared" si="519"/>
        <v>90.178571428571431</v>
      </c>
      <c r="BP311" s="172">
        <f t="shared" si="519"/>
        <v>0</v>
      </c>
      <c r="BQ311" s="172">
        <f t="shared" si="519"/>
        <v>0</v>
      </c>
      <c r="BR311" s="172">
        <f t="shared" si="519"/>
        <v>0</v>
      </c>
      <c r="BS311" s="172">
        <f t="shared" si="519"/>
        <v>0</v>
      </c>
      <c r="BT311" s="172">
        <f t="shared" si="519"/>
        <v>0</v>
      </c>
      <c r="BU311" s="172">
        <f t="shared" si="519"/>
        <v>0</v>
      </c>
      <c r="BV311" s="172">
        <f t="shared" si="519"/>
        <v>0</v>
      </c>
      <c r="BW311" s="172">
        <f t="shared" si="519"/>
        <v>0</v>
      </c>
      <c r="BX311" s="172">
        <f t="shared" si="519"/>
        <v>0</v>
      </c>
      <c r="BY311" s="172">
        <f t="shared" si="519"/>
        <v>0</v>
      </c>
      <c r="BZ311" s="172">
        <f t="shared" si="519"/>
        <v>0</v>
      </c>
      <c r="CA311" s="172">
        <f t="shared" si="519"/>
        <v>0</v>
      </c>
      <c r="CB311" s="172">
        <f t="shared" si="519"/>
        <v>0</v>
      </c>
      <c r="CC311" s="172">
        <f t="shared" si="519"/>
        <v>0</v>
      </c>
      <c r="CD311" s="172">
        <f t="shared" si="519"/>
        <v>0</v>
      </c>
      <c r="CE311" s="172">
        <f t="shared" si="519"/>
        <v>0</v>
      </c>
      <c r="CF311" s="172">
        <f t="shared" si="519"/>
        <v>0</v>
      </c>
      <c r="CG311" s="172">
        <f t="shared" si="519"/>
        <v>0</v>
      </c>
      <c r="CH311" s="172">
        <f t="shared" si="519"/>
        <v>0</v>
      </c>
      <c r="CI311" s="172">
        <f t="shared" si="519"/>
        <v>0</v>
      </c>
      <c r="CJ311" s="172">
        <f t="shared" si="519"/>
        <v>0</v>
      </c>
      <c r="CK311" s="172">
        <f t="shared" si="519"/>
        <v>0</v>
      </c>
      <c r="CL311" s="172">
        <f t="shared" si="519"/>
        <v>0</v>
      </c>
      <c r="CM311" s="172">
        <f t="shared" si="519"/>
        <v>0</v>
      </c>
      <c r="CN311" s="172">
        <f t="shared" si="519"/>
        <v>0</v>
      </c>
      <c r="CO311" s="172">
        <f t="shared" si="519"/>
        <v>0</v>
      </c>
      <c r="CP311" s="172">
        <f t="shared" si="519"/>
        <v>0</v>
      </c>
      <c r="CQ311" s="172">
        <f t="shared" si="519"/>
        <v>0</v>
      </c>
      <c r="CR311" s="172">
        <f t="shared" si="519"/>
        <v>0</v>
      </c>
      <c r="CS311" s="172">
        <f t="shared" si="519"/>
        <v>0</v>
      </c>
      <c r="CT311" s="172">
        <f t="shared" si="519"/>
        <v>0</v>
      </c>
      <c r="CU311" s="17">
        <f t="shared" si="506"/>
        <v>100</v>
      </c>
      <c r="CV311" s="25">
        <f t="shared" si="507"/>
        <v>0</v>
      </c>
      <c r="CW311" s="176"/>
      <c r="CX311" s="164"/>
      <c r="CY311" s="164"/>
    </row>
    <row r="312" spans="1:103" x14ac:dyDescent="0.2">
      <c r="A312" s="2">
        <v>45897</v>
      </c>
      <c r="B312" s="3" t="s">
        <v>630</v>
      </c>
      <c r="C312" s="4" t="s">
        <v>726</v>
      </c>
      <c r="D312" s="5" t="s">
        <v>210</v>
      </c>
      <c r="E312" s="6" t="s">
        <v>631</v>
      </c>
      <c r="F312" s="7" t="s">
        <v>632</v>
      </c>
      <c r="G312" s="8" t="s">
        <v>633</v>
      </c>
      <c r="H312" s="9">
        <v>3210057</v>
      </c>
      <c r="I312" s="10"/>
      <c r="J312" s="11" t="s">
        <v>226</v>
      </c>
      <c r="K312" s="12">
        <v>1</v>
      </c>
      <c r="L312" s="13">
        <v>231</v>
      </c>
      <c r="M312" s="14">
        <f t="shared" ref="M312" si="520">L312*K312</f>
        <v>231</v>
      </c>
      <c r="N312" s="15"/>
      <c r="O312" s="16" t="s">
        <v>111</v>
      </c>
      <c r="P312" s="17">
        <f>M312/1.12*0.01</f>
        <v>2.0624999999999996</v>
      </c>
      <c r="Q312" s="18">
        <f>M312/1.12*0.12</f>
        <v>24.749999999999996</v>
      </c>
      <c r="R312" s="5"/>
      <c r="S312" s="19"/>
      <c r="T312" s="19"/>
      <c r="U312" s="19"/>
      <c r="V312" s="19"/>
      <c r="W312" s="17"/>
      <c r="X312" s="20"/>
      <c r="Y312" s="19"/>
      <c r="Z312" s="19"/>
      <c r="AA312" s="19"/>
      <c r="AB312" s="19"/>
      <c r="AC312" s="19"/>
      <c r="AD312" s="19"/>
      <c r="AE312" s="5"/>
      <c r="AF312" s="19"/>
      <c r="AG312" s="5"/>
      <c r="AH312" s="17"/>
      <c r="AI312" s="19"/>
      <c r="AJ312" s="19"/>
      <c r="AK312" s="19"/>
      <c r="AL312" s="19"/>
      <c r="AM312" s="17"/>
      <c r="AN312" s="19"/>
      <c r="AO312" s="19"/>
      <c r="AP312" s="19"/>
      <c r="AQ312" s="19"/>
      <c r="AR312" s="19"/>
      <c r="AS312" s="21"/>
      <c r="AT312" s="5"/>
      <c r="AU312" s="19"/>
      <c r="AV312" s="5"/>
      <c r="AW312" s="22"/>
      <c r="AX312" s="19"/>
      <c r="AY312" s="5"/>
      <c r="AZ312" s="19"/>
      <c r="BA312" s="5"/>
      <c r="BB312" s="17">
        <f>M312+P312-Q312</f>
        <v>208.3125</v>
      </c>
      <c r="BC312" s="19"/>
      <c r="BD312" s="19"/>
      <c r="BE312" s="19"/>
      <c r="BF312" s="19"/>
      <c r="BG312" s="19"/>
      <c r="BH312" s="19"/>
      <c r="BI312" s="19"/>
      <c r="BJ312" s="19"/>
      <c r="BK312" s="13"/>
      <c r="BL312" s="5"/>
      <c r="BM312" s="5"/>
      <c r="BN312" s="19"/>
      <c r="BO312" s="17"/>
      <c r="BP312" s="19"/>
      <c r="BQ312" s="17"/>
      <c r="BR312" s="19"/>
      <c r="BS312" s="13"/>
      <c r="BT312" s="5"/>
      <c r="BU312" s="23"/>
      <c r="BV312" s="23"/>
      <c r="BW312" s="24"/>
      <c r="BX312" s="5"/>
      <c r="BY312" s="5"/>
      <c r="BZ312" s="5"/>
      <c r="CA312" s="24"/>
      <c r="CB312" s="24"/>
      <c r="CC312" s="24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>
        <f t="shared" si="506"/>
        <v>231</v>
      </c>
      <c r="CV312" s="25">
        <f t="shared" si="507"/>
        <v>0</v>
      </c>
      <c r="CW312" s="26"/>
      <c r="CX312" s="5"/>
      <c r="CY312" s="5"/>
    </row>
    <row r="313" spans="1:103" x14ac:dyDescent="0.2">
      <c r="A313" s="27"/>
      <c r="B313" s="28"/>
      <c r="C313" s="29"/>
      <c r="D313" s="30"/>
      <c r="E313" s="31"/>
      <c r="F313" s="32"/>
      <c r="G313" s="33"/>
      <c r="H313" s="34"/>
      <c r="I313" s="34"/>
      <c r="J313" s="35"/>
      <c r="K313" s="36"/>
      <c r="L313" s="37"/>
      <c r="M313" s="38">
        <f>SUM(M312:M312)</f>
        <v>231</v>
      </c>
      <c r="N313" s="38"/>
      <c r="O313" s="39" t="s">
        <v>111</v>
      </c>
      <c r="P313" s="38">
        <f>SUM(P312:P312)</f>
        <v>2.0624999999999996</v>
      </c>
      <c r="Q313" s="38">
        <f>SUM(Q312:Q312)</f>
        <v>24.749999999999996</v>
      </c>
      <c r="R313" s="30"/>
      <c r="S313" s="38">
        <f t="shared" ref="S313:AD313" si="521">SUM(S312:S312)</f>
        <v>0</v>
      </c>
      <c r="T313" s="38">
        <f t="shared" si="521"/>
        <v>0</v>
      </c>
      <c r="U313" s="38">
        <f t="shared" si="521"/>
        <v>0</v>
      </c>
      <c r="V313" s="38">
        <f t="shared" si="521"/>
        <v>0</v>
      </c>
      <c r="W313" s="38">
        <f t="shared" si="521"/>
        <v>0</v>
      </c>
      <c r="X313" s="38">
        <f t="shared" si="521"/>
        <v>0</v>
      </c>
      <c r="Y313" s="38">
        <f t="shared" si="521"/>
        <v>0</v>
      </c>
      <c r="Z313" s="38">
        <f t="shared" si="521"/>
        <v>0</v>
      </c>
      <c r="AA313" s="38">
        <f t="shared" si="521"/>
        <v>0</v>
      </c>
      <c r="AB313" s="38">
        <f t="shared" si="521"/>
        <v>0</v>
      </c>
      <c r="AC313" s="38">
        <f t="shared" si="521"/>
        <v>0</v>
      </c>
      <c r="AD313" s="38">
        <f t="shared" si="521"/>
        <v>0</v>
      </c>
      <c r="AE313" s="30"/>
      <c r="AF313" s="38">
        <f>SUM(AF312:AF312)</f>
        <v>0</v>
      </c>
      <c r="AG313" s="30"/>
      <c r="AH313" s="38">
        <f t="shared" ref="AH313:AZ313" si="522">SUM(AH312:AH312)</f>
        <v>0</v>
      </c>
      <c r="AI313" s="38">
        <f t="shared" si="522"/>
        <v>0</v>
      </c>
      <c r="AJ313" s="38">
        <f t="shared" si="522"/>
        <v>0</v>
      </c>
      <c r="AK313" s="38">
        <f t="shared" si="522"/>
        <v>0</v>
      </c>
      <c r="AL313" s="38">
        <f t="shared" si="522"/>
        <v>0</v>
      </c>
      <c r="AM313" s="38">
        <f t="shared" si="522"/>
        <v>0</v>
      </c>
      <c r="AN313" s="38">
        <f t="shared" si="522"/>
        <v>0</v>
      </c>
      <c r="AO313" s="38">
        <f t="shared" si="522"/>
        <v>0</v>
      </c>
      <c r="AP313" s="38">
        <f t="shared" si="522"/>
        <v>0</v>
      </c>
      <c r="AQ313" s="38">
        <f t="shared" si="522"/>
        <v>0</v>
      </c>
      <c r="AR313" s="38">
        <f t="shared" si="522"/>
        <v>0</v>
      </c>
      <c r="AS313" s="38">
        <f t="shared" si="522"/>
        <v>0</v>
      </c>
      <c r="AT313" s="38">
        <f t="shared" si="522"/>
        <v>0</v>
      </c>
      <c r="AU313" s="38">
        <f t="shared" si="522"/>
        <v>0</v>
      </c>
      <c r="AV313" s="38">
        <f t="shared" si="522"/>
        <v>0</v>
      </c>
      <c r="AW313" s="38">
        <f t="shared" si="522"/>
        <v>0</v>
      </c>
      <c r="AX313" s="38">
        <f t="shared" si="522"/>
        <v>0</v>
      </c>
      <c r="AY313" s="38">
        <f t="shared" si="522"/>
        <v>0</v>
      </c>
      <c r="AZ313" s="38">
        <f t="shared" si="522"/>
        <v>0</v>
      </c>
      <c r="BA313" s="30"/>
      <c r="BB313" s="38">
        <f>SUM(BB312:BB312)</f>
        <v>208.3125</v>
      </c>
      <c r="BC313" s="38">
        <f t="shared" ref="BC313:CT313" si="523">SUM(BC312:BC312)</f>
        <v>0</v>
      </c>
      <c r="BD313" s="38">
        <f t="shared" si="523"/>
        <v>0</v>
      </c>
      <c r="BE313" s="38">
        <f t="shared" si="523"/>
        <v>0</v>
      </c>
      <c r="BF313" s="38">
        <f t="shared" si="523"/>
        <v>0</v>
      </c>
      <c r="BG313" s="38">
        <f t="shared" si="523"/>
        <v>0</v>
      </c>
      <c r="BH313" s="38">
        <f t="shared" si="523"/>
        <v>0</v>
      </c>
      <c r="BI313" s="38">
        <f t="shared" si="523"/>
        <v>0</v>
      </c>
      <c r="BJ313" s="38">
        <f t="shared" si="523"/>
        <v>0</v>
      </c>
      <c r="BK313" s="38">
        <f t="shared" si="523"/>
        <v>0</v>
      </c>
      <c r="BL313" s="38">
        <f t="shared" si="523"/>
        <v>0</v>
      </c>
      <c r="BM313" s="38">
        <f t="shared" si="523"/>
        <v>0</v>
      </c>
      <c r="BN313" s="38">
        <f t="shared" si="523"/>
        <v>0</v>
      </c>
      <c r="BO313" s="38">
        <f t="shared" si="523"/>
        <v>0</v>
      </c>
      <c r="BP313" s="38">
        <f t="shared" si="523"/>
        <v>0</v>
      </c>
      <c r="BQ313" s="38">
        <f t="shared" si="523"/>
        <v>0</v>
      </c>
      <c r="BR313" s="38">
        <f t="shared" si="523"/>
        <v>0</v>
      </c>
      <c r="BS313" s="38">
        <f t="shared" si="523"/>
        <v>0</v>
      </c>
      <c r="BT313" s="38">
        <f t="shared" si="523"/>
        <v>0</v>
      </c>
      <c r="BU313" s="38">
        <f t="shared" si="523"/>
        <v>0</v>
      </c>
      <c r="BV313" s="38">
        <f t="shared" si="523"/>
        <v>0</v>
      </c>
      <c r="BW313" s="38">
        <f t="shared" si="523"/>
        <v>0</v>
      </c>
      <c r="BX313" s="38">
        <f t="shared" si="523"/>
        <v>0</v>
      </c>
      <c r="BY313" s="38">
        <f t="shared" si="523"/>
        <v>0</v>
      </c>
      <c r="BZ313" s="38">
        <f t="shared" si="523"/>
        <v>0</v>
      </c>
      <c r="CA313" s="38">
        <f t="shared" si="523"/>
        <v>0</v>
      </c>
      <c r="CB313" s="38">
        <f t="shared" si="523"/>
        <v>0</v>
      </c>
      <c r="CC313" s="38">
        <f t="shared" si="523"/>
        <v>0</v>
      </c>
      <c r="CD313" s="38">
        <f t="shared" si="523"/>
        <v>0</v>
      </c>
      <c r="CE313" s="38">
        <f t="shared" si="523"/>
        <v>0</v>
      </c>
      <c r="CF313" s="38">
        <f t="shared" si="523"/>
        <v>0</v>
      </c>
      <c r="CG313" s="38">
        <f t="shared" si="523"/>
        <v>0</v>
      </c>
      <c r="CH313" s="38">
        <f t="shared" si="523"/>
        <v>0</v>
      </c>
      <c r="CI313" s="38">
        <f t="shared" si="523"/>
        <v>0</v>
      </c>
      <c r="CJ313" s="38">
        <f t="shared" si="523"/>
        <v>0</v>
      </c>
      <c r="CK313" s="38">
        <f t="shared" si="523"/>
        <v>0</v>
      </c>
      <c r="CL313" s="38">
        <f t="shared" si="523"/>
        <v>0</v>
      </c>
      <c r="CM313" s="38">
        <f t="shared" si="523"/>
        <v>0</v>
      </c>
      <c r="CN313" s="38">
        <f t="shared" si="523"/>
        <v>0</v>
      </c>
      <c r="CO313" s="38">
        <f t="shared" si="523"/>
        <v>0</v>
      </c>
      <c r="CP313" s="38">
        <f t="shared" si="523"/>
        <v>0</v>
      </c>
      <c r="CQ313" s="38">
        <f t="shared" si="523"/>
        <v>0</v>
      </c>
      <c r="CR313" s="38">
        <f t="shared" si="523"/>
        <v>0</v>
      </c>
      <c r="CS313" s="38">
        <f t="shared" si="523"/>
        <v>0</v>
      </c>
      <c r="CT313" s="38">
        <f t="shared" si="523"/>
        <v>0</v>
      </c>
      <c r="CU313" s="17">
        <f t="shared" si="506"/>
        <v>231</v>
      </c>
      <c r="CV313" s="25">
        <f t="shared" si="507"/>
        <v>0</v>
      </c>
      <c r="CW313" s="40"/>
      <c r="CX313" s="30"/>
      <c r="CY313" s="30"/>
    </row>
    <row r="314" spans="1:103" x14ac:dyDescent="0.2">
      <c r="A314" s="2">
        <v>45859</v>
      </c>
      <c r="B314" s="3" t="s">
        <v>630</v>
      </c>
      <c r="C314" s="4" t="s">
        <v>727</v>
      </c>
      <c r="D314" s="5" t="s">
        <v>634</v>
      </c>
      <c r="E314" s="6" t="s">
        <v>635</v>
      </c>
      <c r="F314" s="7" t="s">
        <v>229</v>
      </c>
      <c r="G314" s="8" t="s">
        <v>636</v>
      </c>
      <c r="H314" s="9" t="s">
        <v>637</v>
      </c>
      <c r="I314" s="10"/>
      <c r="J314" s="11" t="s">
        <v>226</v>
      </c>
      <c r="K314" s="12">
        <v>1</v>
      </c>
      <c r="L314" s="13">
        <v>150.66</v>
      </c>
      <c r="M314" s="14">
        <f t="shared" ref="M314" si="524">L314*K314</f>
        <v>150.66</v>
      </c>
      <c r="N314" s="15"/>
      <c r="O314" s="16" t="s">
        <v>111</v>
      </c>
      <c r="P314" s="17">
        <f>M314/1.12*0.01</f>
        <v>1.3451785714285713</v>
      </c>
      <c r="Q314" s="18">
        <f>M314/1.12*0.12</f>
        <v>16.142142857142858</v>
      </c>
      <c r="R314" s="5"/>
      <c r="S314" s="19"/>
      <c r="T314" s="19"/>
      <c r="U314" s="19"/>
      <c r="V314" s="19"/>
      <c r="W314" s="17"/>
      <c r="X314" s="20"/>
      <c r="Y314" s="19"/>
      <c r="Z314" s="19"/>
      <c r="AA314" s="19"/>
      <c r="AB314" s="19"/>
      <c r="AC314" s="19"/>
      <c r="AD314" s="19"/>
      <c r="AE314" s="5"/>
      <c r="AF314" s="19"/>
      <c r="AG314" s="5"/>
      <c r="AH314" s="17"/>
      <c r="AI314" s="19"/>
      <c r="AJ314" s="19"/>
      <c r="AK314" s="19"/>
      <c r="AL314" s="19"/>
      <c r="AM314" s="17"/>
      <c r="AN314" s="19"/>
      <c r="AO314" s="19"/>
      <c r="AP314" s="19"/>
      <c r="AQ314" s="19"/>
      <c r="AR314" s="19"/>
      <c r="AS314" s="21"/>
      <c r="AT314" s="5"/>
      <c r="AU314" s="19"/>
      <c r="AV314" s="5"/>
      <c r="AW314" s="22"/>
      <c r="AX314" s="19"/>
      <c r="AY314" s="5"/>
      <c r="AZ314" s="19"/>
      <c r="BA314" s="5"/>
      <c r="BB314" s="17">
        <f>M314+P314-Q314</f>
        <v>135.8630357142857</v>
      </c>
      <c r="BC314" s="19"/>
      <c r="BD314" s="19"/>
      <c r="BE314" s="19"/>
      <c r="BF314" s="19"/>
      <c r="BG314" s="19"/>
      <c r="BH314" s="19"/>
      <c r="BI314" s="19"/>
      <c r="BJ314" s="19"/>
      <c r="BK314" s="13"/>
      <c r="BL314" s="5"/>
      <c r="BM314" s="5"/>
      <c r="BN314" s="19"/>
      <c r="BO314" s="17"/>
      <c r="BP314" s="19"/>
      <c r="BQ314" s="17"/>
      <c r="BR314" s="19"/>
      <c r="BS314" s="13"/>
      <c r="BT314" s="5"/>
      <c r="BU314" s="23"/>
      <c r="BV314" s="23"/>
      <c r="BW314" s="24"/>
      <c r="BX314" s="5"/>
      <c r="BY314" s="5"/>
      <c r="BZ314" s="5"/>
      <c r="CA314" s="24"/>
      <c r="CB314" s="24"/>
      <c r="CC314" s="24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>
        <f t="shared" si="506"/>
        <v>150.66</v>
      </c>
      <c r="CV314" s="25">
        <f t="shared" si="507"/>
        <v>0</v>
      </c>
      <c r="CW314" s="26"/>
      <c r="CX314" s="5"/>
      <c r="CY314" s="5"/>
    </row>
    <row r="315" spans="1:103" x14ac:dyDescent="0.2">
      <c r="A315" s="27"/>
      <c r="B315" s="28"/>
      <c r="C315" s="29"/>
      <c r="D315" s="30"/>
      <c r="E315" s="31"/>
      <c r="F315" s="32"/>
      <c r="G315" s="33"/>
      <c r="H315" s="34"/>
      <c r="I315" s="34"/>
      <c r="J315" s="35"/>
      <c r="K315" s="36"/>
      <c r="L315" s="37"/>
      <c r="M315" s="38">
        <f>SUM(M314:M314)</f>
        <v>150.66</v>
      </c>
      <c r="N315" s="38"/>
      <c r="O315" s="39" t="s">
        <v>111</v>
      </c>
      <c r="P315" s="38">
        <f>SUM(P314:P314)</f>
        <v>1.3451785714285713</v>
      </c>
      <c r="Q315" s="38">
        <f>SUM(Q314:Q314)</f>
        <v>16.142142857142858</v>
      </c>
      <c r="R315" s="30"/>
      <c r="S315" s="38">
        <f t="shared" ref="S315:AD315" si="525">SUM(S314:S314)</f>
        <v>0</v>
      </c>
      <c r="T315" s="38">
        <f t="shared" si="525"/>
        <v>0</v>
      </c>
      <c r="U315" s="38">
        <f t="shared" si="525"/>
        <v>0</v>
      </c>
      <c r="V315" s="38">
        <f t="shared" si="525"/>
        <v>0</v>
      </c>
      <c r="W315" s="38">
        <f t="shared" si="525"/>
        <v>0</v>
      </c>
      <c r="X315" s="38">
        <f t="shared" si="525"/>
        <v>0</v>
      </c>
      <c r="Y315" s="38">
        <f t="shared" si="525"/>
        <v>0</v>
      </c>
      <c r="Z315" s="38">
        <f t="shared" si="525"/>
        <v>0</v>
      </c>
      <c r="AA315" s="38">
        <f t="shared" si="525"/>
        <v>0</v>
      </c>
      <c r="AB315" s="38">
        <f t="shared" si="525"/>
        <v>0</v>
      </c>
      <c r="AC315" s="38">
        <f t="shared" si="525"/>
        <v>0</v>
      </c>
      <c r="AD315" s="38">
        <f t="shared" si="525"/>
        <v>0</v>
      </c>
      <c r="AE315" s="30"/>
      <c r="AF315" s="38">
        <f>SUM(AF314:AF314)</f>
        <v>0</v>
      </c>
      <c r="AG315" s="30"/>
      <c r="AH315" s="38">
        <f t="shared" ref="AH315:AZ315" si="526">SUM(AH314:AH314)</f>
        <v>0</v>
      </c>
      <c r="AI315" s="38">
        <f t="shared" si="526"/>
        <v>0</v>
      </c>
      <c r="AJ315" s="38">
        <f t="shared" si="526"/>
        <v>0</v>
      </c>
      <c r="AK315" s="38">
        <f t="shared" si="526"/>
        <v>0</v>
      </c>
      <c r="AL315" s="38">
        <f t="shared" si="526"/>
        <v>0</v>
      </c>
      <c r="AM315" s="38">
        <f t="shared" si="526"/>
        <v>0</v>
      </c>
      <c r="AN315" s="38">
        <f t="shared" si="526"/>
        <v>0</v>
      </c>
      <c r="AO315" s="38">
        <f t="shared" si="526"/>
        <v>0</v>
      </c>
      <c r="AP315" s="38">
        <f t="shared" si="526"/>
        <v>0</v>
      </c>
      <c r="AQ315" s="38">
        <f t="shared" si="526"/>
        <v>0</v>
      </c>
      <c r="AR315" s="38">
        <f t="shared" si="526"/>
        <v>0</v>
      </c>
      <c r="AS315" s="38">
        <f t="shared" si="526"/>
        <v>0</v>
      </c>
      <c r="AT315" s="38">
        <f t="shared" si="526"/>
        <v>0</v>
      </c>
      <c r="AU315" s="38">
        <f t="shared" si="526"/>
        <v>0</v>
      </c>
      <c r="AV315" s="38">
        <f t="shared" si="526"/>
        <v>0</v>
      </c>
      <c r="AW315" s="38">
        <f t="shared" si="526"/>
        <v>0</v>
      </c>
      <c r="AX315" s="38">
        <f t="shared" si="526"/>
        <v>0</v>
      </c>
      <c r="AY315" s="38">
        <f t="shared" si="526"/>
        <v>0</v>
      </c>
      <c r="AZ315" s="38">
        <f t="shared" si="526"/>
        <v>0</v>
      </c>
      <c r="BA315" s="30"/>
      <c r="BB315" s="38">
        <f>SUM(BB314:BB314)</f>
        <v>135.8630357142857</v>
      </c>
      <c r="BC315" s="38">
        <f t="shared" ref="BC315:CT315" si="527">SUM(BC314:BC314)</f>
        <v>0</v>
      </c>
      <c r="BD315" s="38">
        <f t="shared" si="527"/>
        <v>0</v>
      </c>
      <c r="BE315" s="38">
        <f t="shared" si="527"/>
        <v>0</v>
      </c>
      <c r="BF315" s="38">
        <f t="shared" si="527"/>
        <v>0</v>
      </c>
      <c r="BG315" s="38">
        <f t="shared" si="527"/>
        <v>0</v>
      </c>
      <c r="BH315" s="38">
        <f t="shared" si="527"/>
        <v>0</v>
      </c>
      <c r="BI315" s="38">
        <f t="shared" si="527"/>
        <v>0</v>
      </c>
      <c r="BJ315" s="38">
        <f t="shared" si="527"/>
        <v>0</v>
      </c>
      <c r="BK315" s="38">
        <f t="shared" si="527"/>
        <v>0</v>
      </c>
      <c r="BL315" s="38">
        <f t="shared" si="527"/>
        <v>0</v>
      </c>
      <c r="BM315" s="38">
        <f t="shared" si="527"/>
        <v>0</v>
      </c>
      <c r="BN315" s="38">
        <f t="shared" si="527"/>
        <v>0</v>
      </c>
      <c r="BO315" s="38">
        <f t="shared" si="527"/>
        <v>0</v>
      </c>
      <c r="BP315" s="38">
        <f t="shared" si="527"/>
        <v>0</v>
      </c>
      <c r="BQ315" s="38">
        <f t="shared" si="527"/>
        <v>0</v>
      </c>
      <c r="BR315" s="38">
        <f t="shared" si="527"/>
        <v>0</v>
      </c>
      <c r="BS315" s="38">
        <f t="shared" si="527"/>
        <v>0</v>
      </c>
      <c r="BT315" s="38">
        <f t="shared" si="527"/>
        <v>0</v>
      </c>
      <c r="BU315" s="38">
        <f t="shared" si="527"/>
        <v>0</v>
      </c>
      <c r="BV315" s="38">
        <f t="shared" si="527"/>
        <v>0</v>
      </c>
      <c r="BW315" s="38">
        <f t="shared" si="527"/>
        <v>0</v>
      </c>
      <c r="BX315" s="38">
        <f t="shared" si="527"/>
        <v>0</v>
      </c>
      <c r="BY315" s="38">
        <f t="shared" si="527"/>
        <v>0</v>
      </c>
      <c r="BZ315" s="38">
        <f t="shared" si="527"/>
        <v>0</v>
      </c>
      <c r="CA315" s="38">
        <f t="shared" si="527"/>
        <v>0</v>
      </c>
      <c r="CB315" s="38">
        <f t="shared" si="527"/>
        <v>0</v>
      </c>
      <c r="CC315" s="38">
        <f t="shared" si="527"/>
        <v>0</v>
      </c>
      <c r="CD315" s="38">
        <f t="shared" si="527"/>
        <v>0</v>
      </c>
      <c r="CE315" s="38">
        <f t="shared" si="527"/>
        <v>0</v>
      </c>
      <c r="CF315" s="38">
        <f t="shared" si="527"/>
        <v>0</v>
      </c>
      <c r="CG315" s="38">
        <f t="shared" si="527"/>
        <v>0</v>
      </c>
      <c r="CH315" s="38">
        <f t="shared" si="527"/>
        <v>0</v>
      </c>
      <c r="CI315" s="38">
        <f t="shared" si="527"/>
        <v>0</v>
      </c>
      <c r="CJ315" s="38">
        <f t="shared" si="527"/>
        <v>0</v>
      </c>
      <c r="CK315" s="38">
        <f t="shared" si="527"/>
        <v>0</v>
      </c>
      <c r="CL315" s="38">
        <f t="shared" si="527"/>
        <v>0</v>
      </c>
      <c r="CM315" s="38">
        <f t="shared" si="527"/>
        <v>0</v>
      </c>
      <c r="CN315" s="38">
        <f t="shared" si="527"/>
        <v>0</v>
      </c>
      <c r="CO315" s="38">
        <f t="shared" si="527"/>
        <v>0</v>
      </c>
      <c r="CP315" s="38">
        <f t="shared" si="527"/>
        <v>0</v>
      </c>
      <c r="CQ315" s="38">
        <f t="shared" si="527"/>
        <v>0</v>
      </c>
      <c r="CR315" s="38">
        <f t="shared" si="527"/>
        <v>0</v>
      </c>
      <c r="CS315" s="38">
        <f t="shared" si="527"/>
        <v>0</v>
      </c>
      <c r="CT315" s="38">
        <f t="shared" si="527"/>
        <v>0</v>
      </c>
      <c r="CU315" s="17">
        <f t="shared" si="506"/>
        <v>150.66</v>
      </c>
      <c r="CV315" s="25">
        <f t="shared" si="507"/>
        <v>0</v>
      </c>
      <c r="CW315" s="40"/>
      <c r="CX315" s="30"/>
      <c r="CY315" s="30"/>
    </row>
    <row r="316" spans="1:103" x14ac:dyDescent="0.2">
      <c r="A316" s="2">
        <v>45880</v>
      </c>
      <c r="B316" s="3" t="s">
        <v>630</v>
      </c>
      <c r="C316" s="4" t="s">
        <v>728</v>
      </c>
      <c r="D316" s="5" t="s">
        <v>210</v>
      </c>
      <c r="E316" s="6" t="s">
        <v>638</v>
      </c>
      <c r="F316" s="7" t="s">
        <v>336</v>
      </c>
      <c r="G316" s="8" t="s">
        <v>639</v>
      </c>
      <c r="H316" s="9">
        <v>286458</v>
      </c>
      <c r="I316" s="10"/>
      <c r="J316" s="11" t="s">
        <v>226</v>
      </c>
      <c r="K316" s="12">
        <v>1</v>
      </c>
      <c r="L316" s="13">
        <v>239.67</v>
      </c>
      <c r="M316" s="14">
        <f t="shared" ref="M316" si="528">L316*K316</f>
        <v>239.67</v>
      </c>
      <c r="N316" s="15"/>
      <c r="O316" s="16" t="s">
        <v>111</v>
      </c>
      <c r="P316" s="17">
        <f>M316/1.12*0.01</f>
        <v>2.1399107142857141</v>
      </c>
      <c r="Q316" s="18">
        <f>M316/1.12*0.12</f>
        <v>25.678928571428564</v>
      </c>
      <c r="R316" s="5"/>
      <c r="S316" s="19"/>
      <c r="T316" s="19"/>
      <c r="U316" s="19"/>
      <c r="V316" s="19"/>
      <c r="W316" s="17"/>
      <c r="X316" s="20"/>
      <c r="Y316" s="19"/>
      <c r="Z316" s="19"/>
      <c r="AA316" s="19"/>
      <c r="AB316" s="19"/>
      <c r="AC316" s="19"/>
      <c r="AD316" s="19"/>
      <c r="AE316" s="5"/>
      <c r="AF316" s="19"/>
      <c r="AG316" s="5"/>
      <c r="AH316" s="17"/>
      <c r="AI316" s="19"/>
      <c r="AJ316" s="19"/>
      <c r="AK316" s="19"/>
      <c r="AL316" s="19"/>
      <c r="AM316" s="17"/>
      <c r="AN316" s="19"/>
      <c r="AO316" s="19"/>
      <c r="AP316" s="19"/>
      <c r="AQ316" s="19"/>
      <c r="AR316" s="19"/>
      <c r="AS316" s="21"/>
      <c r="AT316" s="5"/>
      <c r="AU316" s="19"/>
      <c r="AV316" s="5"/>
      <c r="AW316" s="22"/>
      <c r="AX316" s="19"/>
      <c r="AY316" s="5"/>
      <c r="AZ316" s="19"/>
      <c r="BA316" s="5"/>
      <c r="BB316" s="17">
        <f>M316+P316-Q316</f>
        <v>216.13098214285714</v>
      </c>
      <c r="BC316" s="19"/>
      <c r="BD316" s="19"/>
      <c r="BE316" s="19"/>
      <c r="BF316" s="19"/>
      <c r="BG316" s="19"/>
      <c r="BH316" s="19"/>
      <c r="BI316" s="19"/>
      <c r="BJ316" s="19"/>
      <c r="BK316" s="13"/>
      <c r="BL316" s="5"/>
      <c r="BM316" s="5"/>
      <c r="BN316" s="19"/>
      <c r="BO316" s="17"/>
      <c r="BP316" s="19"/>
      <c r="BQ316" s="17"/>
      <c r="BR316" s="19"/>
      <c r="BS316" s="13"/>
      <c r="BT316" s="5"/>
      <c r="BU316" s="23"/>
      <c r="BV316" s="23"/>
      <c r="BW316" s="24"/>
      <c r="BX316" s="5"/>
      <c r="BY316" s="5"/>
      <c r="BZ316" s="5"/>
      <c r="CA316" s="24"/>
      <c r="CB316" s="24"/>
      <c r="CC316" s="24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>
        <f t="shared" si="506"/>
        <v>239.67</v>
      </c>
      <c r="CV316" s="25">
        <f t="shared" si="507"/>
        <v>0</v>
      </c>
      <c r="CW316" s="26"/>
      <c r="CX316" s="5"/>
      <c r="CY316" s="5"/>
    </row>
    <row r="317" spans="1:103" x14ac:dyDescent="0.2">
      <c r="A317" s="161"/>
      <c r="B317" s="162"/>
      <c r="C317" s="163"/>
      <c r="D317" s="164"/>
      <c r="E317" s="165"/>
      <c r="F317" s="166"/>
      <c r="G317" s="167"/>
      <c r="H317" s="168"/>
      <c r="I317" s="168"/>
      <c r="J317" s="169"/>
      <c r="K317" s="170"/>
      <c r="L317" s="171"/>
      <c r="M317" s="172">
        <f>SUM(M316:M316)</f>
        <v>239.67</v>
      </c>
      <c r="N317" s="172">
        <f>M317+M315+M313</f>
        <v>621.32999999999993</v>
      </c>
      <c r="O317" s="173" t="s">
        <v>111</v>
      </c>
      <c r="P317" s="172">
        <f>SUM(P316:P316)</f>
        <v>2.1399107142857141</v>
      </c>
      <c r="Q317" s="172">
        <f>SUM(Q316:Q316)</f>
        <v>25.678928571428564</v>
      </c>
      <c r="R317" s="164"/>
      <c r="S317" s="172">
        <f t="shared" ref="S317:AD317" si="529">SUM(S316:S316)</f>
        <v>0</v>
      </c>
      <c r="T317" s="172">
        <f t="shared" si="529"/>
        <v>0</v>
      </c>
      <c r="U317" s="172">
        <f t="shared" si="529"/>
        <v>0</v>
      </c>
      <c r="V317" s="172">
        <f t="shared" si="529"/>
        <v>0</v>
      </c>
      <c r="W317" s="172">
        <f t="shared" si="529"/>
        <v>0</v>
      </c>
      <c r="X317" s="172">
        <f t="shared" si="529"/>
        <v>0</v>
      </c>
      <c r="Y317" s="172">
        <f t="shared" si="529"/>
        <v>0</v>
      </c>
      <c r="Z317" s="172">
        <f t="shared" si="529"/>
        <v>0</v>
      </c>
      <c r="AA317" s="172">
        <f t="shared" si="529"/>
        <v>0</v>
      </c>
      <c r="AB317" s="172">
        <f t="shared" si="529"/>
        <v>0</v>
      </c>
      <c r="AC317" s="172">
        <f t="shared" si="529"/>
        <v>0</v>
      </c>
      <c r="AD317" s="172">
        <f t="shared" si="529"/>
        <v>0</v>
      </c>
      <c r="AE317" s="164"/>
      <c r="AF317" s="172">
        <f>SUM(AF316:AF316)</f>
        <v>0</v>
      </c>
      <c r="AG317" s="164"/>
      <c r="AH317" s="172">
        <f t="shared" ref="AH317:AZ317" si="530">SUM(AH316:AH316)</f>
        <v>0</v>
      </c>
      <c r="AI317" s="172">
        <f t="shared" si="530"/>
        <v>0</v>
      </c>
      <c r="AJ317" s="172">
        <f t="shared" si="530"/>
        <v>0</v>
      </c>
      <c r="AK317" s="172">
        <f t="shared" si="530"/>
        <v>0</v>
      </c>
      <c r="AL317" s="172">
        <f t="shared" si="530"/>
        <v>0</v>
      </c>
      <c r="AM317" s="172">
        <f t="shared" si="530"/>
        <v>0</v>
      </c>
      <c r="AN317" s="172">
        <f t="shared" si="530"/>
        <v>0</v>
      </c>
      <c r="AO317" s="172">
        <f t="shared" si="530"/>
        <v>0</v>
      </c>
      <c r="AP317" s="172">
        <f t="shared" si="530"/>
        <v>0</v>
      </c>
      <c r="AQ317" s="172">
        <f t="shared" si="530"/>
        <v>0</v>
      </c>
      <c r="AR317" s="172">
        <f t="shared" si="530"/>
        <v>0</v>
      </c>
      <c r="AS317" s="172">
        <f t="shared" si="530"/>
        <v>0</v>
      </c>
      <c r="AT317" s="172">
        <f t="shared" si="530"/>
        <v>0</v>
      </c>
      <c r="AU317" s="172">
        <f t="shared" si="530"/>
        <v>0</v>
      </c>
      <c r="AV317" s="172">
        <f t="shared" si="530"/>
        <v>0</v>
      </c>
      <c r="AW317" s="172">
        <f t="shared" si="530"/>
        <v>0</v>
      </c>
      <c r="AX317" s="172">
        <f t="shared" si="530"/>
        <v>0</v>
      </c>
      <c r="AY317" s="172">
        <f t="shared" si="530"/>
        <v>0</v>
      </c>
      <c r="AZ317" s="172">
        <f t="shared" si="530"/>
        <v>0</v>
      </c>
      <c r="BA317" s="164"/>
      <c r="BB317" s="172">
        <f>SUM(BB316:BB316)</f>
        <v>216.13098214285714</v>
      </c>
      <c r="BC317" s="172">
        <f t="shared" ref="BC317:CT317" si="531">SUM(BC316:BC316)</f>
        <v>0</v>
      </c>
      <c r="BD317" s="172">
        <f t="shared" si="531"/>
        <v>0</v>
      </c>
      <c r="BE317" s="172">
        <f t="shared" si="531"/>
        <v>0</v>
      </c>
      <c r="BF317" s="172">
        <f t="shared" si="531"/>
        <v>0</v>
      </c>
      <c r="BG317" s="172">
        <f t="shared" si="531"/>
        <v>0</v>
      </c>
      <c r="BH317" s="172">
        <f t="shared" si="531"/>
        <v>0</v>
      </c>
      <c r="BI317" s="172">
        <f t="shared" si="531"/>
        <v>0</v>
      </c>
      <c r="BJ317" s="172">
        <f t="shared" si="531"/>
        <v>0</v>
      </c>
      <c r="BK317" s="172">
        <f t="shared" si="531"/>
        <v>0</v>
      </c>
      <c r="BL317" s="172">
        <f t="shared" si="531"/>
        <v>0</v>
      </c>
      <c r="BM317" s="172">
        <f t="shared" si="531"/>
        <v>0</v>
      </c>
      <c r="BN317" s="172">
        <f t="shared" si="531"/>
        <v>0</v>
      </c>
      <c r="BO317" s="172">
        <f t="shared" si="531"/>
        <v>0</v>
      </c>
      <c r="BP317" s="172">
        <f t="shared" si="531"/>
        <v>0</v>
      </c>
      <c r="BQ317" s="172">
        <f t="shared" si="531"/>
        <v>0</v>
      </c>
      <c r="BR317" s="172">
        <f t="shared" si="531"/>
        <v>0</v>
      </c>
      <c r="BS317" s="172">
        <f t="shared" si="531"/>
        <v>0</v>
      </c>
      <c r="BT317" s="172">
        <f t="shared" si="531"/>
        <v>0</v>
      </c>
      <c r="BU317" s="172">
        <f t="shared" si="531"/>
        <v>0</v>
      </c>
      <c r="BV317" s="172">
        <f t="shared" si="531"/>
        <v>0</v>
      </c>
      <c r="BW317" s="172">
        <f t="shared" si="531"/>
        <v>0</v>
      </c>
      <c r="BX317" s="172">
        <f t="shared" si="531"/>
        <v>0</v>
      </c>
      <c r="BY317" s="172">
        <f t="shared" si="531"/>
        <v>0</v>
      </c>
      <c r="BZ317" s="172">
        <f t="shared" si="531"/>
        <v>0</v>
      </c>
      <c r="CA317" s="172">
        <f t="shared" si="531"/>
        <v>0</v>
      </c>
      <c r="CB317" s="172">
        <f t="shared" si="531"/>
        <v>0</v>
      </c>
      <c r="CC317" s="172">
        <f t="shared" si="531"/>
        <v>0</v>
      </c>
      <c r="CD317" s="172">
        <f t="shared" si="531"/>
        <v>0</v>
      </c>
      <c r="CE317" s="172">
        <f t="shared" si="531"/>
        <v>0</v>
      </c>
      <c r="CF317" s="172">
        <f t="shared" si="531"/>
        <v>0</v>
      </c>
      <c r="CG317" s="172">
        <f t="shared" si="531"/>
        <v>0</v>
      </c>
      <c r="CH317" s="172">
        <f t="shared" si="531"/>
        <v>0</v>
      </c>
      <c r="CI317" s="172">
        <f t="shared" si="531"/>
        <v>0</v>
      </c>
      <c r="CJ317" s="172">
        <f t="shared" si="531"/>
        <v>0</v>
      </c>
      <c r="CK317" s="172">
        <f t="shared" si="531"/>
        <v>0</v>
      </c>
      <c r="CL317" s="172">
        <f t="shared" si="531"/>
        <v>0</v>
      </c>
      <c r="CM317" s="172">
        <f t="shared" si="531"/>
        <v>0</v>
      </c>
      <c r="CN317" s="172">
        <f t="shared" si="531"/>
        <v>0</v>
      </c>
      <c r="CO317" s="172">
        <f t="shared" si="531"/>
        <v>0</v>
      </c>
      <c r="CP317" s="172">
        <f t="shared" si="531"/>
        <v>0</v>
      </c>
      <c r="CQ317" s="172">
        <f t="shared" si="531"/>
        <v>0</v>
      </c>
      <c r="CR317" s="172">
        <f t="shared" si="531"/>
        <v>0</v>
      </c>
      <c r="CS317" s="172">
        <f t="shared" si="531"/>
        <v>0</v>
      </c>
      <c r="CT317" s="172">
        <f t="shared" si="531"/>
        <v>0</v>
      </c>
      <c r="CU317" s="17">
        <f t="shared" si="506"/>
        <v>239.67</v>
      </c>
      <c r="CV317" s="25">
        <f t="shared" si="507"/>
        <v>0</v>
      </c>
      <c r="CW317" s="176"/>
      <c r="CX317" s="164"/>
      <c r="CY317" s="164"/>
    </row>
    <row r="318" spans="1:103" x14ac:dyDescent="0.2">
      <c r="A318" s="2">
        <v>45897</v>
      </c>
      <c r="B318" s="3" t="s">
        <v>653</v>
      </c>
      <c r="C318" s="4" t="s">
        <v>729</v>
      </c>
      <c r="D318" s="5" t="s">
        <v>315</v>
      </c>
      <c r="E318" s="6" t="s">
        <v>654</v>
      </c>
      <c r="F318" s="7" t="s">
        <v>229</v>
      </c>
      <c r="G318" s="8" t="s">
        <v>655</v>
      </c>
      <c r="H318" s="9">
        <v>1000041960013</v>
      </c>
      <c r="I318" s="10"/>
      <c r="J318" s="11" t="s">
        <v>226</v>
      </c>
      <c r="K318" s="12">
        <v>3</v>
      </c>
      <c r="L318" s="13">
        <v>360</v>
      </c>
      <c r="M318" s="14">
        <f t="shared" ref="M318" si="532">L318*K318</f>
        <v>1080</v>
      </c>
      <c r="N318" s="15"/>
      <c r="O318" s="16" t="s">
        <v>111</v>
      </c>
      <c r="P318" s="17">
        <f>M318/1.12*0.01</f>
        <v>9.6428571428571423</v>
      </c>
      <c r="Q318" s="18">
        <f>M318/1.12*0.12</f>
        <v>115.71428571428571</v>
      </c>
      <c r="R318" s="5"/>
      <c r="S318" s="19"/>
      <c r="T318" s="19"/>
      <c r="U318" s="19"/>
      <c r="V318" s="19"/>
      <c r="W318" s="17"/>
      <c r="X318" s="20"/>
      <c r="Y318" s="19"/>
      <c r="Z318" s="19"/>
      <c r="AA318" s="19"/>
      <c r="AB318" s="19"/>
      <c r="AC318" s="19"/>
      <c r="AD318" s="19"/>
      <c r="AE318" s="5"/>
      <c r="AF318" s="19"/>
      <c r="AG318" s="5"/>
      <c r="AH318" s="17"/>
      <c r="AI318" s="19"/>
      <c r="AJ318" s="19"/>
      <c r="AK318" s="19"/>
      <c r="AL318" s="19"/>
      <c r="AM318" s="17"/>
      <c r="AN318" s="19"/>
      <c r="AO318" s="19"/>
      <c r="AP318" s="19"/>
      <c r="AQ318" s="19"/>
      <c r="AR318" s="19"/>
      <c r="AS318" s="21"/>
      <c r="AT318" s="5"/>
      <c r="AU318" s="17">
        <f>M318+P318-Q318</f>
        <v>973.92857142857144</v>
      </c>
      <c r="AV318" s="5"/>
      <c r="AW318" s="22"/>
      <c r="AX318" s="19"/>
      <c r="AY318" s="5"/>
      <c r="AZ318" s="19"/>
      <c r="BA318" s="5"/>
      <c r="BB318" s="5"/>
      <c r="BC318" s="19"/>
      <c r="BD318" s="19"/>
      <c r="BE318" s="19"/>
      <c r="BF318" s="19"/>
      <c r="BG318" s="19"/>
      <c r="BH318" s="19"/>
      <c r="BI318" s="19"/>
      <c r="BJ318" s="19"/>
      <c r="BK318" s="13"/>
      <c r="BL318" s="5"/>
      <c r="BM318" s="5"/>
      <c r="BN318" s="19"/>
      <c r="BO318" s="17"/>
      <c r="BP318" s="19"/>
      <c r="BQ318" s="17"/>
      <c r="BR318" s="19"/>
      <c r="BS318" s="13"/>
      <c r="BT318" s="5"/>
      <c r="BU318" s="23"/>
      <c r="BV318" s="23"/>
      <c r="BW318" s="24"/>
      <c r="BX318" s="5"/>
      <c r="BY318" s="5"/>
      <c r="BZ318" s="5"/>
      <c r="CA318" s="24"/>
      <c r="CB318" s="24"/>
      <c r="CC318" s="24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>
        <f t="shared" si="506"/>
        <v>1080</v>
      </c>
      <c r="CV318" s="25">
        <f t="shared" si="507"/>
        <v>0</v>
      </c>
      <c r="CW318" s="26"/>
      <c r="CX318" s="5"/>
      <c r="CY318" s="5"/>
    </row>
    <row r="319" spans="1:103" x14ac:dyDescent="0.2">
      <c r="A319" s="161"/>
      <c r="B319" s="162"/>
      <c r="C319" s="163"/>
      <c r="D319" s="164"/>
      <c r="E319" s="165"/>
      <c r="F319" s="166"/>
      <c r="G319" s="167"/>
      <c r="H319" s="168"/>
      <c r="I319" s="168"/>
      <c r="J319" s="169"/>
      <c r="K319" s="170"/>
      <c r="L319" s="171"/>
      <c r="M319" s="172">
        <f>SUM(M318:M318)</f>
        <v>1080</v>
      </c>
      <c r="N319" s="172">
        <f>M319</f>
        <v>1080</v>
      </c>
      <c r="O319" s="173" t="s">
        <v>111</v>
      </c>
      <c r="P319" s="172">
        <f>SUM(P318:P318)</f>
        <v>9.6428571428571423</v>
      </c>
      <c r="Q319" s="172">
        <f>SUM(Q318:Q318)</f>
        <v>115.71428571428571</v>
      </c>
      <c r="R319" s="164"/>
      <c r="S319" s="172">
        <f t="shared" ref="S319:AD319" si="533">SUM(S318:S318)</f>
        <v>0</v>
      </c>
      <c r="T319" s="172">
        <f t="shared" si="533"/>
        <v>0</v>
      </c>
      <c r="U319" s="172">
        <f t="shared" si="533"/>
        <v>0</v>
      </c>
      <c r="V319" s="172">
        <f t="shared" si="533"/>
        <v>0</v>
      </c>
      <c r="W319" s="172">
        <f t="shared" si="533"/>
        <v>0</v>
      </c>
      <c r="X319" s="172">
        <f t="shared" si="533"/>
        <v>0</v>
      </c>
      <c r="Y319" s="172">
        <f t="shared" si="533"/>
        <v>0</v>
      </c>
      <c r="Z319" s="172">
        <f t="shared" si="533"/>
        <v>0</v>
      </c>
      <c r="AA319" s="172">
        <f t="shared" si="533"/>
        <v>0</v>
      </c>
      <c r="AB319" s="172">
        <f t="shared" si="533"/>
        <v>0</v>
      </c>
      <c r="AC319" s="172">
        <f t="shared" si="533"/>
        <v>0</v>
      </c>
      <c r="AD319" s="172">
        <f t="shared" si="533"/>
        <v>0</v>
      </c>
      <c r="AE319" s="164"/>
      <c r="AF319" s="172">
        <f>SUM(AF318:AF318)</f>
        <v>0</v>
      </c>
      <c r="AG319" s="164"/>
      <c r="AH319" s="172">
        <f t="shared" ref="AH319:AZ319" si="534">SUM(AH318:AH318)</f>
        <v>0</v>
      </c>
      <c r="AI319" s="172">
        <f t="shared" si="534"/>
        <v>0</v>
      </c>
      <c r="AJ319" s="172">
        <f t="shared" si="534"/>
        <v>0</v>
      </c>
      <c r="AK319" s="172">
        <f t="shared" si="534"/>
        <v>0</v>
      </c>
      <c r="AL319" s="172">
        <f t="shared" si="534"/>
        <v>0</v>
      </c>
      <c r="AM319" s="172">
        <f t="shared" si="534"/>
        <v>0</v>
      </c>
      <c r="AN319" s="172">
        <f t="shared" si="534"/>
        <v>0</v>
      </c>
      <c r="AO319" s="172">
        <f t="shared" si="534"/>
        <v>0</v>
      </c>
      <c r="AP319" s="172">
        <f t="shared" si="534"/>
        <v>0</v>
      </c>
      <c r="AQ319" s="172">
        <f t="shared" si="534"/>
        <v>0</v>
      </c>
      <c r="AR319" s="172">
        <f t="shared" si="534"/>
        <v>0</v>
      </c>
      <c r="AS319" s="172">
        <f t="shared" si="534"/>
        <v>0</v>
      </c>
      <c r="AT319" s="172">
        <f t="shared" si="534"/>
        <v>0</v>
      </c>
      <c r="AU319" s="172">
        <f>SUM(AU318:AU318)</f>
        <v>973.92857142857144</v>
      </c>
      <c r="AV319" s="172">
        <f t="shared" si="534"/>
        <v>0</v>
      </c>
      <c r="AW319" s="172">
        <f t="shared" si="534"/>
        <v>0</v>
      </c>
      <c r="AX319" s="172">
        <f t="shared" si="534"/>
        <v>0</v>
      </c>
      <c r="AY319" s="172">
        <f t="shared" si="534"/>
        <v>0</v>
      </c>
      <c r="AZ319" s="172">
        <f t="shared" si="534"/>
        <v>0</v>
      </c>
      <c r="BA319" s="164"/>
      <c r="BB319" s="172">
        <f t="shared" ref="BB319:CT319" si="535">SUM(BB318:BB318)</f>
        <v>0</v>
      </c>
      <c r="BC319" s="172">
        <f t="shared" si="535"/>
        <v>0</v>
      </c>
      <c r="BD319" s="172">
        <f t="shared" si="535"/>
        <v>0</v>
      </c>
      <c r="BE319" s="172">
        <f t="shared" si="535"/>
        <v>0</v>
      </c>
      <c r="BF319" s="172">
        <f t="shared" si="535"/>
        <v>0</v>
      </c>
      <c r="BG319" s="172">
        <f t="shared" si="535"/>
        <v>0</v>
      </c>
      <c r="BH319" s="172">
        <f t="shared" si="535"/>
        <v>0</v>
      </c>
      <c r="BI319" s="172">
        <f t="shared" si="535"/>
        <v>0</v>
      </c>
      <c r="BJ319" s="172">
        <f t="shared" si="535"/>
        <v>0</v>
      </c>
      <c r="BK319" s="172">
        <f t="shared" si="535"/>
        <v>0</v>
      </c>
      <c r="BL319" s="172">
        <f t="shared" si="535"/>
        <v>0</v>
      </c>
      <c r="BM319" s="172">
        <f t="shared" si="535"/>
        <v>0</v>
      </c>
      <c r="BN319" s="172">
        <f t="shared" si="535"/>
        <v>0</v>
      </c>
      <c r="BO319" s="172">
        <f t="shared" si="535"/>
        <v>0</v>
      </c>
      <c r="BP319" s="172">
        <f t="shared" si="535"/>
        <v>0</v>
      </c>
      <c r="BQ319" s="172">
        <f t="shared" si="535"/>
        <v>0</v>
      </c>
      <c r="BR319" s="172">
        <f t="shared" si="535"/>
        <v>0</v>
      </c>
      <c r="BS319" s="172">
        <f t="shared" si="535"/>
        <v>0</v>
      </c>
      <c r="BT319" s="172">
        <f t="shared" si="535"/>
        <v>0</v>
      </c>
      <c r="BU319" s="172">
        <f t="shared" si="535"/>
        <v>0</v>
      </c>
      <c r="BV319" s="172">
        <f t="shared" si="535"/>
        <v>0</v>
      </c>
      <c r="BW319" s="172">
        <f t="shared" si="535"/>
        <v>0</v>
      </c>
      <c r="BX319" s="172">
        <f t="shared" si="535"/>
        <v>0</v>
      </c>
      <c r="BY319" s="172">
        <f t="shared" si="535"/>
        <v>0</v>
      </c>
      <c r="BZ319" s="172">
        <f t="shared" si="535"/>
        <v>0</v>
      </c>
      <c r="CA319" s="172">
        <f t="shared" si="535"/>
        <v>0</v>
      </c>
      <c r="CB319" s="172">
        <f t="shared" si="535"/>
        <v>0</v>
      </c>
      <c r="CC319" s="172">
        <f t="shared" si="535"/>
        <v>0</v>
      </c>
      <c r="CD319" s="172">
        <f t="shared" si="535"/>
        <v>0</v>
      </c>
      <c r="CE319" s="172">
        <f t="shared" si="535"/>
        <v>0</v>
      </c>
      <c r="CF319" s="172">
        <f t="shared" si="535"/>
        <v>0</v>
      </c>
      <c r="CG319" s="172">
        <f t="shared" si="535"/>
        <v>0</v>
      </c>
      <c r="CH319" s="172">
        <f t="shared" si="535"/>
        <v>0</v>
      </c>
      <c r="CI319" s="172">
        <f t="shared" si="535"/>
        <v>0</v>
      </c>
      <c r="CJ319" s="172">
        <f t="shared" si="535"/>
        <v>0</v>
      </c>
      <c r="CK319" s="172">
        <f t="shared" si="535"/>
        <v>0</v>
      </c>
      <c r="CL319" s="172">
        <f t="shared" si="535"/>
        <v>0</v>
      </c>
      <c r="CM319" s="172">
        <f t="shared" si="535"/>
        <v>0</v>
      </c>
      <c r="CN319" s="172">
        <f t="shared" si="535"/>
        <v>0</v>
      </c>
      <c r="CO319" s="172">
        <f t="shared" si="535"/>
        <v>0</v>
      </c>
      <c r="CP319" s="172">
        <f t="shared" si="535"/>
        <v>0</v>
      </c>
      <c r="CQ319" s="172">
        <f t="shared" si="535"/>
        <v>0</v>
      </c>
      <c r="CR319" s="172">
        <f t="shared" si="535"/>
        <v>0</v>
      </c>
      <c r="CS319" s="172">
        <f t="shared" si="535"/>
        <v>0</v>
      </c>
      <c r="CT319" s="172">
        <f t="shared" si="535"/>
        <v>0</v>
      </c>
      <c r="CU319" s="17">
        <f t="shared" si="506"/>
        <v>1080</v>
      </c>
      <c r="CV319" s="25">
        <f t="shared" si="507"/>
        <v>0</v>
      </c>
      <c r="CW319" s="176"/>
      <c r="CX319" s="164"/>
      <c r="CY319" s="164"/>
    </row>
    <row r="320" spans="1:103" x14ac:dyDescent="0.2">
      <c r="A320" s="2">
        <v>45884</v>
      </c>
      <c r="B320" s="3" t="s">
        <v>669</v>
      </c>
      <c r="C320" s="4" t="s">
        <v>730</v>
      </c>
      <c r="D320" s="5" t="s">
        <v>133</v>
      </c>
      <c r="E320" s="6" t="s">
        <v>622</v>
      </c>
      <c r="F320" s="7" t="s">
        <v>670</v>
      </c>
      <c r="G320" s="8" t="s">
        <v>149</v>
      </c>
      <c r="H320" s="9">
        <v>273661</v>
      </c>
      <c r="I320" s="10" t="s">
        <v>671</v>
      </c>
      <c r="J320" s="11" t="s">
        <v>672</v>
      </c>
      <c r="K320" s="12">
        <v>6</v>
      </c>
      <c r="L320" s="13">
        <v>75.849999999999994</v>
      </c>
      <c r="M320" s="14">
        <f t="shared" ref="M320:M322" si="536">L320*K320</f>
        <v>455.09999999999997</v>
      </c>
      <c r="N320" s="15"/>
      <c r="O320" s="16" t="s">
        <v>111</v>
      </c>
      <c r="P320" s="17">
        <f>M320/1.12*0.01</f>
        <v>4.0633928571428566</v>
      </c>
      <c r="Q320" s="18">
        <f>M320/1.12*0.12</f>
        <v>48.760714285714279</v>
      </c>
      <c r="R320" s="17">
        <f>M320+P320-Q320</f>
        <v>410.40267857142851</v>
      </c>
      <c r="S320" s="19"/>
      <c r="T320" s="19"/>
      <c r="U320" s="19"/>
      <c r="V320" s="19"/>
      <c r="W320" s="17"/>
      <c r="X320" s="20"/>
      <c r="Y320" s="19"/>
      <c r="Z320" s="19"/>
      <c r="AA320" s="19"/>
      <c r="AB320" s="19"/>
      <c r="AC320" s="19"/>
      <c r="AD320" s="19"/>
      <c r="AE320" s="5"/>
      <c r="AF320" s="19"/>
      <c r="AG320" s="5"/>
      <c r="AH320" s="17"/>
      <c r="AI320" s="19"/>
      <c r="AJ320" s="19"/>
      <c r="AK320" s="19"/>
      <c r="AL320" s="19"/>
      <c r="AM320" s="17"/>
      <c r="AN320" s="19"/>
      <c r="AO320" s="19"/>
      <c r="AP320" s="19"/>
      <c r="AQ320" s="19"/>
      <c r="AR320" s="19"/>
      <c r="AS320" s="21"/>
      <c r="AT320" s="5"/>
      <c r="AU320" s="19"/>
      <c r="AV320" s="5"/>
      <c r="AW320" s="22"/>
      <c r="AX320" s="19"/>
      <c r="AY320" s="5"/>
      <c r="AZ320" s="19"/>
      <c r="BA320" s="5"/>
      <c r="BB320" s="5"/>
      <c r="BC320" s="19"/>
      <c r="BD320" s="19"/>
      <c r="BE320" s="19"/>
      <c r="BF320" s="19"/>
      <c r="BG320" s="19"/>
      <c r="BH320" s="19"/>
      <c r="BI320" s="19"/>
      <c r="BJ320" s="19"/>
      <c r="BK320" s="13"/>
      <c r="BL320" s="5"/>
      <c r="BM320" s="5"/>
      <c r="BN320" s="19"/>
      <c r="BO320" s="17"/>
      <c r="BP320" s="19"/>
      <c r="BQ320" s="17"/>
      <c r="BR320" s="19"/>
      <c r="BS320" s="13"/>
      <c r="BT320" s="5"/>
      <c r="BU320" s="23"/>
      <c r="BV320" s="23"/>
      <c r="BW320" s="24"/>
      <c r="BX320" s="5"/>
      <c r="BY320" s="5"/>
      <c r="BZ320" s="5"/>
      <c r="CA320" s="24"/>
      <c r="CB320" s="24"/>
      <c r="CC320" s="24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>
        <f t="shared" si="506"/>
        <v>455.09999999999997</v>
      </c>
      <c r="CV320" s="25">
        <f t="shared" si="507"/>
        <v>0</v>
      </c>
      <c r="CW320" s="26"/>
      <c r="CX320" s="5"/>
      <c r="CY320" s="5"/>
    </row>
    <row r="321" spans="1:103" x14ac:dyDescent="0.2">
      <c r="A321" s="2"/>
      <c r="B321" s="3"/>
      <c r="C321" s="4"/>
      <c r="D321" s="5"/>
      <c r="E321" s="6"/>
      <c r="F321" s="7"/>
      <c r="G321" s="8"/>
      <c r="H321" s="9"/>
      <c r="I321" s="10"/>
      <c r="J321" s="11" t="s">
        <v>673</v>
      </c>
      <c r="K321" s="12">
        <v>5</v>
      </c>
      <c r="L321" s="13">
        <v>27.3</v>
      </c>
      <c r="M321" s="14">
        <f t="shared" si="536"/>
        <v>136.5</v>
      </c>
      <c r="N321" s="15"/>
      <c r="O321" s="16" t="s">
        <v>111</v>
      </c>
      <c r="P321" s="17">
        <f t="shared" ref="P321:P322" si="537">M321/1.12*0.01</f>
        <v>1.2187499999999998</v>
      </c>
      <c r="Q321" s="18">
        <f>M321/1.12*0.12</f>
        <v>14.624999999999998</v>
      </c>
      <c r="R321" s="17">
        <f t="shared" ref="R321:R322" si="538">M321+P321-Q321</f>
        <v>123.09375</v>
      </c>
      <c r="S321" s="19"/>
      <c r="T321" s="19"/>
      <c r="U321" s="19"/>
      <c r="V321" s="19"/>
      <c r="W321" s="17"/>
      <c r="X321" s="20"/>
      <c r="Y321" s="19"/>
      <c r="Z321" s="19"/>
      <c r="AA321" s="19"/>
      <c r="AB321" s="19"/>
      <c r="AC321" s="19"/>
      <c r="AD321" s="19"/>
      <c r="AE321" s="5"/>
      <c r="AF321" s="19"/>
      <c r="AG321" s="5"/>
      <c r="AH321" s="17"/>
      <c r="AI321" s="19"/>
      <c r="AJ321" s="19"/>
      <c r="AK321" s="19"/>
      <c r="AL321" s="19"/>
      <c r="AM321" s="17"/>
      <c r="AN321" s="19"/>
      <c r="AO321" s="19"/>
      <c r="AP321" s="19"/>
      <c r="AQ321" s="19"/>
      <c r="AR321" s="19"/>
      <c r="AS321" s="21"/>
      <c r="AT321" s="5"/>
      <c r="AU321" s="19"/>
      <c r="AV321" s="5"/>
      <c r="AW321" s="22"/>
      <c r="AX321" s="19"/>
      <c r="AY321" s="5"/>
      <c r="AZ321" s="19"/>
      <c r="BA321" s="5"/>
      <c r="BB321" s="5"/>
      <c r="BC321" s="19"/>
      <c r="BD321" s="19"/>
      <c r="BE321" s="19"/>
      <c r="BF321" s="19"/>
      <c r="BG321" s="19"/>
      <c r="BH321" s="19"/>
      <c r="BI321" s="19"/>
      <c r="BJ321" s="19"/>
      <c r="BK321" s="13"/>
      <c r="BL321" s="5"/>
      <c r="BM321" s="5"/>
      <c r="BN321" s="19"/>
      <c r="BO321" s="17"/>
      <c r="BP321" s="19"/>
      <c r="BQ321" s="17"/>
      <c r="BR321" s="19"/>
      <c r="BS321" s="13"/>
      <c r="BT321" s="5"/>
      <c r="BU321" s="23"/>
      <c r="BV321" s="23"/>
      <c r="BW321" s="24"/>
      <c r="BX321" s="5"/>
      <c r="BY321" s="5"/>
      <c r="BZ321" s="5"/>
      <c r="CA321" s="24"/>
      <c r="CB321" s="24"/>
      <c r="CC321" s="24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>
        <f t="shared" si="506"/>
        <v>136.5</v>
      </c>
      <c r="CV321" s="25">
        <f t="shared" si="507"/>
        <v>0</v>
      </c>
      <c r="CW321" s="26"/>
      <c r="CX321" s="5"/>
      <c r="CY321" s="5"/>
    </row>
    <row r="322" spans="1:103" x14ac:dyDescent="0.2">
      <c r="A322" s="2"/>
      <c r="B322" s="3"/>
      <c r="C322" s="4"/>
      <c r="D322" s="5"/>
      <c r="E322" s="6"/>
      <c r="F322" s="7"/>
      <c r="G322" s="8"/>
      <c r="H322" s="9"/>
      <c r="I322" s="10"/>
      <c r="J322" s="11" t="s">
        <v>674</v>
      </c>
      <c r="K322" s="12">
        <v>3</v>
      </c>
      <c r="L322" s="13">
        <v>33.9</v>
      </c>
      <c r="M322" s="14">
        <f t="shared" si="536"/>
        <v>101.69999999999999</v>
      </c>
      <c r="N322" s="15"/>
      <c r="O322" s="16" t="s">
        <v>111</v>
      </c>
      <c r="P322" s="17">
        <f t="shared" si="537"/>
        <v>0.90803571428571417</v>
      </c>
      <c r="Q322" s="18">
        <f t="shared" ref="Q322" si="539">M322/1.12*0.12</f>
        <v>10.896428571428569</v>
      </c>
      <c r="R322" s="17">
        <f t="shared" si="538"/>
        <v>91.711607142857133</v>
      </c>
      <c r="S322" s="19"/>
      <c r="T322" s="19"/>
      <c r="U322" s="19"/>
      <c r="V322" s="19"/>
      <c r="W322" s="17"/>
      <c r="X322" s="20"/>
      <c r="Y322" s="19"/>
      <c r="Z322" s="19"/>
      <c r="AA322" s="19"/>
      <c r="AB322" s="19"/>
      <c r="AC322" s="19"/>
      <c r="AD322" s="19"/>
      <c r="AE322" s="5"/>
      <c r="AF322" s="19"/>
      <c r="AG322" s="5"/>
      <c r="AH322" s="17"/>
      <c r="AI322" s="19"/>
      <c r="AJ322" s="19"/>
      <c r="AK322" s="19"/>
      <c r="AL322" s="19"/>
      <c r="AM322" s="17"/>
      <c r="AN322" s="19"/>
      <c r="AO322" s="19"/>
      <c r="AP322" s="19"/>
      <c r="AQ322" s="19"/>
      <c r="AR322" s="19"/>
      <c r="AS322" s="21"/>
      <c r="AT322" s="5"/>
      <c r="AU322" s="19"/>
      <c r="AV322" s="5"/>
      <c r="AW322" s="22"/>
      <c r="AX322" s="19"/>
      <c r="AY322" s="5"/>
      <c r="AZ322" s="19"/>
      <c r="BA322" s="5"/>
      <c r="BB322" s="5"/>
      <c r="BC322" s="19"/>
      <c r="BD322" s="19"/>
      <c r="BE322" s="19"/>
      <c r="BF322" s="19"/>
      <c r="BG322" s="19"/>
      <c r="BH322" s="19"/>
      <c r="BI322" s="19"/>
      <c r="BJ322" s="19"/>
      <c r="BK322" s="13"/>
      <c r="BL322" s="5"/>
      <c r="BM322" s="5"/>
      <c r="BN322" s="19"/>
      <c r="BO322" s="17"/>
      <c r="BP322" s="19"/>
      <c r="BQ322" s="17"/>
      <c r="BR322" s="19"/>
      <c r="BS322" s="13"/>
      <c r="BT322" s="5"/>
      <c r="BU322" s="23"/>
      <c r="BV322" s="23"/>
      <c r="BW322" s="24"/>
      <c r="BX322" s="5"/>
      <c r="BY322" s="5"/>
      <c r="BZ322" s="5"/>
      <c r="CA322" s="24"/>
      <c r="CB322" s="24"/>
      <c r="CC322" s="24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>
        <f t="shared" si="506"/>
        <v>101.69999999999999</v>
      </c>
      <c r="CV322" s="25">
        <f t="shared" si="507"/>
        <v>0</v>
      </c>
      <c r="CW322" s="26"/>
      <c r="CX322" s="5"/>
      <c r="CY322" s="5"/>
    </row>
    <row r="323" spans="1:103" x14ac:dyDescent="0.2">
      <c r="A323" s="27"/>
      <c r="B323" s="28"/>
      <c r="C323" s="29"/>
      <c r="D323" s="30"/>
      <c r="E323" s="31"/>
      <c r="F323" s="32"/>
      <c r="G323" s="33"/>
      <c r="H323" s="34"/>
      <c r="I323" s="34"/>
      <c r="J323" s="35"/>
      <c r="K323" s="36"/>
      <c r="L323" s="37"/>
      <c r="M323" s="38">
        <f>SUM(M320:M322)</f>
        <v>693.3</v>
      </c>
      <c r="N323" s="38"/>
      <c r="O323" s="39" t="s">
        <v>111</v>
      </c>
      <c r="P323" s="38">
        <f>SUM(P320:P322)</f>
        <v>6.1901785714285706</v>
      </c>
      <c r="Q323" s="38">
        <f>SUM(Q320:Q322)</f>
        <v>74.282142857142844</v>
      </c>
      <c r="R323" s="38">
        <f>SUM(R320:R322)</f>
        <v>625.20803571428564</v>
      </c>
      <c r="S323" s="38">
        <f t="shared" ref="S323:AD323" si="540">SUM(S320:S320)</f>
        <v>0</v>
      </c>
      <c r="T323" s="38">
        <f t="shared" si="540"/>
        <v>0</v>
      </c>
      <c r="U323" s="38">
        <f t="shared" si="540"/>
        <v>0</v>
      </c>
      <c r="V323" s="38">
        <f t="shared" si="540"/>
        <v>0</v>
      </c>
      <c r="W323" s="38">
        <f t="shared" si="540"/>
        <v>0</v>
      </c>
      <c r="X323" s="38">
        <f t="shared" si="540"/>
        <v>0</v>
      </c>
      <c r="Y323" s="38">
        <f t="shared" si="540"/>
        <v>0</v>
      </c>
      <c r="Z323" s="38">
        <f t="shared" si="540"/>
        <v>0</v>
      </c>
      <c r="AA323" s="38">
        <f t="shared" si="540"/>
        <v>0</v>
      </c>
      <c r="AB323" s="38">
        <f t="shared" si="540"/>
        <v>0</v>
      </c>
      <c r="AC323" s="38">
        <f t="shared" si="540"/>
        <v>0</v>
      </c>
      <c r="AD323" s="38">
        <f t="shared" si="540"/>
        <v>0</v>
      </c>
      <c r="AE323" s="30"/>
      <c r="AF323" s="38">
        <f>SUM(AF320:AF320)</f>
        <v>0</v>
      </c>
      <c r="AG323" s="30"/>
      <c r="AH323" s="38">
        <f t="shared" ref="AH323:AZ323" si="541">SUM(AH320:AH320)</f>
        <v>0</v>
      </c>
      <c r="AI323" s="38">
        <f t="shared" si="541"/>
        <v>0</v>
      </c>
      <c r="AJ323" s="38">
        <f t="shared" si="541"/>
        <v>0</v>
      </c>
      <c r="AK323" s="38">
        <f t="shared" si="541"/>
        <v>0</v>
      </c>
      <c r="AL323" s="38">
        <f t="shared" si="541"/>
        <v>0</v>
      </c>
      <c r="AM323" s="38">
        <f t="shared" si="541"/>
        <v>0</v>
      </c>
      <c r="AN323" s="38">
        <f t="shared" si="541"/>
        <v>0</v>
      </c>
      <c r="AO323" s="38">
        <f t="shared" si="541"/>
        <v>0</v>
      </c>
      <c r="AP323" s="38">
        <f t="shared" si="541"/>
        <v>0</v>
      </c>
      <c r="AQ323" s="38">
        <f t="shared" si="541"/>
        <v>0</v>
      </c>
      <c r="AR323" s="38">
        <f t="shared" si="541"/>
        <v>0</v>
      </c>
      <c r="AS323" s="38">
        <f t="shared" si="541"/>
        <v>0</v>
      </c>
      <c r="AT323" s="38">
        <f t="shared" si="541"/>
        <v>0</v>
      </c>
      <c r="AU323" s="38">
        <f t="shared" si="541"/>
        <v>0</v>
      </c>
      <c r="AV323" s="38">
        <f t="shared" si="541"/>
        <v>0</v>
      </c>
      <c r="AW323" s="38">
        <f t="shared" si="541"/>
        <v>0</v>
      </c>
      <c r="AX323" s="38">
        <f t="shared" si="541"/>
        <v>0</v>
      </c>
      <c r="AY323" s="38">
        <f t="shared" si="541"/>
        <v>0</v>
      </c>
      <c r="AZ323" s="38">
        <f t="shared" si="541"/>
        <v>0</v>
      </c>
      <c r="BA323" s="30"/>
      <c r="BB323" s="38">
        <f t="shared" ref="BB323:CT323" si="542">SUM(BB320:BB320)</f>
        <v>0</v>
      </c>
      <c r="BC323" s="38">
        <f t="shared" si="542"/>
        <v>0</v>
      </c>
      <c r="BD323" s="38">
        <f t="shared" si="542"/>
        <v>0</v>
      </c>
      <c r="BE323" s="38">
        <f t="shared" si="542"/>
        <v>0</v>
      </c>
      <c r="BF323" s="38">
        <f t="shared" si="542"/>
        <v>0</v>
      </c>
      <c r="BG323" s="38">
        <f t="shared" si="542"/>
        <v>0</v>
      </c>
      <c r="BH323" s="38">
        <f t="shared" si="542"/>
        <v>0</v>
      </c>
      <c r="BI323" s="38">
        <f t="shared" si="542"/>
        <v>0</v>
      </c>
      <c r="BJ323" s="38">
        <f t="shared" si="542"/>
        <v>0</v>
      </c>
      <c r="BK323" s="38">
        <f t="shared" si="542"/>
        <v>0</v>
      </c>
      <c r="BL323" s="38">
        <f t="shared" si="542"/>
        <v>0</v>
      </c>
      <c r="BM323" s="38">
        <f t="shared" si="542"/>
        <v>0</v>
      </c>
      <c r="BN323" s="38">
        <f t="shared" si="542"/>
        <v>0</v>
      </c>
      <c r="BO323" s="38">
        <f t="shared" si="542"/>
        <v>0</v>
      </c>
      <c r="BP323" s="38">
        <f t="shared" si="542"/>
        <v>0</v>
      </c>
      <c r="BQ323" s="38">
        <f t="shared" si="542"/>
        <v>0</v>
      </c>
      <c r="BR323" s="38">
        <f t="shared" si="542"/>
        <v>0</v>
      </c>
      <c r="BS323" s="38">
        <f t="shared" si="542"/>
        <v>0</v>
      </c>
      <c r="BT323" s="38">
        <f t="shared" si="542"/>
        <v>0</v>
      </c>
      <c r="BU323" s="38">
        <f t="shared" si="542"/>
        <v>0</v>
      </c>
      <c r="BV323" s="38">
        <f t="shared" si="542"/>
        <v>0</v>
      </c>
      <c r="BW323" s="38">
        <f t="shared" si="542"/>
        <v>0</v>
      </c>
      <c r="BX323" s="38">
        <f t="shared" si="542"/>
        <v>0</v>
      </c>
      <c r="BY323" s="38">
        <f t="shared" si="542"/>
        <v>0</v>
      </c>
      <c r="BZ323" s="38">
        <f t="shared" si="542"/>
        <v>0</v>
      </c>
      <c r="CA323" s="38">
        <f t="shared" si="542"/>
        <v>0</v>
      </c>
      <c r="CB323" s="38">
        <f t="shared" si="542"/>
        <v>0</v>
      </c>
      <c r="CC323" s="38">
        <f t="shared" si="542"/>
        <v>0</v>
      </c>
      <c r="CD323" s="38">
        <f t="shared" si="542"/>
        <v>0</v>
      </c>
      <c r="CE323" s="38">
        <f t="shared" si="542"/>
        <v>0</v>
      </c>
      <c r="CF323" s="38">
        <f t="shared" si="542"/>
        <v>0</v>
      </c>
      <c r="CG323" s="38">
        <f t="shared" si="542"/>
        <v>0</v>
      </c>
      <c r="CH323" s="38">
        <f t="shared" si="542"/>
        <v>0</v>
      </c>
      <c r="CI323" s="38">
        <f t="shared" si="542"/>
        <v>0</v>
      </c>
      <c r="CJ323" s="38">
        <f t="shared" si="542"/>
        <v>0</v>
      </c>
      <c r="CK323" s="38">
        <f t="shared" si="542"/>
        <v>0</v>
      </c>
      <c r="CL323" s="38">
        <f t="shared" si="542"/>
        <v>0</v>
      </c>
      <c r="CM323" s="38">
        <f t="shared" si="542"/>
        <v>0</v>
      </c>
      <c r="CN323" s="38">
        <f t="shared" si="542"/>
        <v>0</v>
      </c>
      <c r="CO323" s="38">
        <f t="shared" si="542"/>
        <v>0</v>
      </c>
      <c r="CP323" s="38">
        <f t="shared" si="542"/>
        <v>0</v>
      </c>
      <c r="CQ323" s="38">
        <f t="shared" si="542"/>
        <v>0</v>
      </c>
      <c r="CR323" s="38">
        <f t="shared" si="542"/>
        <v>0</v>
      </c>
      <c r="CS323" s="38">
        <f t="shared" si="542"/>
        <v>0</v>
      </c>
      <c r="CT323" s="38">
        <f t="shared" si="542"/>
        <v>0</v>
      </c>
      <c r="CU323" s="17">
        <f t="shared" si="506"/>
        <v>693.3</v>
      </c>
      <c r="CV323" s="25">
        <f t="shared" si="507"/>
        <v>0</v>
      </c>
      <c r="CW323" s="40"/>
      <c r="CX323" s="30"/>
      <c r="CY323" s="30"/>
    </row>
    <row r="324" spans="1:103" x14ac:dyDescent="0.2">
      <c r="A324" s="2">
        <v>45898</v>
      </c>
      <c r="B324" s="3" t="s">
        <v>669</v>
      </c>
      <c r="C324" s="4" t="s">
        <v>731</v>
      </c>
      <c r="D324" s="5" t="s">
        <v>133</v>
      </c>
      <c r="E324" s="6"/>
      <c r="F324" s="7"/>
      <c r="G324" s="8"/>
      <c r="H324" s="9"/>
      <c r="I324" s="10"/>
      <c r="J324" s="11" t="s">
        <v>226</v>
      </c>
      <c r="K324" s="12">
        <v>1</v>
      </c>
      <c r="L324" s="13">
        <v>105</v>
      </c>
      <c r="M324" s="14">
        <f t="shared" ref="M324" si="543">L324*K324</f>
        <v>105</v>
      </c>
      <c r="N324" s="15"/>
      <c r="O324" s="16" t="s">
        <v>137</v>
      </c>
      <c r="P324" s="17"/>
      <c r="Q324" s="18"/>
      <c r="R324" s="5"/>
      <c r="S324" s="19"/>
      <c r="T324" s="19"/>
      <c r="U324" s="19"/>
      <c r="V324" s="19"/>
      <c r="W324" s="17"/>
      <c r="X324" s="20"/>
      <c r="Y324" s="19"/>
      <c r="Z324" s="19"/>
      <c r="AA324" s="19"/>
      <c r="AB324" s="19"/>
      <c r="AC324" s="19"/>
      <c r="AD324" s="19"/>
      <c r="AE324" s="5"/>
      <c r="AF324" s="19"/>
      <c r="AG324" s="5"/>
      <c r="AH324" s="17"/>
      <c r="AI324" s="19"/>
      <c r="AJ324" s="19"/>
      <c r="AK324" s="19"/>
      <c r="AL324" s="19"/>
      <c r="AM324" s="17"/>
      <c r="AN324" s="19"/>
      <c r="AO324" s="19"/>
      <c r="AP324" s="19"/>
      <c r="AQ324" s="19"/>
      <c r="AR324" s="19"/>
      <c r="AS324" s="21"/>
      <c r="AT324" s="5"/>
      <c r="AU324" s="19"/>
      <c r="AV324" s="5"/>
      <c r="AW324" s="22"/>
      <c r="AX324" s="19"/>
      <c r="AY324" s="5"/>
      <c r="AZ324" s="19"/>
      <c r="BA324" s="5"/>
      <c r="BB324" s="5"/>
      <c r="BC324" s="17">
        <f>M324+P324-Q324</f>
        <v>105</v>
      </c>
      <c r="BD324" s="19"/>
      <c r="BE324" s="19"/>
      <c r="BF324" s="19"/>
      <c r="BG324" s="19"/>
      <c r="BH324" s="19"/>
      <c r="BI324" s="19"/>
      <c r="BJ324" s="19"/>
      <c r="BK324" s="13"/>
      <c r="BL324" s="5"/>
      <c r="BM324" s="5"/>
      <c r="BN324" s="19"/>
      <c r="BO324" s="17"/>
      <c r="BP324" s="19"/>
      <c r="BQ324" s="17"/>
      <c r="BR324" s="19"/>
      <c r="BS324" s="13"/>
      <c r="BT324" s="5"/>
      <c r="BU324" s="23"/>
      <c r="BV324" s="23"/>
      <c r="BW324" s="24"/>
      <c r="BX324" s="5"/>
      <c r="BY324" s="5"/>
      <c r="BZ324" s="5"/>
      <c r="CA324" s="24"/>
      <c r="CB324" s="24"/>
      <c r="CC324" s="24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>
        <f t="shared" si="506"/>
        <v>105</v>
      </c>
      <c r="CV324" s="25">
        <f t="shared" si="507"/>
        <v>0</v>
      </c>
      <c r="CW324" s="26"/>
      <c r="CX324" s="5"/>
      <c r="CY324" s="5"/>
    </row>
    <row r="325" spans="1:103" x14ac:dyDescent="0.2">
      <c r="A325" s="27"/>
      <c r="B325" s="28"/>
      <c r="C325" s="29"/>
      <c r="D325" s="30"/>
      <c r="E325" s="31"/>
      <c r="F325" s="32"/>
      <c r="G325" s="33"/>
      <c r="H325" s="34"/>
      <c r="I325" s="34"/>
      <c r="J325" s="35"/>
      <c r="K325" s="36"/>
      <c r="L325" s="37"/>
      <c r="M325" s="38">
        <f>SUM(M324:M324)</f>
        <v>105</v>
      </c>
      <c r="N325" s="38"/>
      <c r="O325" s="39" t="s">
        <v>137</v>
      </c>
      <c r="P325" s="38"/>
      <c r="Q325" s="38"/>
      <c r="R325" s="30"/>
      <c r="S325" s="38">
        <f t="shared" ref="S325:AD325" si="544">SUM(S324:S324)</f>
        <v>0</v>
      </c>
      <c r="T325" s="38">
        <f t="shared" si="544"/>
        <v>0</v>
      </c>
      <c r="U325" s="38">
        <f t="shared" si="544"/>
        <v>0</v>
      </c>
      <c r="V325" s="38">
        <f t="shared" si="544"/>
        <v>0</v>
      </c>
      <c r="W325" s="38">
        <f t="shared" si="544"/>
        <v>0</v>
      </c>
      <c r="X325" s="38">
        <f t="shared" si="544"/>
        <v>0</v>
      </c>
      <c r="Y325" s="38">
        <f t="shared" si="544"/>
        <v>0</v>
      </c>
      <c r="Z325" s="38">
        <f t="shared" si="544"/>
        <v>0</v>
      </c>
      <c r="AA325" s="38">
        <f t="shared" si="544"/>
        <v>0</v>
      </c>
      <c r="AB325" s="38">
        <f t="shared" si="544"/>
        <v>0</v>
      </c>
      <c r="AC325" s="38">
        <f t="shared" si="544"/>
        <v>0</v>
      </c>
      <c r="AD325" s="38">
        <f t="shared" si="544"/>
        <v>0</v>
      </c>
      <c r="AE325" s="30"/>
      <c r="AF325" s="38">
        <f>SUM(AF324:AF324)</f>
        <v>0</v>
      </c>
      <c r="AG325" s="30"/>
      <c r="AH325" s="38">
        <f t="shared" ref="AH325:AZ325" si="545">SUM(AH324:AH324)</f>
        <v>0</v>
      </c>
      <c r="AI325" s="38">
        <f t="shared" si="545"/>
        <v>0</v>
      </c>
      <c r="AJ325" s="38">
        <f t="shared" si="545"/>
        <v>0</v>
      </c>
      <c r="AK325" s="38">
        <f t="shared" si="545"/>
        <v>0</v>
      </c>
      <c r="AL325" s="38">
        <f t="shared" si="545"/>
        <v>0</v>
      </c>
      <c r="AM325" s="38">
        <f t="shared" si="545"/>
        <v>0</v>
      </c>
      <c r="AN325" s="38">
        <f t="shared" si="545"/>
        <v>0</v>
      </c>
      <c r="AO325" s="38">
        <f t="shared" si="545"/>
        <v>0</v>
      </c>
      <c r="AP325" s="38">
        <f t="shared" si="545"/>
        <v>0</v>
      </c>
      <c r="AQ325" s="38">
        <f t="shared" si="545"/>
        <v>0</v>
      </c>
      <c r="AR325" s="38">
        <f t="shared" si="545"/>
        <v>0</v>
      </c>
      <c r="AS325" s="38">
        <f t="shared" si="545"/>
        <v>0</v>
      </c>
      <c r="AT325" s="38">
        <f t="shared" si="545"/>
        <v>0</v>
      </c>
      <c r="AU325" s="38">
        <f t="shared" si="545"/>
        <v>0</v>
      </c>
      <c r="AV325" s="38">
        <f t="shared" si="545"/>
        <v>0</v>
      </c>
      <c r="AW325" s="38">
        <f t="shared" si="545"/>
        <v>0</v>
      </c>
      <c r="AX325" s="38">
        <f t="shared" si="545"/>
        <v>0</v>
      </c>
      <c r="AY325" s="38">
        <f t="shared" si="545"/>
        <v>0</v>
      </c>
      <c r="AZ325" s="38">
        <f t="shared" si="545"/>
        <v>0</v>
      </c>
      <c r="BA325" s="30"/>
      <c r="BB325" s="38">
        <f t="shared" ref="BB325:CT325" si="546">SUM(BB324:BB324)</f>
        <v>0</v>
      </c>
      <c r="BC325" s="38">
        <f>SUM(BC324:BC324)</f>
        <v>105</v>
      </c>
      <c r="BD325" s="38">
        <f t="shared" si="546"/>
        <v>0</v>
      </c>
      <c r="BE325" s="38">
        <f t="shared" si="546"/>
        <v>0</v>
      </c>
      <c r="BF325" s="38">
        <f t="shared" si="546"/>
        <v>0</v>
      </c>
      <c r="BG325" s="38">
        <f t="shared" si="546"/>
        <v>0</v>
      </c>
      <c r="BH325" s="38">
        <f t="shared" si="546"/>
        <v>0</v>
      </c>
      <c r="BI325" s="38">
        <f t="shared" si="546"/>
        <v>0</v>
      </c>
      <c r="BJ325" s="38">
        <f t="shared" si="546"/>
        <v>0</v>
      </c>
      <c r="BK325" s="38">
        <f t="shared" si="546"/>
        <v>0</v>
      </c>
      <c r="BL325" s="38">
        <f t="shared" si="546"/>
        <v>0</v>
      </c>
      <c r="BM325" s="38">
        <f t="shared" si="546"/>
        <v>0</v>
      </c>
      <c r="BN325" s="38">
        <f t="shared" si="546"/>
        <v>0</v>
      </c>
      <c r="BO325" s="38">
        <f t="shared" si="546"/>
        <v>0</v>
      </c>
      <c r="BP325" s="38">
        <f t="shared" si="546"/>
        <v>0</v>
      </c>
      <c r="BQ325" s="38">
        <f t="shared" si="546"/>
        <v>0</v>
      </c>
      <c r="BR325" s="38">
        <f t="shared" si="546"/>
        <v>0</v>
      </c>
      <c r="BS325" s="38">
        <f t="shared" si="546"/>
        <v>0</v>
      </c>
      <c r="BT325" s="38">
        <f t="shared" si="546"/>
        <v>0</v>
      </c>
      <c r="BU325" s="38">
        <f t="shared" si="546"/>
        <v>0</v>
      </c>
      <c r="BV325" s="38">
        <f t="shared" si="546"/>
        <v>0</v>
      </c>
      <c r="BW325" s="38">
        <f t="shared" si="546"/>
        <v>0</v>
      </c>
      <c r="BX325" s="38">
        <f t="shared" si="546"/>
        <v>0</v>
      </c>
      <c r="BY325" s="38">
        <f t="shared" si="546"/>
        <v>0</v>
      </c>
      <c r="BZ325" s="38">
        <f t="shared" si="546"/>
        <v>0</v>
      </c>
      <c r="CA325" s="38">
        <f t="shared" si="546"/>
        <v>0</v>
      </c>
      <c r="CB325" s="38">
        <f t="shared" si="546"/>
        <v>0</v>
      </c>
      <c r="CC325" s="38">
        <f t="shared" si="546"/>
        <v>0</v>
      </c>
      <c r="CD325" s="38">
        <f t="shared" si="546"/>
        <v>0</v>
      </c>
      <c r="CE325" s="38">
        <f t="shared" si="546"/>
        <v>0</v>
      </c>
      <c r="CF325" s="38">
        <f t="shared" si="546"/>
        <v>0</v>
      </c>
      <c r="CG325" s="38">
        <f t="shared" si="546"/>
        <v>0</v>
      </c>
      <c r="CH325" s="38">
        <f t="shared" si="546"/>
        <v>0</v>
      </c>
      <c r="CI325" s="38">
        <f t="shared" si="546"/>
        <v>0</v>
      </c>
      <c r="CJ325" s="38">
        <f t="shared" si="546"/>
        <v>0</v>
      </c>
      <c r="CK325" s="38">
        <f t="shared" si="546"/>
        <v>0</v>
      </c>
      <c r="CL325" s="38">
        <f t="shared" si="546"/>
        <v>0</v>
      </c>
      <c r="CM325" s="38">
        <f t="shared" si="546"/>
        <v>0</v>
      </c>
      <c r="CN325" s="38">
        <f t="shared" si="546"/>
        <v>0</v>
      </c>
      <c r="CO325" s="38">
        <f t="shared" si="546"/>
        <v>0</v>
      </c>
      <c r="CP325" s="38">
        <f t="shared" si="546"/>
        <v>0</v>
      </c>
      <c r="CQ325" s="38">
        <f t="shared" si="546"/>
        <v>0</v>
      </c>
      <c r="CR325" s="38">
        <f t="shared" si="546"/>
        <v>0</v>
      </c>
      <c r="CS325" s="38">
        <f t="shared" si="546"/>
        <v>0</v>
      </c>
      <c r="CT325" s="38">
        <f t="shared" si="546"/>
        <v>0</v>
      </c>
      <c r="CU325" s="17">
        <f t="shared" si="506"/>
        <v>105</v>
      </c>
      <c r="CV325" s="25">
        <f t="shared" si="507"/>
        <v>0</v>
      </c>
      <c r="CW325" s="40"/>
      <c r="CX325" s="30"/>
      <c r="CY325" s="30"/>
    </row>
    <row r="326" spans="1:103" x14ac:dyDescent="0.2">
      <c r="A326" s="2">
        <v>45898</v>
      </c>
      <c r="B326" s="3" t="s">
        <v>669</v>
      </c>
      <c r="C326" s="4" t="s">
        <v>732</v>
      </c>
      <c r="D326" s="5" t="s">
        <v>133</v>
      </c>
      <c r="E326" s="6" t="s">
        <v>134</v>
      </c>
      <c r="F326" s="7"/>
      <c r="G326" s="8"/>
      <c r="H326" s="9"/>
      <c r="I326" s="10"/>
      <c r="J326" s="11" t="s">
        <v>135</v>
      </c>
      <c r="K326" s="12">
        <v>1</v>
      </c>
      <c r="L326" s="13">
        <v>106</v>
      </c>
      <c r="M326" s="14">
        <f t="shared" ref="M326" si="547">L326*K326</f>
        <v>106</v>
      </c>
      <c r="N326" s="15"/>
      <c r="O326" s="16" t="s">
        <v>137</v>
      </c>
      <c r="P326" s="17"/>
      <c r="Q326" s="18"/>
      <c r="R326" s="5"/>
      <c r="S326" s="19"/>
      <c r="T326" s="19"/>
      <c r="U326" s="19"/>
      <c r="V326" s="19"/>
      <c r="W326" s="17"/>
      <c r="X326" s="20"/>
      <c r="Y326" s="19"/>
      <c r="Z326" s="19"/>
      <c r="AA326" s="19"/>
      <c r="AB326" s="19"/>
      <c r="AC326" s="19"/>
      <c r="AD326" s="19"/>
      <c r="AE326" s="5"/>
      <c r="AF326" s="19"/>
      <c r="AG326" s="5"/>
      <c r="AH326" s="17"/>
      <c r="AI326" s="19"/>
      <c r="AJ326" s="19"/>
      <c r="AK326" s="19"/>
      <c r="AL326" s="19"/>
      <c r="AM326" s="17"/>
      <c r="AN326" s="19"/>
      <c r="AO326" s="19"/>
      <c r="AP326" s="19"/>
      <c r="AQ326" s="19"/>
      <c r="AR326" s="19"/>
      <c r="AS326" s="21"/>
      <c r="AT326" s="5"/>
      <c r="AU326" s="19"/>
      <c r="AV326" s="5"/>
      <c r="AW326" s="22"/>
      <c r="AX326" s="19"/>
      <c r="AY326" s="5"/>
      <c r="AZ326" s="19"/>
      <c r="BA326" s="5"/>
      <c r="BB326" s="5"/>
      <c r="BC326" s="19"/>
      <c r="BD326" s="19"/>
      <c r="BE326" s="19"/>
      <c r="BF326" s="19"/>
      <c r="BG326" s="19"/>
      <c r="BH326" s="19"/>
      <c r="BI326" s="19"/>
      <c r="BJ326" s="19"/>
      <c r="BK326" s="13"/>
      <c r="BL326" s="5"/>
      <c r="BM326" s="5"/>
      <c r="BN326" s="19"/>
      <c r="BO326" s="17">
        <f>M326+P326-Q326</f>
        <v>106</v>
      </c>
      <c r="BP326" s="19"/>
      <c r="BQ326" s="17"/>
      <c r="BR326" s="19"/>
      <c r="BS326" s="13"/>
      <c r="BT326" s="5"/>
      <c r="BU326" s="23"/>
      <c r="BV326" s="23"/>
      <c r="BW326" s="24"/>
      <c r="BX326" s="5"/>
      <c r="BY326" s="5"/>
      <c r="BZ326" s="5"/>
      <c r="CA326" s="24"/>
      <c r="CB326" s="24"/>
      <c r="CC326" s="24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>
        <f t="shared" si="506"/>
        <v>106</v>
      </c>
      <c r="CV326" s="25">
        <f t="shared" si="507"/>
        <v>0</v>
      </c>
      <c r="CW326" s="26"/>
      <c r="CX326" s="5"/>
      <c r="CY326" s="5"/>
    </row>
    <row r="327" spans="1:103" x14ac:dyDescent="0.2">
      <c r="A327" s="161"/>
      <c r="B327" s="162"/>
      <c r="C327" s="163"/>
      <c r="D327" s="164"/>
      <c r="E327" s="165"/>
      <c r="F327" s="166"/>
      <c r="G327" s="167"/>
      <c r="H327" s="168"/>
      <c r="I327" s="168"/>
      <c r="J327" s="169"/>
      <c r="K327" s="170"/>
      <c r="L327" s="171"/>
      <c r="M327" s="172">
        <f>SUM(M326:M326)</f>
        <v>106</v>
      </c>
      <c r="N327" s="172">
        <f>M327+M325+M323</f>
        <v>904.3</v>
      </c>
      <c r="O327" s="173" t="s">
        <v>137</v>
      </c>
      <c r="P327" s="172"/>
      <c r="Q327" s="172"/>
      <c r="R327" s="164"/>
      <c r="S327" s="172">
        <f t="shared" ref="S327:AD327" si="548">SUM(S326:S326)</f>
        <v>0</v>
      </c>
      <c r="T327" s="172">
        <f t="shared" si="548"/>
        <v>0</v>
      </c>
      <c r="U327" s="172">
        <f t="shared" si="548"/>
        <v>0</v>
      </c>
      <c r="V327" s="172">
        <f t="shared" si="548"/>
        <v>0</v>
      </c>
      <c r="W327" s="172">
        <f t="shared" si="548"/>
        <v>0</v>
      </c>
      <c r="X327" s="172">
        <f t="shared" si="548"/>
        <v>0</v>
      </c>
      <c r="Y327" s="172">
        <f t="shared" si="548"/>
        <v>0</v>
      </c>
      <c r="Z327" s="172">
        <f t="shared" si="548"/>
        <v>0</v>
      </c>
      <c r="AA327" s="172">
        <f t="shared" si="548"/>
        <v>0</v>
      </c>
      <c r="AB327" s="172">
        <f t="shared" si="548"/>
        <v>0</v>
      </c>
      <c r="AC327" s="172">
        <f t="shared" si="548"/>
        <v>0</v>
      </c>
      <c r="AD327" s="172">
        <f t="shared" si="548"/>
        <v>0</v>
      </c>
      <c r="AE327" s="164"/>
      <c r="AF327" s="172">
        <f>SUM(AF326:AF326)</f>
        <v>0</v>
      </c>
      <c r="AG327" s="164"/>
      <c r="AH327" s="172">
        <f t="shared" ref="AH327:AZ327" si="549">SUM(AH326:AH326)</f>
        <v>0</v>
      </c>
      <c r="AI327" s="172">
        <f t="shared" si="549"/>
        <v>0</v>
      </c>
      <c r="AJ327" s="172">
        <f t="shared" si="549"/>
        <v>0</v>
      </c>
      <c r="AK327" s="172">
        <f t="shared" si="549"/>
        <v>0</v>
      </c>
      <c r="AL327" s="172">
        <f t="shared" si="549"/>
        <v>0</v>
      </c>
      <c r="AM327" s="172">
        <f t="shared" si="549"/>
        <v>0</v>
      </c>
      <c r="AN327" s="172">
        <f t="shared" si="549"/>
        <v>0</v>
      </c>
      <c r="AO327" s="172">
        <f t="shared" si="549"/>
        <v>0</v>
      </c>
      <c r="AP327" s="172">
        <f t="shared" si="549"/>
        <v>0</v>
      </c>
      <c r="AQ327" s="172">
        <f t="shared" si="549"/>
        <v>0</v>
      </c>
      <c r="AR327" s="172">
        <f t="shared" si="549"/>
        <v>0</v>
      </c>
      <c r="AS327" s="172">
        <f t="shared" si="549"/>
        <v>0</v>
      </c>
      <c r="AT327" s="172">
        <f t="shared" si="549"/>
        <v>0</v>
      </c>
      <c r="AU327" s="172">
        <f t="shared" si="549"/>
        <v>0</v>
      </c>
      <c r="AV327" s="172">
        <f t="shared" si="549"/>
        <v>0</v>
      </c>
      <c r="AW327" s="172">
        <f t="shared" si="549"/>
        <v>0</v>
      </c>
      <c r="AX327" s="172">
        <f t="shared" si="549"/>
        <v>0</v>
      </c>
      <c r="AY327" s="172">
        <f t="shared" si="549"/>
        <v>0</v>
      </c>
      <c r="AZ327" s="172">
        <f t="shared" si="549"/>
        <v>0</v>
      </c>
      <c r="BA327" s="164"/>
      <c r="BB327" s="172">
        <f t="shared" ref="BB327:CT327" si="550">SUM(BB326:BB326)</f>
        <v>0</v>
      </c>
      <c r="BC327" s="172">
        <f t="shared" si="550"/>
        <v>0</v>
      </c>
      <c r="BD327" s="172">
        <f t="shared" si="550"/>
        <v>0</v>
      </c>
      <c r="BE327" s="172">
        <f t="shared" si="550"/>
        <v>0</v>
      </c>
      <c r="BF327" s="172">
        <f t="shared" si="550"/>
        <v>0</v>
      </c>
      <c r="BG327" s="172">
        <f t="shared" si="550"/>
        <v>0</v>
      </c>
      <c r="BH327" s="172">
        <f t="shared" si="550"/>
        <v>0</v>
      </c>
      <c r="BI327" s="172">
        <f t="shared" si="550"/>
        <v>0</v>
      </c>
      <c r="BJ327" s="172">
        <f t="shared" si="550"/>
        <v>0</v>
      </c>
      <c r="BK327" s="172">
        <f t="shared" si="550"/>
        <v>0</v>
      </c>
      <c r="BL327" s="172">
        <f t="shared" si="550"/>
        <v>0</v>
      </c>
      <c r="BM327" s="172">
        <f t="shared" si="550"/>
        <v>0</v>
      </c>
      <c r="BN327" s="172">
        <f t="shared" si="550"/>
        <v>0</v>
      </c>
      <c r="BO327" s="172">
        <f>SUM(BO326:BO326)</f>
        <v>106</v>
      </c>
      <c r="BP327" s="172">
        <f t="shared" si="550"/>
        <v>0</v>
      </c>
      <c r="BQ327" s="172">
        <f t="shared" si="550"/>
        <v>0</v>
      </c>
      <c r="BR327" s="172">
        <f t="shared" si="550"/>
        <v>0</v>
      </c>
      <c r="BS327" s="172">
        <f t="shared" si="550"/>
        <v>0</v>
      </c>
      <c r="BT327" s="172">
        <f t="shared" si="550"/>
        <v>0</v>
      </c>
      <c r="BU327" s="172">
        <f t="shared" si="550"/>
        <v>0</v>
      </c>
      <c r="BV327" s="172">
        <f t="shared" si="550"/>
        <v>0</v>
      </c>
      <c r="BW327" s="172">
        <f t="shared" si="550"/>
        <v>0</v>
      </c>
      <c r="BX327" s="172">
        <f t="shared" si="550"/>
        <v>0</v>
      </c>
      <c r="BY327" s="172">
        <f t="shared" si="550"/>
        <v>0</v>
      </c>
      <c r="BZ327" s="172">
        <f t="shared" si="550"/>
        <v>0</v>
      </c>
      <c r="CA327" s="172">
        <f t="shared" si="550"/>
        <v>0</v>
      </c>
      <c r="CB327" s="172">
        <f t="shared" si="550"/>
        <v>0</v>
      </c>
      <c r="CC327" s="172">
        <f t="shared" si="550"/>
        <v>0</v>
      </c>
      <c r="CD327" s="172">
        <f t="shared" si="550"/>
        <v>0</v>
      </c>
      <c r="CE327" s="172">
        <f t="shared" si="550"/>
        <v>0</v>
      </c>
      <c r="CF327" s="172">
        <f t="shared" si="550"/>
        <v>0</v>
      </c>
      <c r="CG327" s="172">
        <f t="shared" si="550"/>
        <v>0</v>
      </c>
      <c r="CH327" s="172">
        <f t="shared" si="550"/>
        <v>0</v>
      </c>
      <c r="CI327" s="172">
        <f t="shared" si="550"/>
        <v>0</v>
      </c>
      <c r="CJ327" s="172">
        <f t="shared" si="550"/>
        <v>0</v>
      </c>
      <c r="CK327" s="172">
        <f t="shared" si="550"/>
        <v>0</v>
      </c>
      <c r="CL327" s="172">
        <f t="shared" si="550"/>
        <v>0</v>
      </c>
      <c r="CM327" s="172">
        <f t="shared" si="550"/>
        <v>0</v>
      </c>
      <c r="CN327" s="172">
        <f t="shared" si="550"/>
        <v>0</v>
      </c>
      <c r="CO327" s="172">
        <f t="shared" si="550"/>
        <v>0</v>
      </c>
      <c r="CP327" s="172">
        <f t="shared" si="550"/>
        <v>0</v>
      </c>
      <c r="CQ327" s="172">
        <f t="shared" si="550"/>
        <v>0</v>
      </c>
      <c r="CR327" s="172">
        <f t="shared" si="550"/>
        <v>0</v>
      </c>
      <c r="CS327" s="172">
        <f t="shared" si="550"/>
        <v>0</v>
      </c>
      <c r="CT327" s="172">
        <f t="shared" si="550"/>
        <v>0</v>
      </c>
      <c r="CU327" s="17">
        <f t="shared" si="506"/>
        <v>106</v>
      </c>
      <c r="CV327" s="25">
        <f t="shared" si="507"/>
        <v>0</v>
      </c>
      <c r="CW327" s="176"/>
      <c r="CX327" s="164"/>
      <c r="CY327" s="164"/>
    </row>
    <row r="328" spans="1:103" x14ac:dyDescent="0.2">
      <c r="A328" s="2">
        <v>45898</v>
      </c>
      <c r="B328" s="3" t="s">
        <v>679</v>
      </c>
      <c r="C328" s="4" t="s">
        <v>733</v>
      </c>
      <c r="D328" s="5" t="s">
        <v>210</v>
      </c>
      <c r="E328" s="6" t="s">
        <v>272</v>
      </c>
      <c r="F328" s="7" t="s">
        <v>229</v>
      </c>
      <c r="G328" s="8" t="s">
        <v>273</v>
      </c>
      <c r="H328" s="9">
        <v>32207</v>
      </c>
      <c r="I328" s="10" t="s">
        <v>680</v>
      </c>
      <c r="J328" s="11" t="s">
        <v>339</v>
      </c>
      <c r="K328" s="12">
        <v>6</v>
      </c>
      <c r="L328" s="13">
        <v>90</v>
      </c>
      <c r="M328" s="14">
        <f t="shared" ref="M328" si="551">L328*K328</f>
        <v>540</v>
      </c>
      <c r="N328" s="15"/>
      <c r="O328" s="16" t="s">
        <v>111</v>
      </c>
      <c r="P328" s="17">
        <f>M328/1.12*0.01</f>
        <v>4.8214285714285712</v>
      </c>
      <c r="Q328" s="18">
        <f>M328/1.12*0.12</f>
        <v>57.857142857142854</v>
      </c>
      <c r="R328" s="17">
        <f>M328+P328-Q328</f>
        <v>486.96428571428572</v>
      </c>
      <c r="S328" s="19"/>
      <c r="T328" s="19"/>
      <c r="U328" s="19"/>
      <c r="V328" s="19"/>
      <c r="W328" s="17"/>
      <c r="X328" s="20"/>
      <c r="Y328" s="19"/>
      <c r="Z328" s="19"/>
      <c r="AA328" s="19"/>
      <c r="AB328" s="19"/>
      <c r="AC328" s="19"/>
      <c r="AD328" s="19"/>
      <c r="AE328" s="5"/>
      <c r="AF328" s="19"/>
      <c r="AG328" s="5"/>
      <c r="AH328" s="17"/>
      <c r="AI328" s="19"/>
      <c r="AJ328" s="19"/>
      <c r="AK328" s="19"/>
      <c r="AL328" s="19"/>
      <c r="AM328" s="17"/>
      <c r="AN328" s="19"/>
      <c r="AO328" s="19"/>
      <c r="AP328" s="19"/>
      <c r="AQ328" s="19"/>
      <c r="AR328" s="19"/>
      <c r="AS328" s="21"/>
      <c r="AT328" s="5"/>
      <c r="AU328" s="19"/>
      <c r="AV328" s="5"/>
      <c r="AW328" s="22"/>
      <c r="AX328" s="19"/>
      <c r="AY328" s="5"/>
      <c r="AZ328" s="19"/>
      <c r="BA328" s="5"/>
      <c r="BB328" s="5"/>
      <c r="BC328" s="19"/>
      <c r="BD328" s="19"/>
      <c r="BE328" s="19"/>
      <c r="BF328" s="19"/>
      <c r="BG328" s="19"/>
      <c r="BH328" s="19"/>
      <c r="BI328" s="19"/>
      <c r="BJ328" s="19"/>
      <c r="BK328" s="13"/>
      <c r="BL328" s="5"/>
      <c r="BM328" s="5"/>
      <c r="BN328" s="19"/>
      <c r="BO328" s="17"/>
      <c r="BP328" s="19"/>
      <c r="BQ328" s="17"/>
      <c r="BR328" s="19"/>
      <c r="BS328" s="13"/>
      <c r="BT328" s="5"/>
      <c r="BU328" s="23"/>
      <c r="BV328" s="23"/>
      <c r="BW328" s="24"/>
      <c r="BX328" s="5"/>
      <c r="BY328" s="5"/>
      <c r="BZ328" s="5"/>
      <c r="CA328" s="24"/>
      <c r="CB328" s="24"/>
      <c r="CC328" s="24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>
        <f t="shared" si="506"/>
        <v>540</v>
      </c>
      <c r="CV328" s="25">
        <f t="shared" si="507"/>
        <v>0</v>
      </c>
      <c r="CW328" s="26"/>
      <c r="CX328" s="5"/>
      <c r="CY328" s="5"/>
    </row>
    <row r="329" spans="1:103" x14ac:dyDescent="0.2">
      <c r="A329" s="161"/>
      <c r="B329" s="162"/>
      <c r="C329" s="163"/>
      <c r="D329" s="164"/>
      <c r="E329" s="165"/>
      <c r="F329" s="166"/>
      <c r="G329" s="167"/>
      <c r="H329" s="168"/>
      <c r="I329" s="168"/>
      <c r="J329" s="169"/>
      <c r="K329" s="170"/>
      <c r="L329" s="171"/>
      <c r="M329" s="172">
        <f>SUM(M328:M328)</f>
        <v>540</v>
      </c>
      <c r="N329" s="172">
        <f>M329</f>
        <v>540</v>
      </c>
      <c r="O329" s="173" t="s">
        <v>111</v>
      </c>
      <c r="P329" s="172">
        <f>SUM(P328:P328)</f>
        <v>4.8214285714285712</v>
      </c>
      <c r="Q329" s="172">
        <f>SUM(Q328:Q328)</f>
        <v>57.857142857142854</v>
      </c>
      <c r="R329" s="172">
        <f>SUM(R328:R328)</f>
        <v>486.96428571428572</v>
      </c>
      <c r="S329" s="172">
        <f t="shared" ref="S329:AD329" si="552">SUM(S328:S328)</f>
        <v>0</v>
      </c>
      <c r="T329" s="172">
        <f t="shared" si="552"/>
        <v>0</v>
      </c>
      <c r="U329" s="172">
        <f t="shared" si="552"/>
        <v>0</v>
      </c>
      <c r="V329" s="172">
        <f t="shared" si="552"/>
        <v>0</v>
      </c>
      <c r="W329" s="172">
        <f t="shared" si="552"/>
        <v>0</v>
      </c>
      <c r="X329" s="172">
        <f t="shared" si="552"/>
        <v>0</v>
      </c>
      <c r="Y329" s="172">
        <f t="shared" si="552"/>
        <v>0</v>
      </c>
      <c r="Z329" s="172">
        <f t="shared" si="552"/>
        <v>0</v>
      </c>
      <c r="AA329" s="172">
        <f t="shared" si="552"/>
        <v>0</v>
      </c>
      <c r="AB329" s="172">
        <f t="shared" si="552"/>
        <v>0</v>
      </c>
      <c r="AC329" s="172">
        <f t="shared" si="552"/>
        <v>0</v>
      </c>
      <c r="AD329" s="172">
        <f t="shared" si="552"/>
        <v>0</v>
      </c>
      <c r="AE329" s="164"/>
      <c r="AF329" s="172">
        <f>SUM(AF328:AF328)</f>
        <v>0</v>
      </c>
      <c r="AG329" s="164"/>
      <c r="AH329" s="172">
        <f t="shared" ref="AH329:AZ329" si="553">SUM(AH328:AH328)</f>
        <v>0</v>
      </c>
      <c r="AI329" s="172">
        <f t="shared" si="553"/>
        <v>0</v>
      </c>
      <c r="AJ329" s="172">
        <f t="shared" si="553"/>
        <v>0</v>
      </c>
      <c r="AK329" s="172">
        <f t="shared" si="553"/>
        <v>0</v>
      </c>
      <c r="AL329" s="172">
        <f t="shared" si="553"/>
        <v>0</v>
      </c>
      <c r="AM329" s="172">
        <f t="shared" si="553"/>
        <v>0</v>
      </c>
      <c r="AN329" s="172">
        <f t="shared" si="553"/>
        <v>0</v>
      </c>
      <c r="AO329" s="172">
        <f t="shared" si="553"/>
        <v>0</v>
      </c>
      <c r="AP329" s="172">
        <f t="shared" si="553"/>
        <v>0</v>
      </c>
      <c r="AQ329" s="172">
        <f t="shared" si="553"/>
        <v>0</v>
      </c>
      <c r="AR329" s="172">
        <f t="shared" si="553"/>
        <v>0</v>
      </c>
      <c r="AS329" s="172">
        <f t="shared" si="553"/>
        <v>0</v>
      </c>
      <c r="AT329" s="172">
        <f t="shared" si="553"/>
        <v>0</v>
      </c>
      <c r="AU329" s="172">
        <f t="shared" si="553"/>
        <v>0</v>
      </c>
      <c r="AV329" s="172">
        <f t="shared" si="553"/>
        <v>0</v>
      </c>
      <c r="AW329" s="172">
        <f t="shared" si="553"/>
        <v>0</v>
      </c>
      <c r="AX329" s="172">
        <f t="shared" si="553"/>
        <v>0</v>
      </c>
      <c r="AY329" s="172">
        <f t="shared" si="553"/>
        <v>0</v>
      </c>
      <c r="AZ329" s="172">
        <f t="shared" si="553"/>
        <v>0</v>
      </c>
      <c r="BA329" s="164"/>
      <c r="BB329" s="172">
        <f t="shared" ref="BB329:CT329" si="554">SUM(BB328:BB328)</f>
        <v>0</v>
      </c>
      <c r="BC329" s="172">
        <f t="shared" si="554"/>
        <v>0</v>
      </c>
      <c r="BD329" s="172">
        <f t="shared" si="554"/>
        <v>0</v>
      </c>
      <c r="BE329" s="172">
        <f t="shared" si="554"/>
        <v>0</v>
      </c>
      <c r="BF329" s="172">
        <f t="shared" si="554"/>
        <v>0</v>
      </c>
      <c r="BG329" s="172">
        <f t="shared" si="554"/>
        <v>0</v>
      </c>
      <c r="BH329" s="172">
        <f t="shared" si="554"/>
        <v>0</v>
      </c>
      <c r="BI329" s="172">
        <f t="shared" si="554"/>
        <v>0</v>
      </c>
      <c r="BJ329" s="172">
        <f t="shared" si="554"/>
        <v>0</v>
      </c>
      <c r="BK329" s="172">
        <f t="shared" si="554"/>
        <v>0</v>
      </c>
      <c r="BL329" s="172">
        <f t="shared" si="554"/>
        <v>0</v>
      </c>
      <c r="BM329" s="172">
        <f t="shared" si="554"/>
        <v>0</v>
      </c>
      <c r="BN329" s="172">
        <f t="shared" si="554"/>
        <v>0</v>
      </c>
      <c r="BO329" s="172">
        <f t="shared" si="554"/>
        <v>0</v>
      </c>
      <c r="BP329" s="172">
        <f t="shared" si="554"/>
        <v>0</v>
      </c>
      <c r="BQ329" s="172">
        <f t="shared" si="554"/>
        <v>0</v>
      </c>
      <c r="BR329" s="172">
        <f t="shared" si="554"/>
        <v>0</v>
      </c>
      <c r="BS329" s="172">
        <f t="shared" si="554"/>
        <v>0</v>
      </c>
      <c r="BT329" s="172">
        <f t="shared" si="554"/>
        <v>0</v>
      </c>
      <c r="BU329" s="172">
        <f t="shared" si="554"/>
        <v>0</v>
      </c>
      <c r="BV329" s="172">
        <f t="shared" si="554"/>
        <v>0</v>
      </c>
      <c r="BW329" s="172">
        <f t="shared" si="554"/>
        <v>0</v>
      </c>
      <c r="BX329" s="172">
        <f t="shared" si="554"/>
        <v>0</v>
      </c>
      <c r="BY329" s="172">
        <f t="shared" si="554"/>
        <v>0</v>
      </c>
      <c r="BZ329" s="172">
        <f t="shared" si="554"/>
        <v>0</v>
      </c>
      <c r="CA329" s="172">
        <f t="shared" si="554"/>
        <v>0</v>
      </c>
      <c r="CB329" s="172">
        <f t="shared" si="554"/>
        <v>0</v>
      </c>
      <c r="CC329" s="172">
        <f t="shared" si="554"/>
        <v>0</v>
      </c>
      <c r="CD329" s="172">
        <f t="shared" si="554"/>
        <v>0</v>
      </c>
      <c r="CE329" s="172">
        <f t="shared" si="554"/>
        <v>0</v>
      </c>
      <c r="CF329" s="172">
        <f t="shared" si="554"/>
        <v>0</v>
      </c>
      <c r="CG329" s="172">
        <f t="shared" si="554"/>
        <v>0</v>
      </c>
      <c r="CH329" s="172">
        <f t="shared" si="554"/>
        <v>0</v>
      </c>
      <c r="CI329" s="172">
        <f t="shared" si="554"/>
        <v>0</v>
      </c>
      <c r="CJ329" s="172">
        <f t="shared" si="554"/>
        <v>0</v>
      </c>
      <c r="CK329" s="172">
        <f t="shared" si="554"/>
        <v>0</v>
      </c>
      <c r="CL329" s="172">
        <f t="shared" si="554"/>
        <v>0</v>
      </c>
      <c r="CM329" s="172">
        <f t="shared" si="554"/>
        <v>0</v>
      </c>
      <c r="CN329" s="172">
        <f t="shared" si="554"/>
        <v>0</v>
      </c>
      <c r="CO329" s="172">
        <f t="shared" si="554"/>
        <v>0</v>
      </c>
      <c r="CP329" s="172">
        <f t="shared" si="554"/>
        <v>0</v>
      </c>
      <c r="CQ329" s="172">
        <f t="shared" si="554"/>
        <v>0</v>
      </c>
      <c r="CR329" s="172">
        <f t="shared" si="554"/>
        <v>0</v>
      </c>
      <c r="CS329" s="172">
        <f t="shared" si="554"/>
        <v>0</v>
      </c>
      <c r="CT329" s="172">
        <f t="shared" si="554"/>
        <v>0</v>
      </c>
      <c r="CU329" s="17">
        <f t="shared" si="506"/>
        <v>540</v>
      </c>
      <c r="CV329" s="25">
        <f t="shared" si="507"/>
        <v>0</v>
      </c>
      <c r="CW329" s="176"/>
      <c r="CX329" s="164"/>
      <c r="CY329" s="164"/>
    </row>
    <row r="330" spans="1:103" x14ac:dyDescent="0.2">
      <c r="A330" s="2">
        <v>45899</v>
      </c>
      <c r="B330" s="3" t="s">
        <v>651</v>
      </c>
      <c r="C330" s="4" t="s">
        <v>734</v>
      </c>
      <c r="D330" s="5" t="s">
        <v>652</v>
      </c>
      <c r="E330" s="6" t="s">
        <v>597</v>
      </c>
      <c r="F330" s="7" t="s">
        <v>229</v>
      </c>
      <c r="G330" s="8" t="s">
        <v>286</v>
      </c>
      <c r="H330" s="9">
        <v>404</v>
      </c>
      <c r="I330" s="10"/>
      <c r="J330" s="11" t="s">
        <v>614</v>
      </c>
      <c r="K330" s="12">
        <v>1</v>
      </c>
      <c r="L330" s="13">
        <v>350</v>
      </c>
      <c r="M330" s="14">
        <f t="shared" ref="M330" si="555">L330*K330</f>
        <v>350</v>
      </c>
      <c r="N330" s="15"/>
      <c r="O330" s="16" t="s">
        <v>137</v>
      </c>
      <c r="P330" s="17">
        <f>M330*0.02</f>
        <v>7</v>
      </c>
      <c r="Q330" s="18"/>
      <c r="R330" s="5"/>
      <c r="S330" s="19"/>
      <c r="T330" s="19"/>
      <c r="U330" s="19"/>
      <c r="V330" s="19"/>
      <c r="W330" s="17"/>
      <c r="X330" s="20"/>
      <c r="Y330" s="19"/>
      <c r="Z330" s="19"/>
      <c r="AA330" s="19"/>
      <c r="AB330" s="19"/>
      <c r="AC330" s="19"/>
      <c r="AD330" s="19"/>
      <c r="AE330" s="5"/>
      <c r="AF330" s="19"/>
      <c r="AG330" s="5"/>
      <c r="AH330" s="17"/>
      <c r="AI330" s="19"/>
      <c r="AJ330" s="19"/>
      <c r="AK330" s="19"/>
      <c r="AL330" s="19"/>
      <c r="AM330" s="17"/>
      <c r="AN330" s="19"/>
      <c r="AO330" s="19"/>
      <c r="AP330" s="19"/>
      <c r="AQ330" s="19"/>
      <c r="AR330" s="19"/>
      <c r="AS330" s="21"/>
      <c r="AT330" s="5"/>
      <c r="AU330" s="19"/>
      <c r="AV330" s="5"/>
      <c r="AW330" s="17">
        <f>M330+P330-Q330</f>
        <v>357</v>
      </c>
      <c r="AX330" s="19"/>
      <c r="AY330" s="5"/>
      <c r="AZ330" s="19"/>
      <c r="BA330" s="5"/>
      <c r="BB330" s="5"/>
      <c r="BC330" s="19"/>
      <c r="BD330" s="19"/>
      <c r="BE330" s="19"/>
      <c r="BF330" s="19"/>
      <c r="BG330" s="19"/>
      <c r="BH330" s="19"/>
      <c r="BI330" s="19"/>
      <c r="BJ330" s="19"/>
      <c r="BK330" s="13"/>
      <c r="BL330" s="5"/>
      <c r="BM330" s="5"/>
      <c r="BN330" s="19"/>
      <c r="BO330" s="17"/>
      <c r="BP330" s="19"/>
      <c r="BQ330" s="17"/>
      <c r="BR330" s="19"/>
      <c r="BS330" s="13"/>
      <c r="BT330" s="5"/>
      <c r="BU330" s="23"/>
      <c r="BV330" s="23"/>
      <c r="BW330" s="24"/>
      <c r="BX330" s="5"/>
      <c r="BY330" s="5"/>
      <c r="BZ330" s="5"/>
      <c r="CA330" s="24"/>
      <c r="CB330" s="24"/>
      <c r="CC330" s="24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>
        <f t="shared" si="506"/>
        <v>350</v>
      </c>
      <c r="CV330" s="25">
        <f t="shared" si="507"/>
        <v>0</v>
      </c>
      <c r="CW330" s="26"/>
      <c r="CX330" s="5"/>
      <c r="CY330" s="5"/>
    </row>
    <row r="331" spans="1:103" x14ac:dyDescent="0.2">
      <c r="A331" s="161"/>
      <c r="B331" s="162"/>
      <c r="C331" s="163"/>
      <c r="D331" s="164"/>
      <c r="E331" s="165"/>
      <c r="F331" s="166"/>
      <c r="G331" s="167"/>
      <c r="H331" s="168"/>
      <c r="I331" s="168"/>
      <c r="J331" s="169"/>
      <c r="K331" s="170"/>
      <c r="L331" s="171"/>
      <c r="M331" s="172">
        <f>SUM(M330:M330)</f>
        <v>350</v>
      </c>
      <c r="N331" s="172">
        <f>M331</f>
        <v>350</v>
      </c>
      <c r="O331" s="173" t="s">
        <v>137</v>
      </c>
      <c r="P331" s="172">
        <f>SUM(P330:P330)</f>
        <v>7</v>
      </c>
      <c r="Q331" s="172"/>
      <c r="R331" s="164"/>
      <c r="S331" s="172">
        <f t="shared" ref="S331:AD331" si="556">SUM(S330:S330)</f>
        <v>0</v>
      </c>
      <c r="T331" s="172">
        <f t="shared" si="556"/>
        <v>0</v>
      </c>
      <c r="U331" s="172">
        <f t="shared" si="556"/>
        <v>0</v>
      </c>
      <c r="V331" s="172">
        <f t="shared" si="556"/>
        <v>0</v>
      </c>
      <c r="W331" s="172">
        <f t="shared" si="556"/>
        <v>0</v>
      </c>
      <c r="X331" s="172">
        <f t="shared" si="556"/>
        <v>0</v>
      </c>
      <c r="Y331" s="172">
        <f t="shared" si="556"/>
        <v>0</v>
      </c>
      <c r="Z331" s="172">
        <f t="shared" si="556"/>
        <v>0</v>
      </c>
      <c r="AA331" s="172">
        <f t="shared" si="556"/>
        <v>0</v>
      </c>
      <c r="AB331" s="172">
        <f t="shared" si="556"/>
        <v>0</v>
      </c>
      <c r="AC331" s="172">
        <f t="shared" si="556"/>
        <v>0</v>
      </c>
      <c r="AD331" s="172">
        <f t="shared" si="556"/>
        <v>0</v>
      </c>
      <c r="AE331" s="164"/>
      <c r="AF331" s="172">
        <f>SUM(AF330:AF330)</f>
        <v>0</v>
      </c>
      <c r="AG331" s="164"/>
      <c r="AH331" s="172">
        <f t="shared" ref="AH331:AZ331" si="557">SUM(AH330:AH330)</f>
        <v>0</v>
      </c>
      <c r="AI331" s="172">
        <f t="shared" si="557"/>
        <v>0</v>
      </c>
      <c r="AJ331" s="172">
        <f t="shared" si="557"/>
        <v>0</v>
      </c>
      <c r="AK331" s="172">
        <f t="shared" si="557"/>
        <v>0</v>
      </c>
      <c r="AL331" s="172">
        <f t="shared" si="557"/>
        <v>0</v>
      </c>
      <c r="AM331" s="172">
        <f t="shared" si="557"/>
        <v>0</v>
      </c>
      <c r="AN331" s="172">
        <f t="shared" si="557"/>
        <v>0</v>
      </c>
      <c r="AO331" s="172">
        <f t="shared" si="557"/>
        <v>0</v>
      </c>
      <c r="AP331" s="172">
        <f t="shared" si="557"/>
        <v>0</v>
      </c>
      <c r="AQ331" s="172">
        <f t="shared" si="557"/>
        <v>0</v>
      </c>
      <c r="AR331" s="172">
        <f t="shared" si="557"/>
        <v>0</v>
      </c>
      <c r="AS331" s="172">
        <f t="shared" si="557"/>
        <v>0</v>
      </c>
      <c r="AT331" s="172">
        <f t="shared" si="557"/>
        <v>0</v>
      </c>
      <c r="AU331" s="172">
        <f t="shared" si="557"/>
        <v>0</v>
      </c>
      <c r="AV331" s="172">
        <f t="shared" si="557"/>
        <v>0</v>
      </c>
      <c r="AW331" s="172">
        <f>SUM(AW330:AW330)</f>
        <v>357</v>
      </c>
      <c r="AX331" s="172">
        <f t="shared" si="557"/>
        <v>0</v>
      </c>
      <c r="AY331" s="172">
        <f t="shared" si="557"/>
        <v>0</v>
      </c>
      <c r="AZ331" s="172">
        <f t="shared" si="557"/>
        <v>0</v>
      </c>
      <c r="BA331" s="164"/>
      <c r="BB331" s="172">
        <f t="shared" ref="BB331:CT331" si="558">SUM(BB330:BB330)</f>
        <v>0</v>
      </c>
      <c r="BC331" s="172">
        <f t="shared" si="558"/>
        <v>0</v>
      </c>
      <c r="BD331" s="172">
        <f t="shared" si="558"/>
        <v>0</v>
      </c>
      <c r="BE331" s="172">
        <f t="shared" si="558"/>
        <v>0</v>
      </c>
      <c r="BF331" s="172">
        <f t="shared" si="558"/>
        <v>0</v>
      </c>
      <c r="BG331" s="172">
        <f t="shared" si="558"/>
        <v>0</v>
      </c>
      <c r="BH331" s="172">
        <f t="shared" si="558"/>
        <v>0</v>
      </c>
      <c r="BI331" s="172">
        <f t="shared" si="558"/>
        <v>0</v>
      </c>
      <c r="BJ331" s="172">
        <f t="shared" si="558"/>
        <v>0</v>
      </c>
      <c r="BK331" s="172">
        <f t="shared" si="558"/>
        <v>0</v>
      </c>
      <c r="BL331" s="172">
        <f t="shared" si="558"/>
        <v>0</v>
      </c>
      <c r="BM331" s="172">
        <f t="shared" si="558"/>
        <v>0</v>
      </c>
      <c r="BN331" s="172">
        <f t="shared" si="558"/>
        <v>0</v>
      </c>
      <c r="BO331" s="172">
        <f t="shared" si="558"/>
        <v>0</v>
      </c>
      <c r="BP331" s="172">
        <f t="shared" si="558"/>
        <v>0</v>
      </c>
      <c r="BQ331" s="172">
        <f t="shared" si="558"/>
        <v>0</v>
      </c>
      <c r="BR331" s="172">
        <f t="shared" si="558"/>
        <v>0</v>
      </c>
      <c r="BS331" s="172">
        <f t="shared" si="558"/>
        <v>0</v>
      </c>
      <c r="BT331" s="172">
        <f t="shared" si="558"/>
        <v>0</v>
      </c>
      <c r="BU331" s="172">
        <f t="shared" si="558"/>
        <v>0</v>
      </c>
      <c r="BV331" s="172">
        <f t="shared" si="558"/>
        <v>0</v>
      </c>
      <c r="BW331" s="172">
        <f t="shared" si="558"/>
        <v>0</v>
      </c>
      <c r="BX331" s="172">
        <f t="shared" si="558"/>
        <v>0</v>
      </c>
      <c r="BY331" s="172">
        <f t="shared" si="558"/>
        <v>0</v>
      </c>
      <c r="BZ331" s="172">
        <f t="shared" si="558"/>
        <v>0</v>
      </c>
      <c r="CA331" s="172">
        <f t="shared" si="558"/>
        <v>0</v>
      </c>
      <c r="CB331" s="172">
        <f t="shared" si="558"/>
        <v>0</v>
      </c>
      <c r="CC331" s="172">
        <f t="shared" si="558"/>
        <v>0</v>
      </c>
      <c r="CD331" s="172">
        <f t="shared" si="558"/>
        <v>0</v>
      </c>
      <c r="CE331" s="172">
        <f t="shared" si="558"/>
        <v>0</v>
      </c>
      <c r="CF331" s="172">
        <f t="shared" si="558"/>
        <v>0</v>
      </c>
      <c r="CG331" s="172">
        <f t="shared" si="558"/>
        <v>0</v>
      </c>
      <c r="CH331" s="172">
        <f t="shared" si="558"/>
        <v>0</v>
      </c>
      <c r="CI331" s="172">
        <f t="shared" si="558"/>
        <v>0</v>
      </c>
      <c r="CJ331" s="172">
        <f t="shared" si="558"/>
        <v>0</v>
      </c>
      <c r="CK331" s="172">
        <f t="shared" si="558"/>
        <v>0</v>
      </c>
      <c r="CL331" s="172">
        <f t="shared" si="558"/>
        <v>0</v>
      </c>
      <c r="CM331" s="172">
        <f t="shared" si="558"/>
        <v>0</v>
      </c>
      <c r="CN331" s="172">
        <f t="shared" si="558"/>
        <v>0</v>
      </c>
      <c r="CO331" s="172">
        <f t="shared" si="558"/>
        <v>0</v>
      </c>
      <c r="CP331" s="172">
        <f t="shared" si="558"/>
        <v>0</v>
      </c>
      <c r="CQ331" s="172">
        <f t="shared" si="558"/>
        <v>0</v>
      </c>
      <c r="CR331" s="172">
        <f t="shared" si="558"/>
        <v>0</v>
      </c>
      <c r="CS331" s="172">
        <f t="shared" si="558"/>
        <v>0</v>
      </c>
      <c r="CT331" s="172">
        <f t="shared" si="558"/>
        <v>0</v>
      </c>
      <c r="CU331" s="17">
        <f t="shared" si="506"/>
        <v>350</v>
      </c>
      <c r="CV331" s="25">
        <f t="shared" si="507"/>
        <v>0</v>
      </c>
      <c r="CW331" s="176"/>
      <c r="CX331" s="164"/>
      <c r="CY331" s="164"/>
    </row>
    <row r="332" spans="1:103" x14ac:dyDescent="0.2">
      <c r="A332" s="2">
        <v>45892</v>
      </c>
      <c r="B332" s="3" t="s">
        <v>745</v>
      </c>
      <c r="C332" s="4" t="s">
        <v>735</v>
      </c>
      <c r="D332" s="5" t="s">
        <v>210</v>
      </c>
      <c r="E332" s="6"/>
      <c r="F332" s="7"/>
      <c r="G332" s="8"/>
      <c r="H332" s="9"/>
      <c r="I332" s="10"/>
      <c r="J332" s="11" t="s">
        <v>681</v>
      </c>
      <c r="K332" s="12">
        <v>1</v>
      </c>
      <c r="L332" s="13">
        <v>1002</v>
      </c>
      <c r="M332" s="14">
        <f t="shared" ref="M332:M333" si="559">L332*K332</f>
        <v>1002</v>
      </c>
      <c r="N332" s="15"/>
      <c r="O332" s="16" t="s">
        <v>137</v>
      </c>
      <c r="P332" s="17"/>
      <c r="Q332" s="18"/>
      <c r="R332" s="5"/>
      <c r="S332" s="19"/>
      <c r="T332" s="19"/>
      <c r="U332" s="19"/>
      <c r="V332" s="19"/>
      <c r="W332" s="17"/>
      <c r="X332" s="20"/>
      <c r="Y332" s="19"/>
      <c r="Z332" s="19"/>
      <c r="AA332" s="19"/>
      <c r="AB332" s="19"/>
      <c r="AC332" s="19"/>
      <c r="AD332" s="19"/>
      <c r="AE332" s="5"/>
      <c r="AF332" s="19"/>
      <c r="AG332" s="5"/>
      <c r="AH332" s="17"/>
      <c r="AI332" s="19"/>
      <c r="AJ332" s="19"/>
      <c r="AK332" s="19"/>
      <c r="AL332" s="19"/>
      <c r="AM332" s="17"/>
      <c r="AN332" s="19"/>
      <c r="AO332" s="19"/>
      <c r="AP332" s="19"/>
      <c r="AQ332" s="19"/>
      <c r="AR332" s="19"/>
      <c r="AS332" s="21"/>
      <c r="AT332" s="5"/>
      <c r="AU332" s="5"/>
      <c r="AV332" s="5"/>
      <c r="AW332" s="22"/>
      <c r="AX332" s="19"/>
      <c r="AY332" s="5"/>
      <c r="AZ332" s="19"/>
      <c r="BA332" s="5"/>
      <c r="BB332" s="5"/>
      <c r="BC332" s="19"/>
      <c r="BD332" s="19"/>
      <c r="BE332" s="19"/>
      <c r="BF332" s="19"/>
      <c r="BG332" s="19"/>
      <c r="BH332" s="19"/>
      <c r="BI332" s="17">
        <f>M332+P332-Q332</f>
        <v>1002</v>
      </c>
      <c r="BJ332" s="19"/>
      <c r="BK332" s="13"/>
      <c r="BL332" s="5"/>
      <c r="BM332" s="5"/>
      <c r="BN332" s="19"/>
      <c r="BO332" s="17"/>
      <c r="BP332" s="19"/>
      <c r="BQ332" s="17"/>
      <c r="BR332" s="19"/>
      <c r="BS332" s="13"/>
      <c r="BT332" s="5"/>
      <c r="BU332" s="23"/>
      <c r="BV332" s="23"/>
      <c r="BW332" s="24"/>
      <c r="BX332" s="5"/>
      <c r="BY332" s="5"/>
      <c r="BZ332" s="5"/>
      <c r="CA332" s="24"/>
      <c r="CB332" s="24"/>
      <c r="CC332" s="24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>
        <f t="shared" si="506"/>
        <v>1002</v>
      </c>
      <c r="CV332" s="25">
        <f t="shared" si="507"/>
        <v>0</v>
      </c>
      <c r="CW332" s="26"/>
      <c r="CX332" s="5"/>
      <c r="CY332" s="5"/>
    </row>
    <row r="333" spans="1:103" x14ac:dyDescent="0.2">
      <c r="A333" s="2">
        <v>45892</v>
      </c>
      <c r="B333" s="3"/>
      <c r="C333" s="4"/>
      <c r="D333" s="5"/>
      <c r="E333" s="6"/>
      <c r="F333" s="7"/>
      <c r="G333" s="8"/>
      <c r="H333" s="9"/>
      <c r="I333" s="10"/>
      <c r="J333" s="11" t="s">
        <v>682</v>
      </c>
      <c r="K333" s="12">
        <v>1</v>
      </c>
      <c r="L333" s="13">
        <v>2004</v>
      </c>
      <c r="M333" s="14">
        <f t="shared" si="559"/>
        <v>2004</v>
      </c>
      <c r="N333" s="15"/>
      <c r="O333" s="16" t="s">
        <v>137</v>
      </c>
      <c r="P333" s="17"/>
      <c r="Q333" s="18"/>
      <c r="R333" s="5"/>
      <c r="S333" s="19"/>
      <c r="T333" s="19"/>
      <c r="U333" s="19"/>
      <c r="V333" s="19"/>
      <c r="W333" s="17"/>
      <c r="X333" s="20"/>
      <c r="Y333" s="19"/>
      <c r="Z333" s="19"/>
      <c r="AA333" s="19"/>
      <c r="AB333" s="19"/>
      <c r="AC333" s="19"/>
      <c r="AD333" s="19"/>
      <c r="AE333" s="5"/>
      <c r="AF333" s="19"/>
      <c r="AG333" s="5"/>
      <c r="AH333" s="17"/>
      <c r="AI333" s="19"/>
      <c r="AJ333" s="19"/>
      <c r="AK333" s="19"/>
      <c r="AL333" s="19"/>
      <c r="AM333" s="17"/>
      <c r="AN333" s="19"/>
      <c r="AO333" s="19"/>
      <c r="AP333" s="19"/>
      <c r="AQ333" s="19"/>
      <c r="AR333" s="19"/>
      <c r="AS333" s="21"/>
      <c r="AT333" s="5"/>
      <c r="AU333" s="5"/>
      <c r="AV333" s="5"/>
      <c r="AW333" s="22"/>
      <c r="AX333" s="19"/>
      <c r="AY333" s="5"/>
      <c r="AZ333" s="19"/>
      <c r="BA333" s="5"/>
      <c r="BB333" s="5"/>
      <c r="BC333" s="19"/>
      <c r="BD333" s="19"/>
      <c r="BE333" s="19"/>
      <c r="BF333" s="19"/>
      <c r="BG333" s="19"/>
      <c r="BH333" s="19"/>
      <c r="BI333" s="17">
        <f>M333+P333-Q333</f>
        <v>2004</v>
      </c>
      <c r="BJ333" s="19"/>
      <c r="BK333" s="13"/>
      <c r="BL333" s="5"/>
      <c r="BM333" s="5"/>
      <c r="BN333" s="19"/>
      <c r="BO333" s="17"/>
      <c r="BP333" s="19"/>
      <c r="BQ333" s="17"/>
      <c r="BR333" s="19"/>
      <c r="BS333" s="13"/>
      <c r="BT333" s="5"/>
      <c r="BU333" s="23"/>
      <c r="BV333" s="23"/>
      <c r="BW333" s="24"/>
      <c r="BX333" s="5"/>
      <c r="BY333" s="5"/>
      <c r="BZ333" s="5"/>
      <c r="CA333" s="24"/>
      <c r="CB333" s="24"/>
      <c r="CC333" s="24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>
        <f t="shared" si="506"/>
        <v>2004</v>
      </c>
      <c r="CV333" s="25">
        <f t="shared" si="507"/>
        <v>0</v>
      </c>
      <c r="CW333" s="26"/>
      <c r="CX333" s="5"/>
      <c r="CY333" s="5"/>
    </row>
    <row r="334" spans="1:103" x14ac:dyDescent="0.2">
      <c r="A334" s="161"/>
      <c r="B334" s="162"/>
      <c r="C334" s="163"/>
      <c r="D334" s="164"/>
      <c r="E334" s="165"/>
      <c r="F334" s="166"/>
      <c r="G334" s="167"/>
      <c r="H334" s="168"/>
      <c r="I334" s="168"/>
      <c r="J334" s="169"/>
      <c r="K334" s="170"/>
      <c r="L334" s="171"/>
      <c r="M334" s="172">
        <f>SUM(M332:M333)</f>
        <v>3006</v>
      </c>
      <c r="N334" s="172">
        <f>M334</f>
        <v>3006</v>
      </c>
      <c r="O334" s="173" t="s">
        <v>137</v>
      </c>
      <c r="P334" s="172"/>
      <c r="Q334" s="172"/>
      <c r="R334" s="164"/>
      <c r="S334" s="172">
        <f t="shared" ref="S334:AD334" si="560">SUM(S332:S332)</f>
        <v>0</v>
      </c>
      <c r="T334" s="172">
        <f t="shared" si="560"/>
        <v>0</v>
      </c>
      <c r="U334" s="172">
        <f t="shared" si="560"/>
        <v>0</v>
      </c>
      <c r="V334" s="172">
        <f t="shared" si="560"/>
        <v>0</v>
      </c>
      <c r="W334" s="172">
        <f t="shared" si="560"/>
        <v>0</v>
      </c>
      <c r="X334" s="172">
        <f t="shared" si="560"/>
        <v>0</v>
      </c>
      <c r="Y334" s="172">
        <f t="shared" si="560"/>
        <v>0</v>
      </c>
      <c r="Z334" s="172">
        <f t="shared" si="560"/>
        <v>0</v>
      </c>
      <c r="AA334" s="172">
        <f t="shared" si="560"/>
        <v>0</v>
      </c>
      <c r="AB334" s="172">
        <f t="shared" si="560"/>
        <v>0</v>
      </c>
      <c r="AC334" s="172">
        <f t="shared" si="560"/>
        <v>0</v>
      </c>
      <c r="AD334" s="172">
        <f t="shared" si="560"/>
        <v>0</v>
      </c>
      <c r="AE334" s="164"/>
      <c r="AF334" s="172">
        <f>SUM(AF332:AF332)</f>
        <v>0</v>
      </c>
      <c r="AG334" s="164"/>
      <c r="AH334" s="172">
        <f t="shared" ref="AH334:AT334" si="561">SUM(AH332:AH332)</f>
        <v>0</v>
      </c>
      <c r="AI334" s="172">
        <f t="shared" si="561"/>
        <v>0</v>
      </c>
      <c r="AJ334" s="172">
        <f t="shared" si="561"/>
        <v>0</v>
      </c>
      <c r="AK334" s="172">
        <f t="shared" si="561"/>
        <v>0</v>
      </c>
      <c r="AL334" s="172">
        <f t="shared" si="561"/>
        <v>0</v>
      </c>
      <c r="AM334" s="172">
        <f t="shared" si="561"/>
        <v>0</v>
      </c>
      <c r="AN334" s="172">
        <f t="shared" si="561"/>
        <v>0</v>
      </c>
      <c r="AO334" s="172">
        <f t="shared" si="561"/>
        <v>0</v>
      </c>
      <c r="AP334" s="172">
        <f t="shared" si="561"/>
        <v>0</v>
      </c>
      <c r="AQ334" s="172">
        <f t="shared" si="561"/>
        <v>0</v>
      </c>
      <c r="AR334" s="172">
        <f t="shared" si="561"/>
        <v>0</v>
      </c>
      <c r="AS334" s="172">
        <f t="shared" si="561"/>
        <v>0</v>
      </c>
      <c r="AT334" s="172">
        <f t="shared" si="561"/>
        <v>0</v>
      </c>
      <c r="AU334" s="164"/>
      <c r="AV334" s="172">
        <f>SUM(AV332:AV332)</f>
        <v>0</v>
      </c>
      <c r="AW334" s="172">
        <f>SUM(AW332:AW332)</f>
        <v>0</v>
      </c>
      <c r="AX334" s="172">
        <f>SUM(AX332:AX332)</f>
        <v>0</v>
      </c>
      <c r="AY334" s="172">
        <f>SUM(AY332:AY332)</f>
        <v>0</v>
      </c>
      <c r="AZ334" s="172">
        <f>SUM(AZ332:AZ332)</f>
        <v>0</v>
      </c>
      <c r="BA334" s="164"/>
      <c r="BB334" s="172">
        <f t="shared" ref="BB334:BH334" si="562">SUM(BB332:BB332)</f>
        <v>0</v>
      </c>
      <c r="BC334" s="172">
        <f t="shared" si="562"/>
        <v>0</v>
      </c>
      <c r="BD334" s="172">
        <f t="shared" si="562"/>
        <v>0</v>
      </c>
      <c r="BE334" s="172">
        <f t="shared" si="562"/>
        <v>0</v>
      </c>
      <c r="BF334" s="172">
        <f t="shared" si="562"/>
        <v>0</v>
      </c>
      <c r="BG334" s="172">
        <f t="shared" si="562"/>
        <v>0</v>
      </c>
      <c r="BH334" s="172">
        <f t="shared" si="562"/>
        <v>0</v>
      </c>
      <c r="BI334" s="172">
        <f>SUM(BI332:BI333)</f>
        <v>3006</v>
      </c>
      <c r="BJ334" s="172">
        <f t="shared" ref="BJ334:CT334" si="563">SUM(BJ332:BJ332)</f>
        <v>0</v>
      </c>
      <c r="BK334" s="172">
        <f t="shared" si="563"/>
        <v>0</v>
      </c>
      <c r="BL334" s="172">
        <f t="shared" si="563"/>
        <v>0</v>
      </c>
      <c r="BM334" s="172">
        <f t="shared" si="563"/>
        <v>0</v>
      </c>
      <c r="BN334" s="172">
        <f t="shared" si="563"/>
        <v>0</v>
      </c>
      <c r="BO334" s="172">
        <f t="shared" si="563"/>
        <v>0</v>
      </c>
      <c r="BP334" s="172">
        <f t="shared" si="563"/>
        <v>0</v>
      </c>
      <c r="BQ334" s="172">
        <f t="shared" si="563"/>
        <v>0</v>
      </c>
      <c r="BR334" s="172">
        <f t="shared" si="563"/>
        <v>0</v>
      </c>
      <c r="BS334" s="172">
        <f t="shared" si="563"/>
        <v>0</v>
      </c>
      <c r="BT334" s="172">
        <f t="shared" si="563"/>
        <v>0</v>
      </c>
      <c r="BU334" s="172">
        <f t="shared" si="563"/>
        <v>0</v>
      </c>
      <c r="BV334" s="172">
        <f t="shared" si="563"/>
        <v>0</v>
      </c>
      <c r="BW334" s="172">
        <f t="shared" si="563"/>
        <v>0</v>
      </c>
      <c r="BX334" s="172">
        <f t="shared" si="563"/>
        <v>0</v>
      </c>
      <c r="BY334" s="172">
        <f t="shared" si="563"/>
        <v>0</v>
      </c>
      <c r="BZ334" s="172">
        <f t="shared" si="563"/>
        <v>0</v>
      </c>
      <c r="CA334" s="172">
        <f t="shared" si="563"/>
        <v>0</v>
      </c>
      <c r="CB334" s="172">
        <f t="shared" si="563"/>
        <v>0</v>
      </c>
      <c r="CC334" s="172">
        <f t="shared" si="563"/>
        <v>0</v>
      </c>
      <c r="CD334" s="172">
        <f t="shared" si="563"/>
        <v>0</v>
      </c>
      <c r="CE334" s="172">
        <f t="shared" si="563"/>
        <v>0</v>
      </c>
      <c r="CF334" s="172">
        <f t="shared" si="563"/>
        <v>0</v>
      </c>
      <c r="CG334" s="172">
        <f t="shared" si="563"/>
        <v>0</v>
      </c>
      <c r="CH334" s="172">
        <f t="shared" si="563"/>
        <v>0</v>
      </c>
      <c r="CI334" s="172">
        <f t="shared" si="563"/>
        <v>0</v>
      </c>
      <c r="CJ334" s="172">
        <f t="shared" si="563"/>
        <v>0</v>
      </c>
      <c r="CK334" s="172">
        <f t="shared" si="563"/>
        <v>0</v>
      </c>
      <c r="CL334" s="172">
        <f t="shared" si="563"/>
        <v>0</v>
      </c>
      <c r="CM334" s="172">
        <f t="shared" si="563"/>
        <v>0</v>
      </c>
      <c r="CN334" s="172">
        <f t="shared" si="563"/>
        <v>0</v>
      </c>
      <c r="CO334" s="172">
        <f t="shared" si="563"/>
        <v>0</v>
      </c>
      <c r="CP334" s="172">
        <f t="shared" si="563"/>
        <v>0</v>
      </c>
      <c r="CQ334" s="172">
        <f t="shared" si="563"/>
        <v>0</v>
      </c>
      <c r="CR334" s="172">
        <f t="shared" si="563"/>
        <v>0</v>
      </c>
      <c r="CS334" s="172">
        <f t="shared" si="563"/>
        <v>0</v>
      </c>
      <c r="CT334" s="172">
        <f t="shared" si="563"/>
        <v>0</v>
      </c>
      <c r="CU334" s="17">
        <f t="shared" si="506"/>
        <v>3006</v>
      </c>
      <c r="CV334" s="25">
        <f t="shared" si="507"/>
        <v>0</v>
      </c>
      <c r="CW334" s="176"/>
      <c r="CX334" s="164"/>
      <c r="CY334" s="164"/>
    </row>
    <row r="335" spans="1:103" x14ac:dyDescent="0.2">
      <c r="A335" s="2">
        <v>45899</v>
      </c>
      <c r="B335" s="3" t="s">
        <v>746</v>
      </c>
      <c r="C335" s="4" t="s">
        <v>736</v>
      </c>
      <c r="D335" s="5" t="s">
        <v>210</v>
      </c>
      <c r="E335" s="6"/>
      <c r="F335" s="7"/>
      <c r="G335" s="8"/>
      <c r="H335" s="9"/>
      <c r="I335" s="10"/>
      <c r="J335" s="11" t="s">
        <v>685</v>
      </c>
      <c r="K335" s="12">
        <v>1</v>
      </c>
      <c r="L335" s="13">
        <v>3006</v>
      </c>
      <c r="M335" s="14">
        <f t="shared" ref="M335" si="564">L335*K335</f>
        <v>3006</v>
      </c>
      <c r="N335" s="15"/>
      <c r="O335" s="16" t="s">
        <v>137</v>
      </c>
      <c r="P335" s="17"/>
      <c r="Q335" s="18"/>
      <c r="R335" s="5"/>
      <c r="S335" s="19"/>
      <c r="T335" s="19"/>
      <c r="U335" s="19"/>
      <c r="V335" s="19"/>
      <c r="W335" s="17"/>
      <c r="X335" s="20"/>
      <c r="Y335" s="19"/>
      <c r="Z335" s="19"/>
      <c r="AA335" s="19"/>
      <c r="AB335" s="19"/>
      <c r="AC335" s="19"/>
      <c r="AD335" s="19"/>
      <c r="AE335" s="5"/>
      <c r="AF335" s="19"/>
      <c r="AG335" s="5"/>
      <c r="AH335" s="17"/>
      <c r="AI335" s="19"/>
      <c r="AJ335" s="19"/>
      <c r="AK335" s="19"/>
      <c r="AL335" s="19"/>
      <c r="AM335" s="17"/>
      <c r="AN335" s="19"/>
      <c r="AO335" s="19"/>
      <c r="AP335" s="19"/>
      <c r="AQ335" s="19"/>
      <c r="AR335" s="19"/>
      <c r="AS335" s="21"/>
      <c r="AT335" s="5"/>
      <c r="AU335" s="19"/>
      <c r="AV335" s="5"/>
      <c r="AW335" s="22"/>
      <c r="AX335" s="19"/>
      <c r="AY335" s="5"/>
      <c r="AZ335" s="19"/>
      <c r="BA335" s="5"/>
      <c r="BB335" s="5"/>
      <c r="BC335" s="19"/>
      <c r="BD335" s="19"/>
      <c r="BE335" s="19"/>
      <c r="BF335" s="19"/>
      <c r="BG335" s="19"/>
      <c r="BH335" s="19"/>
      <c r="BI335" s="17">
        <f>M335+P335-Q335</f>
        <v>3006</v>
      </c>
      <c r="BJ335" s="19"/>
      <c r="BK335" s="13"/>
      <c r="BL335" s="5"/>
      <c r="BM335" s="5"/>
      <c r="BN335" s="19"/>
      <c r="BO335" s="17"/>
      <c r="BP335" s="19"/>
      <c r="BQ335" s="17"/>
      <c r="BR335" s="19"/>
      <c r="BS335" s="13"/>
      <c r="BT335" s="5"/>
      <c r="BU335" s="23"/>
      <c r="BV335" s="23"/>
      <c r="BW335" s="24"/>
      <c r="BX335" s="5"/>
      <c r="BY335" s="5"/>
      <c r="BZ335" s="5"/>
      <c r="CA335" s="24"/>
      <c r="CB335" s="24"/>
      <c r="CC335" s="24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>
        <f t="shared" si="506"/>
        <v>3006</v>
      </c>
      <c r="CV335" s="25">
        <f t="shared" si="507"/>
        <v>0</v>
      </c>
      <c r="CW335" s="26"/>
      <c r="CX335" s="5"/>
      <c r="CY335" s="5"/>
    </row>
    <row r="336" spans="1:103" x14ac:dyDescent="0.2">
      <c r="A336" s="161"/>
      <c r="B336" s="162"/>
      <c r="C336" s="163"/>
      <c r="D336" s="164"/>
      <c r="E336" s="165"/>
      <c r="F336" s="166"/>
      <c r="G336" s="167"/>
      <c r="H336" s="168"/>
      <c r="I336" s="168"/>
      <c r="J336" s="169"/>
      <c r="K336" s="170"/>
      <c r="L336" s="171"/>
      <c r="M336" s="172">
        <f>SUM(M335:M335)</f>
        <v>3006</v>
      </c>
      <c r="N336" s="172">
        <f>M336</f>
        <v>3006</v>
      </c>
      <c r="O336" s="173" t="s">
        <v>137</v>
      </c>
      <c r="P336" s="172"/>
      <c r="Q336" s="172"/>
      <c r="R336" s="164"/>
      <c r="S336" s="172">
        <f t="shared" ref="S336:AD336" si="565">SUM(S335:S335)</f>
        <v>0</v>
      </c>
      <c r="T336" s="172">
        <f t="shared" si="565"/>
        <v>0</v>
      </c>
      <c r="U336" s="172">
        <f t="shared" si="565"/>
        <v>0</v>
      </c>
      <c r="V336" s="172">
        <f t="shared" si="565"/>
        <v>0</v>
      </c>
      <c r="W336" s="172">
        <f t="shared" si="565"/>
        <v>0</v>
      </c>
      <c r="X336" s="172">
        <f t="shared" si="565"/>
        <v>0</v>
      </c>
      <c r="Y336" s="172">
        <f t="shared" si="565"/>
        <v>0</v>
      </c>
      <c r="Z336" s="172">
        <f t="shared" si="565"/>
        <v>0</v>
      </c>
      <c r="AA336" s="172">
        <f t="shared" si="565"/>
        <v>0</v>
      </c>
      <c r="AB336" s="172">
        <f t="shared" si="565"/>
        <v>0</v>
      </c>
      <c r="AC336" s="172">
        <f t="shared" si="565"/>
        <v>0</v>
      </c>
      <c r="AD336" s="172">
        <f t="shared" si="565"/>
        <v>0</v>
      </c>
      <c r="AE336" s="164"/>
      <c r="AF336" s="172">
        <f>SUM(AF335:AF335)</f>
        <v>0</v>
      </c>
      <c r="AG336" s="164"/>
      <c r="AH336" s="172">
        <f t="shared" ref="AH336:AZ336" si="566">SUM(AH335:AH335)</f>
        <v>0</v>
      </c>
      <c r="AI336" s="172">
        <f t="shared" si="566"/>
        <v>0</v>
      </c>
      <c r="AJ336" s="172">
        <f t="shared" si="566"/>
        <v>0</v>
      </c>
      <c r="AK336" s="172">
        <f t="shared" si="566"/>
        <v>0</v>
      </c>
      <c r="AL336" s="172">
        <f t="shared" si="566"/>
        <v>0</v>
      </c>
      <c r="AM336" s="172">
        <f t="shared" si="566"/>
        <v>0</v>
      </c>
      <c r="AN336" s="172">
        <f t="shared" si="566"/>
        <v>0</v>
      </c>
      <c r="AO336" s="172">
        <f t="shared" si="566"/>
        <v>0</v>
      </c>
      <c r="AP336" s="172">
        <f t="shared" si="566"/>
        <v>0</v>
      </c>
      <c r="AQ336" s="172">
        <f t="shared" si="566"/>
        <v>0</v>
      </c>
      <c r="AR336" s="172">
        <f t="shared" si="566"/>
        <v>0</v>
      </c>
      <c r="AS336" s="172">
        <f t="shared" si="566"/>
        <v>0</v>
      </c>
      <c r="AT336" s="172">
        <f t="shared" si="566"/>
        <v>0</v>
      </c>
      <c r="AU336" s="172">
        <f t="shared" si="566"/>
        <v>0</v>
      </c>
      <c r="AV336" s="172">
        <f t="shared" si="566"/>
        <v>0</v>
      </c>
      <c r="AW336" s="172">
        <f t="shared" si="566"/>
        <v>0</v>
      </c>
      <c r="AX336" s="172">
        <f t="shared" si="566"/>
        <v>0</v>
      </c>
      <c r="AY336" s="172">
        <f t="shared" si="566"/>
        <v>0</v>
      </c>
      <c r="AZ336" s="172">
        <f t="shared" si="566"/>
        <v>0</v>
      </c>
      <c r="BA336" s="164"/>
      <c r="BB336" s="172">
        <f t="shared" ref="BB336:CT336" si="567">SUM(BB335:BB335)</f>
        <v>0</v>
      </c>
      <c r="BC336" s="172">
        <f t="shared" si="567"/>
        <v>0</v>
      </c>
      <c r="BD336" s="172">
        <f t="shared" si="567"/>
        <v>0</v>
      </c>
      <c r="BE336" s="172">
        <f t="shared" si="567"/>
        <v>0</v>
      </c>
      <c r="BF336" s="172">
        <f t="shared" si="567"/>
        <v>0</v>
      </c>
      <c r="BG336" s="172">
        <f t="shared" si="567"/>
        <v>0</v>
      </c>
      <c r="BH336" s="172">
        <f t="shared" si="567"/>
        <v>0</v>
      </c>
      <c r="BI336" s="172">
        <f>SUM(BI335:BI335)</f>
        <v>3006</v>
      </c>
      <c r="BJ336" s="172">
        <f t="shared" si="567"/>
        <v>0</v>
      </c>
      <c r="BK336" s="172">
        <f t="shared" si="567"/>
        <v>0</v>
      </c>
      <c r="BL336" s="172">
        <f t="shared" si="567"/>
        <v>0</v>
      </c>
      <c r="BM336" s="172">
        <f t="shared" si="567"/>
        <v>0</v>
      </c>
      <c r="BN336" s="172">
        <f t="shared" si="567"/>
        <v>0</v>
      </c>
      <c r="BO336" s="172">
        <f t="shared" si="567"/>
        <v>0</v>
      </c>
      <c r="BP336" s="172">
        <f t="shared" si="567"/>
        <v>0</v>
      </c>
      <c r="BQ336" s="172">
        <f t="shared" si="567"/>
        <v>0</v>
      </c>
      <c r="BR336" s="172">
        <f t="shared" si="567"/>
        <v>0</v>
      </c>
      <c r="BS336" s="172">
        <f t="shared" si="567"/>
        <v>0</v>
      </c>
      <c r="BT336" s="172">
        <f t="shared" si="567"/>
        <v>0</v>
      </c>
      <c r="BU336" s="172">
        <f t="shared" si="567"/>
        <v>0</v>
      </c>
      <c r="BV336" s="172">
        <f t="shared" si="567"/>
        <v>0</v>
      </c>
      <c r="BW336" s="172">
        <f t="shared" si="567"/>
        <v>0</v>
      </c>
      <c r="BX336" s="172">
        <f t="shared" si="567"/>
        <v>0</v>
      </c>
      <c r="BY336" s="172">
        <f t="shared" si="567"/>
        <v>0</v>
      </c>
      <c r="BZ336" s="172">
        <f t="shared" si="567"/>
        <v>0</v>
      </c>
      <c r="CA336" s="172">
        <f t="shared" si="567"/>
        <v>0</v>
      </c>
      <c r="CB336" s="172">
        <f t="shared" si="567"/>
        <v>0</v>
      </c>
      <c r="CC336" s="172">
        <f t="shared" si="567"/>
        <v>0</v>
      </c>
      <c r="CD336" s="172">
        <f t="shared" si="567"/>
        <v>0</v>
      </c>
      <c r="CE336" s="172">
        <f t="shared" si="567"/>
        <v>0</v>
      </c>
      <c r="CF336" s="172">
        <f t="shared" si="567"/>
        <v>0</v>
      </c>
      <c r="CG336" s="172">
        <f t="shared" si="567"/>
        <v>0</v>
      </c>
      <c r="CH336" s="172">
        <f t="shared" si="567"/>
        <v>0</v>
      </c>
      <c r="CI336" s="172">
        <f t="shared" si="567"/>
        <v>0</v>
      </c>
      <c r="CJ336" s="172">
        <f t="shared" si="567"/>
        <v>0</v>
      </c>
      <c r="CK336" s="172">
        <f t="shared" si="567"/>
        <v>0</v>
      </c>
      <c r="CL336" s="172">
        <f t="shared" si="567"/>
        <v>0</v>
      </c>
      <c r="CM336" s="172">
        <f t="shared" si="567"/>
        <v>0</v>
      </c>
      <c r="CN336" s="172">
        <f t="shared" si="567"/>
        <v>0</v>
      </c>
      <c r="CO336" s="172">
        <f t="shared" si="567"/>
        <v>0</v>
      </c>
      <c r="CP336" s="172">
        <f t="shared" si="567"/>
        <v>0</v>
      </c>
      <c r="CQ336" s="172">
        <f t="shared" si="567"/>
        <v>0</v>
      </c>
      <c r="CR336" s="172">
        <f t="shared" si="567"/>
        <v>0</v>
      </c>
      <c r="CS336" s="172">
        <f t="shared" si="567"/>
        <v>0</v>
      </c>
      <c r="CT336" s="172">
        <f t="shared" si="567"/>
        <v>0</v>
      </c>
      <c r="CU336" s="17">
        <f t="shared" si="506"/>
        <v>3006</v>
      </c>
      <c r="CV336" s="25">
        <f t="shared" si="507"/>
        <v>0</v>
      </c>
      <c r="CW336" s="176"/>
      <c r="CX336" s="164"/>
      <c r="CY336" s="164"/>
    </row>
    <row r="337" spans="1:103" ht="21" x14ac:dyDescent="0.35">
      <c r="A337" s="184"/>
      <c r="B337" s="184"/>
      <c r="C337" s="184"/>
      <c r="D337" s="184"/>
      <c r="E337" s="184"/>
      <c r="F337" s="184"/>
      <c r="G337" s="184"/>
      <c r="H337" s="184"/>
      <c r="I337" s="184"/>
      <c r="J337" s="184"/>
      <c r="K337" s="184"/>
      <c r="L337" s="184"/>
      <c r="M337" s="184"/>
      <c r="N337" s="180">
        <f>N336+N334+N331+N329+N327+N319+N317+N311+N303+N301+N299+N288+N284+N278+N274+N264+N262+N260+N258+N256+N254+N250+N241</f>
        <v>33036.22</v>
      </c>
      <c r="O337" s="184"/>
      <c r="P337" s="185">
        <f>P336+P334+P331+P329+P327+P325+P323+P319+P317+P315+P313+P311+P309+P307+P305+P303+P301+P299+P297+P292+P288+P286+P284+P282+P280+P278+P274+P272+P270+P268+P266+P264+P262+P260+P258+P256+P254+P250+P248+P246+P241</f>
        <v>341.81786428571428</v>
      </c>
      <c r="Q337" s="185">
        <f t="shared" ref="Q337:CB337" si="568">Q336+Q334+Q331+Q329+Q327+Q325+Q323+Q319+Q317+Q315+Q313+Q311+Q309+Q307+Q305+Q303+Q301+Q299+Q297+Q292+Q288+Q286+Q284+Q282+Q280+Q278+Q274+Q272+Q270+Q268+Q266+Q264+Q262+Q260+Q258+Q256+Q254+Q250+Q248+Q246+Q241</f>
        <v>1075.3800000000001</v>
      </c>
      <c r="R337" s="185">
        <f t="shared" si="568"/>
        <v>11004.007417857143</v>
      </c>
      <c r="S337" s="185">
        <f t="shared" si="568"/>
        <v>0</v>
      </c>
      <c r="T337" s="185">
        <f t="shared" si="568"/>
        <v>0</v>
      </c>
      <c r="U337" s="185">
        <f t="shared" si="568"/>
        <v>0</v>
      </c>
      <c r="V337" s="185">
        <f t="shared" si="568"/>
        <v>0</v>
      </c>
      <c r="W337" s="185">
        <f t="shared" si="568"/>
        <v>0</v>
      </c>
      <c r="X337" s="185">
        <f t="shared" si="568"/>
        <v>0</v>
      </c>
      <c r="Y337" s="185">
        <f t="shared" si="568"/>
        <v>0</v>
      </c>
      <c r="Z337" s="185">
        <f t="shared" si="568"/>
        <v>0</v>
      </c>
      <c r="AA337" s="185">
        <f t="shared" si="568"/>
        <v>0</v>
      </c>
      <c r="AB337" s="185">
        <f t="shared" si="568"/>
        <v>0</v>
      </c>
      <c r="AC337" s="185">
        <f t="shared" si="568"/>
        <v>0</v>
      </c>
      <c r="AD337" s="185">
        <f t="shared" si="568"/>
        <v>0</v>
      </c>
      <c r="AE337" s="185">
        <f t="shared" si="568"/>
        <v>0</v>
      </c>
      <c r="AF337" s="185">
        <f t="shared" si="568"/>
        <v>0</v>
      </c>
      <c r="AG337" s="185">
        <f t="shared" si="568"/>
        <v>0</v>
      </c>
      <c r="AH337" s="185">
        <f t="shared" si="568"/>
        <v>0</v>
      </c>
      <c r="AI337" s="185">
        <f t="shared" si="568"/>
        <v>0</v>
      </c>
      <c r="AJ337" s="185">
        <f t="shared" si="568"/>
        <v>0</v>
      </c>
      <c r="AK337" s="185">
        <f t="shared" si="568"/>
        <v>0</v>
      </c>
      <c r="AL337" s="185">
        <f t="shared" si="568"/>
        <v>0</v>
      </c>
      <c r="AM337" s="185">
        <f t="shared" si="568"/>
        <v>0</v>
      </c>
      <c r="AN337" s="185">
        <f t="shared" si="568"/>
        <v>0</v>
      </c>
      <c r="AO337" s="185">
        <f t="shared" si="568"/>
        <v>0</v>
      </c>
      <c r="AP337" s="185">
        <f t="shared" si="568"/>
        <v>0</v>
      </c>
      <c r="AQ337" s="185">
        <f t="shared" si="568"/>
        <v>0</v>
      </c>
      <c r="AR337" s="185">
        <f t="shared" si="568"/>
        <v>0</v>
      </c>
      <c r="AS337" s="185">
        <f t="shared" si="568"/>
        <v>0</v>
      </c>
      <c r="AT337" s="185">
        <f t="shared" si="568"/>
        <v>0</v>
      </c>
      <c r="AU337" s="185">
        <f t="shared" si="568"/>
        <v>973.92857142857144</v>
      </c>
      <c r="AV337" s="185">
        <f t="shared" si="568"/>
        <v>0</v>
      </c>
      <c r="AW337" s="185">
        <f t="shared" si="568"/>
        <v>3249.96</v>
      </c>
      <c r="AX337" s="185">
        <f t="shared" si="568"/>
        <v>0</v>
      </c>
      <c r="AY337" s="185">
        <f t="shared" si="568"/>
        <v>0</v>
      </c>
      <c r="AZ337" s="185">
        <f t="shared" si="568"/>
        <v>0</v>
      </c>
      <c r="BA337" s="185">
        <f t="shared" si="568"/>
        <v>0</v>
      </c>
      <c r="BB337" s="185">
        <f t="shared" si="568"/>
        <v>1078.3065178571428</v>
      </c>
      <c r="BC337" s="185">
        <f t="shared" si="568"/>
        <v>105</v>
      </c>
      <c r="BD337" s="185">
        <f t="shared" si="568"/>
        <v>0</v>
      </c>
      <c r="BE337" s="185">
        <f t="shared" si="568"/>
        <v>0</v>
      </c>
      <c r="BF337" s="185">
        <f t="shared" si="568"/>
        <v>0</v>
      </c>
      <c r="BG337" s="185">
        <f t="shared" si="568"/>
        <v>0</v>
      </c>
      <c r="BH337" s="185">
        <f t="shared" si="568"/>
        <v>0</v>
      </c>
      <c r="BI337" s="185">
        <f t="shared" si="568"/>
        <v>6012</v>
      </c>
      <c r="BJ337" s="185">
        <f t="shared" si="568"/>
        <v>0</v>
      </c>
      <c r="BK337" s="185">
        <f t="shared" si="568"/>
        <v>0</v>
      </c>
      <c r="BL337" s="185">
        <f t="shared" si="568"/>
        <v>0</v>
      </c>
      <c r="BM337" s="185">
        <f t="shared" si="568"/>
        <v>0</v>
      </c>
      <c r="BN337" s="185">
        <f t="shared" si="568"/>
        <v>0</v>
      </c>
      <c r="BO337" s="185">
        <f t="shared" si="568"/>
        <v>974.53571428571433</v>
      </c>
      <c r="BP337" s="185">
        <f t="shared" si="568"/>
        <v>0</v>
      </c>
      <c r="BQ337" s="185">
        <f t="shared" si="568"/>
        <v>1130.9067857142857</v>
      </c>
      <c r="BR337" s="185">
        <f t="shared" si="568"/>
        <v>0</v>
      </c>
      <c r="BS337" s="185">
        <f t="shared" si="568"/>
        <v>1213.4821428571429</v>
      </c>
      <c r="BT337" s="185">
        <f t="shared" si="568"/>
        <v>0</v>
      </c>
      <c r="BU337" s="185">
        <f t="shared" si="568"/>
        <v>0</v>
      </c>
      <c r="BV337" s="185">
        <f t="shared" si="568"/>
        <v>0</v>
      </c>
      <c r="BW337" s="185">
        <f t="shared" si="568"/>
        <v>3366</v>
      </c>
      <c r="BX337" s="185">
        <f t="shared" si="568"/>
        <v>0</v>
      </c>
      <c r="BY337" s="185">
        <f t="shared" si="568"/>
        <v>2223.6</v>
      </c>
      <c r="BZ337" s="185">
        <f t="shared" si="568"/>
        <v>0</v>
      </c>
      <c r="CA337" s="185">
        <f t="shared" si="568"/>
        <v>0</v>
      </c>
      <c r="CB337" s="185">
        <f t="shared" si="568"/>
        <v>0</v>
      </c>
      <c r="CC337" s="185">
        <f t="shared" ref="CC337:CY337" si="569">CC336+CC334+CC331+CC329+CC327+CC325+CC323+CC319+CC317+CC315+CC313+CC311+CC309+CC307+CC305+CC303+CC301+CC299+CC297+CC292+CC288+CC286+CC284+CC282+CC280+CC278+CC274+CC272+CC270+CC268+CC266+CC264+CC262+CC260+CC258+CC256+CC254+CC250+CC248+CC246+CC241</f>
        <v>0</v>
      </c>
      <c r="CD337" s="185">
        <f t="shared" si="569"/>
        <v>0</v>
      </c>
      <c r="CE337" s="185">
        <f t="shared" si="569"/>
        <v>0</v>
      </c>
      <c r="CF337" s="185">
        <f t="shared" si="569"/>
        <v>0</v>
      </c>
      <c r="CG337" s="185">
        <f t="shared" si="569"/>
        <v>81.61561224489796</v>
      </c>
      <c r="CH337" s="185">
        <f t="shared" si="569"/>
        <v>81.61561224489796</v>
      </c>
      <c r="CI337" s="185">
        <f t="shared" si="569"/>
        <v>481.2370408163265</v>
      </c>
      <c r="CJ337" s="185">
        <f t="shared" si="569"/>
        <v>81.61561224489796</v>
      </c>
      <c r="CK337" s="185">
        <f t="shared" si="569"/>
        <v>81.61561224489796</v>
      </c>
      <c r="CL337" s="185">
        <f t="shared" si="569"/>
        <v>81.61561224489796</v>
      </c>
      <c r="CM337" s="185">
        <f t="shared" si="569"/>
        <v>81.61561224489796</v>
      </c>
      <c r="CN337" s="185">
        <f t="shared" si="569"/>
        <v>0</v>
      </c>
      <c r="CO337" s="185">
        <f t="shared" si="569"/>
        <v>0</v>
      </c>
      <c r="CP337" s="185">
        <f t="shared" si="569"/>
        <v>0</v>
      </c>
      <c r="CQ337" s="185">
        <f t="shared" si="569"/>
        <v>0</v>
      </c>
      <c r="CR337" s="185">
        <f t="shared" si="569"/>
        <v>0</v>
      </c>
      <c r="CS337" s="185">
        <f t="shared" si="569"/>
        <v>0</v>
      </c>
      <c r="CT337" s="185">
        <f t="shared" si="569"/>
        <v>0</v>
      </c>
      <c r="CU337" s="180">
        <f t="shared" si="569"/>
        <v>33036.22</v>
      </c>
      <c r="CV337" s="185">
        <f t="shared" si="569"/>
        <v>0</v>
      </c>
      <c r="CW337" s="185">
        <f t="shared" si="569"/>
        <v>0</v>
      </c>
      <c r="CX337" s="185">
        <f t="shared" si="569"/>
        <v>0</v>
      </c>
      <c r="CY337" s="185">
        <f t="shared" si="569"/>
        <v>0</v>
      </c>
    </row>
    <row r="345" spans="1:103" x14ac:dyDescent="0.2">
      <c r="A345" s="2">
        <v>45879</v>
      </c>
      <c r="B345" s="3" t="s">
        <v>569</v>
      </c>
      <c r="C345" s="4" t="s">
        <v>854</v>
      </c>
      <c r="D345" s="5" t="s">
        <v>570</v>
      </c>
      <c r="E345" s="6" t="s">
        <v>571</v>
      </c>
      <c r="F345" s="7" t="s">
        <v>575</v>
      </c>
      <c r="G345" s="8" t="s">
        <v>572</v>
      </c>
      <c r="H345" s="9">
        <v>2959</v>
      </c>
      <c r="I345" s="10"/>
      <c r="J345" s="11" t="s">
        <v>573</v>
      </c>
      <c r="K345" s="12">
        <v>1</v>
      </c>
      <c r="L345" s="13">
        <v>600</v>
      </c>
      <c r="M345" s="14">
        <f t="shared" ref="M345" si="570">L345*K345</f>
        <v>600</v>
      </c>
      <c r="N345" s="15"/>
      <c r="O345" s="16" t="s">
        <v>137</v>
      </c>
      <c r="P345" s="17">
        <f>M345*0.02</f>
        <v>12</v>
      </c>
      <c r="Q345" s="18"/>
      <c r="R345" s="5"/>
      <c r="S345" s="19"/>
      <c r="T345" s="19"/>
      <c r="U345" s="19"/>
      <c r="V345" s="19"/>
      <c r="W345" s="17"/>
      <c r="X345" s="20"/>
      <c r="Y345" s="19"/>
      <c r="Z345" s="19"/>
      <c r="AA345" s="19"/>
      <c r="AB345" s="19"/>
      <c r="AC345" s="19"/>
      <c r="AD345" s="19"/>
      <c r="AE345" s="5"/>
      <c r="AF345" s="19"/>
      <c r="AG345" s="5"/>
      <c r="AH345" s="17"/>
      <c r="AI345" s="19"/>
      <c r="AJ345" s="19"/>
      <c r="AK345" s="19"/>
      <c r="AL345" s="19"/>
      <c r="AM345" s="17"/>
      <c r="AN345" s="19"/>
      <c r="AO345" s="19"/>
      <c r="AP345" s="19"/>
      <c r="AQ345" s="19"/>
      <c r="AR345" s="19"/>
      <c r="AS345" s="21"/>
      <c r="AT345" s="5"/>
      <c r="AU345" s="19"/>
      <c r="AV345" s="5"/>
      <c r="AW345" s="17">
        <f>M345+P345-Q345</f>
        <v>612</v>
      </c>
      <c r="AX345" s="19"/>
      <c r="AY345" s="5"/>
      <c r="AZ345" s="19"/>
      <c r="BA345" s="5"/>
      <c r="BB345" s="5"/>
      <c r="BC345" s="19"/>
      <c r="BD345" s="19"/>
      <c r="BE345" s="19"/>
      <c r="BF345" s="19"/>
      <c r="BG345" s="19"/>
      <c r="BH345" s="19"/>
      <c r="BI345" s="19"/>
      <c r="BJ345" s="19"/>
      <c r="BK345" s="13"/>
      <c r="BL345" s="5"/>
      <c r="BM345" s="5"/>
      <c r="BN345" s="19"/>
      <c r="BO345" s="17"/>
      <c r="BP345" s="19"/>
      <c r="BQ345" s="17"/>
      <c r="BR345" s="19"/>
      <c r="BS345" s="13"/>
      <c r="BT345" s="5"/>
      <c r="BU345" s="23"/>
      <c r="BV345" s="23"/>
      <c r="BW345" s="24"/>
      <c r="BX345" s="5"/>
      <c r="BY345" s="5"/>
      <c r="BZ345" s="5"/>
      <c r="CA345" s="24"/>
      <c r="CB345" s="24"/>
      <c r="CC345" s="24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>
        <f>SUM(Q345:CT345)-P345</f>
        <v>600</v>
      </c>
      <c r="CV345" s="25">
        <f>CU345-M345</f>
        <v>0</v>
      </c>
    </row>
    <row r="346" spans="1:103" x14ac:dyDescent="0.2">
      <c r="A346" s="27"/>
      <c r="B346" s="28"/>
      <c r="C346" s="29"/>
      <c r="D346" s="30"/>
      <c r="E346" s="31"/>
      <c r="F346" s="32"/>
      <c r="G346" s="33"/>
      <c r="H346" s="34"/>
      <c r="I346" s="34"/>
      <c r="J346" s="35"/>
      <c r="K346" s="36"/>
      <c r="L346" s="37"/>
      <c r="M346" s="38">
        <f>SUM(M345:M345)</f>
        <v>600</v>
      </c>
      <c r="N346" s="38"/>
      <c r="O346" s="39" t="s">
        <v>137</v>
      </c>
      <c r="P346" s="38">
        <f>SUM(P345:P345)</f>
        <v>12</v>
      </c>
      <c r="Q346" s="38"/>
      <c r="R346" s="30"/>
      <c r="S346" s="38">
        <f t="shared" ref="S346:AD346" si="571">SUM(S345:S345)</f>
        <v>0</v>
      </c>
      <c r="T346" s="38">
        <f t="shared" si="571"/>
        <v>0</v>
      </c>
      <c r="U346" s="38">
        <f t="shared" si="571"/>
        <v>0</v>
      </c>
      <c r="V346" s="38">
        <f t="shared" si="571"/>
        <v>0</v>
      </c>
      <c r="W346" s="38">
        <f t="shared" si="571"/>
        <v>0</v>
      </c>
      <c r="X346" s="38">
        <f t="shared" si="571"/>
        <v>0</v>
      </c>
      <c r="Y346" s="38">
        <f t="shared" si="571"/>
        <v>0</v>
      </c>
      <c r="Z346" s="38">
        <f t="shared" si="571"/>
        <v>0</v>
      </c>
      <c r="AA346" s="38">
        <f t="shared" si="571"/>
        <v>0</v>
      </c>
      <c r="AB346" s="38">
        <f t="shared" si="571"/>
        <v>0</v>
      </c>
      <c r="AC346" s="38">
        <f t="shared" si="571"/>
        <v>0</v>
      </c>
      <c r="AD346" s="38">
        <f t="shared" si="571"/>
        <v>0</v>
      </c>
      <c r="AE346" s="30"/>
      <c r="AF346" s="38">
        <f>SUM(AF345:AF345)</f>
        <v>0</v>
      </c>
      <c r="AG346" s="30"/>
      <c r="AH346" s="38">
        <f t="shared" ref="AH346:AZ346" si="572">SUM(AH345:AH345)</f>
        <v>0</v>
      </c>
      <c r="AI346" s="38">
        <f t="shared" si="572"/>
        <v>0</v>
      </c>
      <c r="AJ346" s="38">
        <f t="shared" si="572"/>
        <v>0</v>
      </c>
      <c r="AK346" s="38">
        <f t="shared" si="572"/>
        <v>0</v>
      </c>
      <c r="AL346" s="38">
        <f t="shared" si="572"/>
        <v>0</v>
      </c>
      <c r="AM346" s="38">
        <f t="shared" si="572"/>
        <v>0</v>
      </c>
      <c r="AN346" s="38">
        <f t="shared" si="572"/>
        <v>0</v>
      </c>
      <c r="AO346" s="38">
        <f t="shared" si="572"/>
        <v>0</v>
      </c>
      <c r="AP346" s="38">
        <f t="shared" si="572"/>
        <v>0</v>
      </c>
      <c r="AQ346" s="38">
        <f t="shared" si="572"/>
        <v>0</v>
      </c>
      <c r="AR346" s="38">
        <f t="shared" si="572"/>
        <v>0</v>
      </c>
      <c r="AS346" s="38">
        <f t="shared" si="572"/>
        <v>0</v>
      </c>
      <c r="AT346" s="38">
        <f t="shared" si="572"/>
        <v>0</v>
      </c>
      <c r="AU346" s="38">
        <f t="shared" si="572"/>
        <v>0</v>
      </c>
      <c r="AV346" s="38">
        <f t="shared" si="572"/>
        <v>0</v>
      </c>
      <c r="AW346" s="38">
        <f>SUM(AW345:AW345)</f>
        <v>612</v>
      </c>
      <c r="AX346" s="38">
        <f t="shared" si="572"/>
        <v>0</v>
      </c>
      <c r="AY346" s="38">
        <f t="shared" si="572"/>
        <v>0</v>
      </c>
      <c r="AZ346" s="38">
        <f t="shared" si="572"/>
        <v>0</v>
      </c>
      <c r="BA346" s="30"/>
      <c r="BB346" s="38">
        <f t="shared" ref="BB346:CT346" si="573">SUM(BB345:BB345)</f>
        <v>0</v>
      </c>
      <c r="BC346" s="38">
        <f t="shared" si="573"/>
        <v>0</v>
      </c>
      <c r="BD346" s="38">
        <f t="shared" si="573"/>
        <v>0</v>
      </c>
      <c r="BE346" s="38">
        <f t="shared" si="573"/>
        <v>0</v>
      </c>
      <c r="BF346" s="38">
        <f t="shared" si="573"/>
        <v>0</v>
      </c>
      <c r="BG346" s="38">
        <f t="shared" si="573"/>
        <v>0</v>
      </c>
      <c r="BH346" s="38">
        <f t="shared" si="573"/>
        <v>0</v>
      </c>
      <c r="BI346" s="38">
        <f t="shared" si="573"/>
        <v>0</v>
      </c>
      <c r="BJ346" s="38">
        <f t="shared" si="573"/>
        <v>0</v>
      </c>
      <c r="BK346" s="38">
        <f t="shared" si="573"/>
        <v>0</v>
      </c>
      <c r="BL346" s="38">
        <f t="shared" si="573"/>
        <v>0</v>
      </c>
      <c r="BM346" s="38">
        <f t="shared" si="573"/>
        <v>0</v>
      </c>
      <c r="BN346" s="38">
        <f t="shared" si="573"/>
        <v>0</v>
      </c>
      <c r="BO346" s="38">
        <f t="shared" si="573"/>
        <v>0</v>
      </c>
      <c r="BP346" s="38">
        <f t="shared" si="573"/>
        <v>0</v>
      </c>
      <c r="BQ346" s="38">
        <f t="shared" si="573"/>
        <v>0</v>
      </c>
      <c r="BR346" s="38">
        <f t="shared" si="573"/>
        <v>0</v>
      </c>
      <c r="BS346" s="38">
        <f t="shared" si="573"/>
        <v>0</v>
      </c>
      <c r="BT346" s="38">
        <f t="shared" si="573"/>
        <v>0</v>
      </c>
      <c r="BU346" s="38">
        <f t="shared" si="573"/>
        <v>0</v>
      </c>
      <c r="BV346" s="38">
        <f t="shared" si="573"/>
        <v>0</v>
      </c>
      <c r="BW346" s="38">
        <f t="shared" si="573"/>
        <v>0</v>
      </c>
      <c r="BX346" s="38">
        <f t="shared" si="573"/>
        <v>0</v>
      </c>
      <c r="BY346" s="38">
        <f t="shared" si="573"/>
        <v>0</v>
      </c>
      <c r="BZ346" s="38">
        <f t="shared" si="573"/>
        <v>0</v>
      </c>
      <c r="CA346" s="38">
        <f t="shared" si="573"/>
        <v>0</v>
      </c>
      <c r="CB346" s="38">
        <f t="shared" si="573"/>
        <v>0</v>
      </c>
      <c r="CC346" s="38">
        <f t="shared" si="573"/>
        <v>0</v>
      </c>
      <c r="CD346" s="38">
        <f t="shared" si="573"/>
        <v>0</v>
      </c>
      <c r="CE346" s="38">
        <f t="shared" si="573"/>
        <v>0</v>
      </c>
      <c r="CF346" s="38">
        <f t="shared" si="573"/>
        <v>0</v>
      </c>
      <c r="CG346" s="38">
        <f t="shared" si="573"/>
        <v>0</v>
      </c>
      <c r="CH346" s="38">
        <f t="shared" si="573"/>
        <v>0</v>
      </c>
      <c r="CI346" s="38">
        <f t="shared" si="573"/>
        <v>0</v>
      </c>
      <c r="CJ346" s="38">
        <f t="shared" si="573"/>
        <v>0</v>
      </c>
      <c r="CK346" s="38">
        <f t="shared" si="573"/>
        <v>0</v>
      </c>
      <c r="CL346" s="38">
        <f t="shared" si="573"/>
        <v>0</v>
      </c>
      <c r="CM346" s="38">
        <f t="shared" si="573"/>
        <v>0</v>
      </c>
      <c r="CN346" s="38">
        <f t="shared" si="573"/>
        <v>0</v>
      </c>
      <c r="CO346" s="38">
        <f t="shared" si="573"/>
        <v>0</v>
      </c>
      <c r="CP346" s="38">
        <f t="shared" si="573"/>
        <v>0</v>
      </c>
      <c r="CQ346" s="38">
        <f t="shared" si="573"/>
        <v>0</v>
      </c>
      <c r="CR346" s="38">
        <f t="shared" si="573"/>
        <v>0</v>
      </c>
      <c r="CS346" s="38">
        <f t="shared" si="573"/>
        <v>0</v>
      </c>
      <c r="CT346" s="38">
        <f t="shared" si="573"/>
        <v>0</v>
      </c>
      <c r="CU346" s="17">
        <f t="shared" ref="CU346:CU409" si="574">SUM(Q346:CT346)-P346</f>
        <v>600</v>
      </c>
      <c r="CV346" s="25">
        <f t="shared" ref="CV346:CV409" si="575">CU346-M346</f>
        <v>0</v>
      </c>
    </row>
    <row r="347" spans="1:103" x14ac:dyDescent="0.2">
      <c r="A347" s="2">
        <v>45878</v>
      </c>
      <c r="B347" s="3" t="s">
        <v>569</v>
      </c>
      <c r="C347" s="4" t="s">
        <v>855</v>
      </c>
      <c r="D347" s="5" t="s">
        <v>570</v>
      </c>
      <c r="E347" s="6" t="s">
        <v>571</v>
      </c>
      <c r="F347" s="7" t="s">
        <v>575</v>
      </c>
      <c r="G347" s="8" t="s">
        <v>572</v>
      </c>
      <c r="H347" s="9">
        <v>2958</v>
      </c>
      <c r="I347" s="10"/>
      <c r="J347" s="11" t="s">
        <v>573</v>
      </c>
      <c r="K347" s="12">
        <v>1</v>
      </c>
      <c r="L347" s="13">
        <v>600</v>
      </c>
      <c r="M347" s="14">
        <f t="shared" ref="M347" si="576">L347*K347</f>
        <v>600</v>
      </c>
      <c r="N347" s="15"/>
      <c r="O347" s="16" t="s">
        <v>137</v>
      </c>
      <c r="P347" s="17">
        <f>M347*0.02</f>
        <v>12</v>
      </c>
      <c r="Q347" s="18"/>
      <c r="R347" s="5"/>
      <c r="S347" s="19"/>
      <c r="T347" s="19"/>
      <c r="U347" s="19"/>
      <c r="V347" s="19"/>
      <c r="W347" s="17"/>
      <c r="X347" s="20"/>
      <c r="Y347" s="19"/>
      <c r="Z347" s="19"/>
      <c r="AA347" s="19"/>
      <c r="AB347" s="19"/>
      <c r="AC347" s="19"/>
      <c r="AD347" s="19"/>
      <c r="AE347" s="5"/>
      <c r="AF347" s="19"/>
      <c r="AG347" s="5"/>
      <c r="AH347" s="17"/>
      <c r="AI347" s="19"/>
      <c r="AJ347" s="19"/>
      <c r="AK347" s="19"/>
      <c r="AL347" s="19"/>
      <c r="AM347" s="17"/>
      <c r="AN347" s="19"/>
      <c r="AO347" s="19"/>
      <c r="AP347" s="19"/>
      <c r="AQ347" s="19"/>
      <c r="AR347" s="19"/>
      <c r="AS347" s="21"/>
      <c r="AT347" s="5"/>
      <c r="AU347" s="19"/>
      <c r="AV347" s="5"/>
      <c r="AW347" s="17">
        <f>M347+P347-Q347</f>
        <v>612</v>
      </c>
      <c r="AX347" s="19"/>
      <c r="AY347" s="5"/>
      <c r="AZ347" s="19"/>
      <c r="BA347" s="5"/>
      <c r="BB347" s="5"/>
      <c r="BC347" s="19"/>
      <c r="BD347" s="19"/>
      <c r="BE347" s="19"/>
      <c r="BF347" s="19"/>
      <c r="BG347" s="19"/>
      <c r="BH347" s="19"/>
      <c r="BI347" s="19"/>
      <c r="BJ347" s="19"/>
      <c r="BK347" s="13"/>
      <c r="BL347" s="5"/>
      <c r="BM347" s="5"/>
      <c r="BN347" s="19"/>
      <c r="BO347" s="17"/>
      <c r="BP347" s="19"/>
      <c r="BQ347" s="17"/>
      <c r="BR347" s="19"/>
      <c r="BS347" s="13"/>
      <c r="BT347" s="5"/>
      <c r="BU347" s="23"/>
      <c r="BV347" s="23"/>
      <c r="BW347" s="24"/>
      <c r="BX347" s="5"/>
      <c r="BY347" s="5"/>
      <c r="BZ347" s="5"/>
      <c r="CA347" s="24"/>
      <c r="CB347" s="24"/>
      <c r="CC347" s="24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>
        <f t="shared" si="574"/>
        <v>600</v>
      </c>
      <c r="CV347" s="25">
        <f t="shared" si="575"/>
        <v>0</v>
      </c>
    </row>
    <row r="348" spans="1:103" x14ac:dyDescent="0.2">
      <c r="A348" s="27"/>
      <c r="B348" s="28"/>
      <c r="C348" s="29"/>
      <c r="D348" s="30"/>
      <c r="E348" s="31"/>
      <c r="F348" s="32"/>
      <c r="G348" s="33"/>
      <c r="H348" s="34"/>
      <c r="I348" s="34"/>
      <c r="J348" s="35"/>
      <c r="K348" s="36"/>
      <c r="L348" s="37"/>
      <c r="M348" s="38">
        <f>SUM(M347:M347)</f>
        <v>600</v>
      </c>
      <c r="N348" s="38"/>
      <c r="O348" s="39" t="s">
        <v>137</v>
      </c>
      <c r="P348" s="38">
        <f>SUM(P347:P347)</f>
        <v>12</v>
      </c>
      <c r="Q348" s="38"/>
      <c r="R348" s="30"/>
      <c r="S348" s="38">
        <f t="shared" ref="S348:AD348" si="577">SUM(S347:S347)</f>
        <v>0</v>
      </c>
      <c r="T348" s="38">
        <f t="shared" si="577"/>
        <v>0</v>
      </c>
      <c r="U348" s="38">
        <f t="shared" si="577"/>
        <v>0</v>
      </c>
      <c r="V348" s="38">
        <f t="shared" si="577"/>
        <v>0</v>
      </c>
      <c r="W348" s="38">
        <f t="shared" si="577"/>
        <v>0</v>
      </c>
      <c r="X348" s="38">
        <f t="shared" si="577"/>
        <v>0</v>
      </c>
      <c r="Y348" s="38">
        <f t="shared" si="577"/>
        <v>0</v>
      </c>
      <c r="Z348" s="38">
        <f t="shared" si="577"/>
        <v>0</v>
      </c>
      <c r="AA348" s="38">
        <f t="shared" si="577"/>
        <v>0</v>
      </c>
      <c r="AB348" s="38">
        <f t="shared" si="577"/>
        <v>0</v>
      </c>
      <c r="AC348" s="38">
        <f t="shared" si="577"/>
        <v>0</v>
      </c>
      <c r="AD348" s="38">
        <f t="shared" si="577"/>
        <v>0</v>
      </c>
      <c r="AE348" s="30"/>
      <c r="AF348" s="38">
        <f>SUM(AF347:AF347)</f>
        <v>0</v>
      </c>
      <c r="AG348" s="30"/>
      <c r="AH348" s="38">
        <f t="shared" ref="AH348:AZ348" si="578">SUM(AH347:AH347)</f>
        <v>0</v>
      </c>
      <c r="AI348" s="38">
        <f t="shared" si="578"/>
        <v>0</v>
      </c>
      <c r="AJ348" s="38">
        <f t="shared" si="578"/>
        <v>0</v>
      </c>
      <c r="AK348" s="38">
        <f t="shared" si="578"/>
        <v>0</v>
      </c>
      <c r="AL348" s="38">
        <f t="shared" si="578"/>
        <v>0</v>
      </c>
      <c r="AM348" s="38">
        <f t="shared" si="578"/>
        <v>0</v>
      </c>
      <c r="AN348" s="38">
        <f t="shared" si="578"/>
        <v>0</v>
      </c>
      <c r="AO348" s="38">
        <f t="shared" si="578"/>
        <v>0</v>
      </c>
      <c r="AP348" s="38">
        <f t="shared" si="578"/>
        <v>0</v>
      </c>
      <c r="AQ348" s="38">
        <f t="shared" si="578"/>
        <v>0</v>
      </c>
      <c r="AR348" s="38">
        <f t="shared" si="578"/>
        <v>0</v>
      </c>
      <c r="AS348" s="38">
        <f t="shared" si="578"/>
        <v>0</v>
      </c>
      <c r="AT348" s="38">
        <f t="shared" si="578"/>
        <v>0</v>
      </c>
      <c r="AU348" s="38">
        <f t="shared" si="578"/>
        <v>0</v>
      </c>
      <c r="AV348" s="38">
        <f t="shared" si="578"/>
        <v>0</v>
      </c>
      <c r="AW348" s="38">
        <f>SUM(AW347:AW347)</f>
        <v>612</v>
      </c>
      <c r="AX348" s="38">
        <f t="shared" si="578"/>
        <v>0</v>
      </c>
      <c r="AY348" s="38">
        <f t="shared" si="578"/>
        <v>0</v>
      </c>
      <c r="AZ348" s="38">
        <f t="shared" si="578"/>
        <v>0</v>
      </c>
      <c r="BA348" s="30"/>
      <c r="BB348" s="38">
        <f t="shared" ref="BB348:CT348" si="579">SUM(BB347:BB347)</f>
        <v>0</v>
      </c>
      <c r="BC348" s="38">
        <f t="shared" si="579"/>
        <v>0</v>
      </c>
      <c r="BD348" s="38">
        <f t="shared" si="579"/>
        <v>0</v>
      </c>
      <c r="BE348" s="38">
        <f t="shared" si="579"/>
        <v>0</v>
      </c>
      <c r="BF348" s="38">
        <f t="shared" si="579"/>
        <v>0</v>
      </c>
      <c r="BG348" s="38">
        <f t="shared" si="579"/>
        <v>0</v>
      </c>
      <c r="BH348" s="38">
        <f t="shared" si="579"/>
        <v>0</v>
      </c>
      <c r="BI348" s="38">
        <f t="shared" si="579"/>
        <v>0</v>
      </c>
      <c r="BJ348" s="38">
        <f t="shared" si="579"/>
        <v>0</v>
      </c>
      <c r="BK348" s="38">
        <f t="shared" si="579"/>
        <v>0</v>
      </c>
      <c r="BL348" s="38">
        <f t="shared" si="579"/>
        <v>0</v>
      </c>
      <c r="BM348" s="38">
        <f t="shared" si="579"/>
        <v>0</v>
      </c>
      <c r="BN348" s="38">
        <f t="shared" si="579"/>
        <v>0</v>
      </c>
      <c r="BO348" s="38">
        <f t="shared" si="579"/>
        <v>0</v>
      </c>
      <c r="BP348" s="38">
        <f t="shared" si="579"/>
        <v>0</v>
      </c>
      <c r="BQ348" s="38">
        <f t="shared" si="579"/>
        <v>0</v>
      </c>
      <c r="BR348" s="38">
        <f t="shared" si="579"/>
        <v>0</v>
      </c>
      <c r="BS348" s="38">
        <f t="shared" si="579"/>
        <v>0</v>
      </c>
      <c r="BT348" s="38">
        <f t="shared" si="579"/>
        <v>0</v>
      </c>
      <c r="BU348" s="38">
        <f t="shared" si="579"/>
        <v>0</v>
      </c>
      <c r="BV348" s="38">
        <f t="shared" si="579"/>
        <v>0</v>
      </c>
      <c r="BW348" s="38">
        <f t="shared" si="579"/>
        <v>0</v>
      </c>
      <c r="BX348" s="38">
        <f t="shared" si="579"/>
        <v>0</v>
      </c>
      <c r="BY348" s="38">
        <f t="shared" si="579"/>
        <v>0</v>
      </c>
      <c r="BZ348" s="38">
        <f t="shared" si="579"/>
        <v>0</v>
      </c>
      <c r="CA348" s="38">
        <f t="shared" si="579"/>
        <v>0</v>
      </c>
      <c r="CB348" s="38">
        <f t="shared" si="579"/>
        <v>0</v>
      </c>
      <c r="CC348" s="38">
        <f t="shared" si="579"/>
        <v>0</v>
      </c>
      <c r="CD348" s="38">
        <f t="shared" si="579"/>
        <v>0</v>
      </c>
      <c r="CE348" s="38">
        <f t="shared" si="579"/>
        <v>0</v>
      </c>
      <c r="CF348" s="38">
        <f t="shared" si="579"/>
        <v>0</v>
      </c>
      <c r="CG348" s="38">
        <f t="shared" si="579"/>
        <v>0</v>
      </c>
      <c r="CH348" s="38">
        <f t="shared" si="579"/>
        <v>0</v>
      </c>
      <c r="CI348" s="38">
        <f t="shared" si="579"/>
        <v>0</v>
      </c>
      <c r="CJ348" s="38">
        <f t="shared" si="579"/>
        <v>0</v>
      </c>
      <c r="CK348" s="38">
        <f t="shared" si="579"/>
        <v>0</v>
      </c>
      <c r="CL348" s="38">
        <f t="shared" si="579"/>
        <v>0</v>
      </c>
      <c r="CM348" s="38">
        <f t="shared" si="579"/>
        <v>0</v>
      </c>
      <c r="CN348" s="38">
        <f t="shared" si="579"/>
        <v>0</v>
      </c>
      <c r="CO348" s="38">
        <f t="shared" si="579"/>
        <v>0</v>
      </c>
      <c r="CP348" s="38">
        <f t="shared" si="579"/>
        <v>0</v>
      </c>
      <c r="CQ348" s="38">
        <f t="shared" si="579"/>
        <v>0</v>
      </c>
      <c r="CR348" s="38">
        <f t="shared" si="579"/>
        <v>0</v>
      </c>
      <c r="CS348" s="38">
        <f t="shared" si="579"/>
        <v>0</v>
      </c>
      <c r="CT348" s="38">
        <f t="shared" si="579"/>
        <v>0</v>
      </c>
      <c r="CU348" s="17">
        <f t="shared" si="574"/>
        <v>600</v>
      </c>
      <c r="CV348" s="25">
        <f t="shared" si="575"/>
        <v>0</v>
      </c>
    </row>
    <row r="349" spans="1:103" x14ac:dyDescent="0.2">
      <c r="A349" s="2">
        <v>45881</v>
      </c>
      <c r="B349" s="3" t="s">
        <v>569</v>
      </c>
      <c r="C349" s="4" t="s">
        <v>856</v>
      </c>
      <c r="D349" s="5" t="s">
        <v>570</v>
      </c>
      <c r="E349" s="6" t="s">
        <v>571</v>
      </c>
      <c r="F349" s="7" t="s">
        <v>575</v>
      </c>
      <c r="G349" s="8" t="s">
        <v>572</v>
      </c>
      <c r="H349" s="9">
        <v>2961</v>
      </c>
      <c r="I349" s="10"/>
      <c r="J349" s="11" t="s">
        <v>573</v>
      </c>
      <c r="K349" s="12">
        <v>1</v>
      </c>
      <c r="L349" s="13">
        <v>1200</v>
      </c>
      <c r="M349" s="14">
        <f t="shared" ref="M349" si="580">L349*K349</f>
        <v>1200</v>
      </c>
      <c r="N349" s="15"/>
      <c r="O349" s="16" t="s">
        <v>137</v>
      </c>
      <c r="P349" s="17">
        <f>M349*0.02</f>
        <v>24</v>
      </c>
      <c r="Q349" s="18"/>
      <c r="R349" s="5"/>
      <c r="S349" s="19"/>
      <c r="T349" s="19"/>
      <c r="U349" s="19"/>
      <c r="V349" s="19"/>
      <c r="W349" s="17"/>
      <c r="X349" s="20"/>
      <c r="Y349" s="19"/>
      <c r="Z349" s="19"/>
      <c r="AA349" s="19"/>
      <c r="AB349" s="19"/>
      <c r="AC349" s="19"/>
      <c r="AD349" s="19"/>
      <c r="AE349" s="5"/>
      <c r="AF349" s="19"/>
      <c r="AG349" s="5"/>
      <c r="AH349" s="17"/>
      <c r="AI349" s="19"/>
      <c r="AJ349" s="19"/>
      <c r="AK349" s="19"/>
      <c r="AL349" s="19"/>
      <c r="AM349" s="17"/>
      <c r="AN349" s="19"/>
      <c r="AO349" s="19"/>
      <c r="AP349" s="19"/>
      <c r="AQ349" s="19"/>
      <c r="AR349" s="19"/>
      <c r="AS349" s="21"/>
      <c r="AT349" s="5"/>
      <c r="AU349" s="19"/>
      <c r="AV349" s="5"/>
      <c r="AW349" s="17">
        <f>M349+P349-Q349</f>
        <v>1224</v>
      </c>
      <c r="AX349" s="19"/>
      <c r="AY349" s="5"/>
      <c r="AZ349" s="19"/>
      <c r="BA349" s="5"/>
      <c r="BB349" s="5"/>
      <c r="BC349" s="19"/>
      <c r="BD349" s="19"/>
      <c r="BE349" s="19"/>
      <c r="BF349" s="19"/>
      <c r="BG349" s="19"/>
      <c r="BH349" s="19"/>
      <c r="BI349" s="19"/>
      <c r="BJ349" s="19"/>
      <c r="BK349" s="13"/>
      <c r="BL349" s="5"/>
      <c r="BM349" s="5"/>
      <c r="BN349" s="19"/>
      <c r="BO349" s="17"/>
      <c r="BP349" s="19"/>
      <c r="BQ349" s="17"/>
      <c r="BR349" s="19"/>
      <c r="BS349" s="13"/>
      <c r="BT349" s="5"/>
      <c r="BU349" s="23"/>
      <c r="BV349" s="23"/>
      <c r="BW349" s="24"/>
      <c r="BX349" s="5"/>
      <c r="BY349" s="5"/>
      <c r="BZ349" s="5"/>
      <c r="CA349" s="24"/>
      <c r="CB349" s="24"/>
      <c r="CC349" s="24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>
        <f t="shared" si="574"/>
        <v>1200</v>
      </c>
      <c r="CV349" s="25">
        <f t="shared" si="575"/>
        <v>0</v>
      </c>
    </row>
    <row r="350" spans="1:103" x14ac:dyDescent="0.2">
      <c r="A350" s="27"/>
      <c r="B350" s="28"/>
      <c r="C350" s="29"/>
      <c r="D350" s="30"/>
      <c r="E350" s="31"/>
      <c r="F350" s="32"/>
      <c r="G350" s="33"/>
      <c r="H350" s="34"/>
      <c r="I350" s="34"/>
      <c r="J350" s="35"/>
      <c r="K350" s="36"/>
      <c r="L350" s="37"/>
      <c r="M350" s="38">
        <f>SUM(M349:M349)</f>
        <v>1200</v>
      </c>
      <c r="N350" s="38"/>
      <c r="O350" s="39" t="s">
        <v>137</v>
      </c>
      <c r="P350" s="38">
        <f>SUM(P349:P349)</f>
        <v>24</v>
      </c>
      <c r="Q350" s="38"/>
      <c r="R350" s="30"/>
      <c r="S350" s="38">
        <f t="shared" ref="S350:AD350" si="581">SUM(S349:S349)</f>
        <v>0</v>
      </c>
      <c r="T350" s="38">
        <f t="shared" si="581"/>
        <v>0</v>
      </c>
      <c r="U350" s="38">
        <f t="shared" si="581"/>
        <v>0</v>
      </c>
      <c r="V350" s="38">
        <f t="shared" si="581"/>
        <v>0</v>
      </c>
      <c r="W350" s="38">
        <f t="shared" si="581"/>
        <v>0</v>
      </c>
      <c r="X350" s="38">
        <f t="shared" si="581"/>
        <v>0</v>
      </c>
      <c r="Y350" s="38">
        <f t="shared" si="581"/>
        <v>0</v>
      </c>
      <c r="Z350" s="38">
        <f t="shared" si="581"/>
        <v>0</v>
      </c>
      <c r="AA350" s="38">
        <f t="shared" si="581"/>
        <v>0</v>
      </c>
      <c r="AB350" s="38">
        <f t="shared" si="581"/>
        <v>0</v>
      </c>
      <c r="AC350" s="38">
        <f t="shared" si="581"/>
        <v>0</v>
      </c>
      <c r="AD350" s="38">
        <f t="shared" si="581"/>
        <v>0</v>
      </c>
      <c r="AE350" s="30"/>
      <c r="AF350" s="38">
        <f>SUM(AF349:AF349)</f>
        <v>0</v>
      </c>
      <c r="AG350" s="30"/>
      <c r="AH350" s="38">
        <f t="shared" ref="AH350:AZ350" si="582">SUM(AH349:AH349)</f>
        <v>0</v>
      </c>
      <c r="AI350" s="38">
        <f t="shared" si="582"/>
        <v>0</v>
      </c>
      <c r="AJ350" s="38">
        <f t="shared" si="582"/>
        <v>0</v>
      </c>
      <c r="AK350" s="38">
        <f t="shared" si="582"/>
        <v>0</v>
      </c>
      <c r="AL350" s="38">
        <f t="shared" si="582"/>
        <v>0</v>
      </c>
      <c r="AM350" s="38">
        <f t="shared" si="582"/>
        <v>0</v>
      </c>
      <c r="AN350" s="38">
        <f t="shared" si="582"/>
        <v>0</v>
      </c>
      <c r="AO350" s="38">
        <f t="shared" si="582"/>
        <v>0</v>
      </c>
      <c r="AP350" s="38">
        <f t="shared" si="582"/>
        <v>0</v>
      </c>
      <c r="AQ350" s="38">
        <f t="shared" si="582"/>
        <v>0</v>
      </c>
      <c r="AR350" s="38">
        <f t="shared" si="582"/>
        <v>0</v>
      </c>
      <c r="AS350" s="38">
        <f t="shared" si="582"/>
        <v>0</v>
      </c>
      <c r="AT350" s="38">
        <f t="shared" si="582"/>
        <v>0</v>
      </c>
      <c r="AU350" s="38">
        <f t="shared" si="582"/>
        <v>0</v>
      </c>
      <c r="AV350" s="38">
        <f t="shared" si="582"/>
        <v>0</v>
      </c>
      <c r="AW350" s="38">
        <f>SUM(AW349:AW349)</f>
        <v>1224</v>
      </c>
      <c r="AX350" s="38">
        <f t="shared" si="582"/>
        <v>0</v>
      </c>
      <c r="AY350" s="38">
        <f t="shared" si="582"/>
        <v>0</v>
      </c>
      <c r="AZ350" s="38">
        <f t="shared" si="582"/>
        <v>0</v>
      </c>
      <c r="BA350" s="30"/>
      <c r="BB350" s="38">
        <f t="shared" ref="BB350:CT350" si="583">SUM(BB349:BB349)</f>
        <v>0</v>
      </c>
      <c r="BC350" s="38">
        <f t="shared" si="583"/>
        <v>0</v>
      </c>
      <c r="BD350" s="38">
        <f t="shared" si="583"/>
        <v>0</v>
      </c>
      <c r="BE350" s="38">
        <f t="shared" si="583"/>
        <v>0</v>
      </c>
      <c r="BF350" s="38">
        <f t="shared" si="583"/>
        <v>0</v>
      </c>
      <c r="BG350" s="38">
        <f t="shared" si="583"/>
        <v>0</v>
      </c>
      <c r="BH350" s="38">
        <f t="shared" si="583"/>
        <v>0</v>
      </c>
      <c r="BI350" s="38">
        <f t="shared" si="583"/>
        <v>0</v>
      </c>
      <c r="BJ350" s="38">
        <f t="shared" si="583"/>
        <v>0</v>
      </c>
      <c r="BK350" s="38">
        <f t="shared" si="583"/>
        <v>0</v>
      </c>
      <c r="BL350" s="38">
        <f t="shared" si="583"/>
        <v>0</v>
      </c>
      <c r="BM350" s="38">
        <f t="shared" si="583"/>
        <v>0</v>
      </c>
      <c r="BN350" s="38">
        <f t="shared" si="583"/>
        <v>0</v>
      </c>
      <c r="BO350" s="38">
        <f t="shared" si="583"/>
        <v>0</v>
      </c>
      <c r="BP350" s="38">
        <f t="shared" si="583"/>
        <v>0</v>
      </c>
      <c r="BQ350" s="38">
        <f t="shared" si="583"/>
        <v>0</v>
      </c>
      <c r="BR350" s="38">
        <f t="shared" si="583"/>
        <v>0</v>
      </c>
      <c r="BS350" s="38">
        <f t="shared" si="583"/>
        <v>0</v>
      </c>
      <c r="BT350" s="38">
        <f t="shared" si="583"/>
        <v>0</v>
      </c>
      <c r="BU350" s="38">
        <f t="shared" si="583"/>
        <v>0</v>
      </c>
      <c r="BV350" s="38">
        <f t="shared" si="583"/>
        <v>0</v>
      </c>
      <c r="BW350" s="38">
        <f t="shared" si="583"/>
        <v>0</v>
      </c>
      <c r="BX350" s="38">
        <f t="shared" si="583"/>
        <v>0</v>
      </c>
      <c r="BY350" s="38">
        <f t="shared" si="583"/>
        <v>0</v>
      </c>
      <c r="BZ350" s="38">
        <f t="shared" si="583"/>
        <v>0</v>
      </c>
      <c r="CA350" s="38">
        <f t="shared" si="583"/>
        <v>0</v>
      </c>
      <c r="CB350" s="38">
        <f t="shared" si="583"/>
        <v>0</v>
      </c>
      <c r="CC350" s="38">
        <f t="shared" si="583"/>
        <v>0</v>
      </c>
      <c r="CD350" s="38">
        <f t="shared" si="583"/>
        <v>0</v>
      </c>
      <c r="CE350" s="38">
        <f t="shared" si="583"/>
        <v>0</v>
      </c>
      <c r="CF350" s="38">
        <f t="shared" si="583"/>
        <v>0</v>
      </c>
      <c r="CG350" s="38">
        <f t="shared" si="583"/>
        <v>0</v>
      </c>
      <c r="CH350" s="38">
        <f t="shared" si="583"/>
        <v>0</v>
      </c>
      <c r="CI350" s="38">
        <f t="shared" si="583"/>
        <v>0</v>
      </c>
      <c r="CJ350" s="38">
        <f t="shared" si="583"/>
        <v>0</v>
      </c>
      <c r="CK350" s="38">
        <f t="shared" si="583"/>
        <v>0</v>
      </c>
      <c r="CL350" s="38">
        <f t="shared" si="583"/>
        <v>0</v>
      </c>
      <c r="CM350" s="38">
        <f t="shared" si="583"/>
        <v>0</v>
      </c>
      <c r="CN350" s="38">
        <f t="shared" si="583"/>
        <v>0</v>
      </c>
      <c r="CO350" s="38">
        <f t="shared" si="583"/>
        <v>0</v>
      </c>
      <c r="CP350" s="38">
        <f t="shared" si="583"/>
        <v>0</v>
      </c>
      <c r="CQ350" s="38">
        <f t="shared" si="583"/>
        <v>0</v>
      </c>
      <c r="CR350" s="38">
        <f t="shared" si="583"/>
        <v>0</v>
      </c>
      <c r="CS350" s="38">
        <f t="shared" si="583"/>
        <v>0</v>
      </c>
      <c r="CT350" s="38">
        <f t="shared" si="583"/>
        <v>0</v>
      </c>
      <c r="CU350" s="17">
        <f t="shared" si="574"/>
        <v>1200</v>
      </c>
      <c r="CV350" s="25">
        <f t="shared" si="575"/>
        <v>0</v>
      </c>
    </row>
    <row r="351" spans="1:103" x14ac:dyDescent="0.2">
      <c r="A351" s="2">
        <v>45881</v>
      </c>
      <c r="B351" s="3" t="s">
        <v>569</v>
      </c>
      <c r="C351" s="4" t="s">
        <v>857</v>
      </c>
      <c r="D351" s="5" t="s">
        <v>570</v>
      </c>
      <c r="E351" s="6" t="s">
        <v>571</v>
      </c>
      <c r="F351" s="7" t="s">
        <v>575</v>
      </c>
      <c r="G351" s="8" t="s">
        <v>572</v>
      </c>
      <c r="H351" s="9">
        <v>2962</v>
      </c>
      <c r="I351" s="10"/>
      <c r="J351" s="11" t="s">
        <v>576</v>
      </c>
      <c r="K351" s="12">
        <v>1</v>
      </c>
      <c r="L351" s="13">
        <v>900</v>
      </c>
      <c r="M351" s="14">
        <f t="shared" ref="M351" si="584">L351*K351</f>
        <v>900</v>
      </c>
      <c r="N351" s="15"/>
      <c r="O351" s="16" t="s">
        <v>137</v>
      </c>
      <c r="P351" s="17">
        <f>M351*0.02</f>
        <v>18</v>
      </c>
      <c r="Q351" s="18"/>
      <c r="R351" s="5"/>
      <c r="S351" s="19"/>
      <c r="T351" s="19"/>
      <c r="U351" s="19"/>
      <c r="V351" s="19"/>
      <c r="W351" s="17"/>
      <c r="X351" s="20"/>
      <c r="Y351" s="19"/>
      <c r="Z351" s="19"/>
      <c r="AA351" s="19"/>
      <c r="AB351" s="19"/>
      <c r="AC351" s="19"/>
      <c r="AD351" s="19"/>
      <c r="AE351" s="5"/>
      <c r="AF351" s="19"/>
      <c r="AG351" s="5"/>
      <c r="AH351" s="17"/>
      <c r="AI351" s="19"/>
      <c r="AJ351" s="19"/>
      <c r="AK351" s="19"/>
      <c r="AL351" s="19"/>
      <c r="AM351" s="17"/>
      <c r="AN351" s="19"/>
      <c r="AO351" s="19"/>
      <c r="AP351" s="19"/>
      <c r="AQ351" s="19"/>
      <c r="AR351" s="19"/>
      <c r="AS351" s="21"/>
      <c r="AT351" s="5"/>
      <c r="AU351" s="19"/>
      <c r="AV351" s="5"/>
      <c r="AW351" s="17">
        <f>M351+P351-Q351</f>
        <v>918</v>
      </c>
      <c r="AX351" s="19"/>
      <c r="AY351" s="5"/>
      <c r="AZ351" s="19"/>
      <c r="BA351" s="5"/>
      <c r="BB351" s="5"/>
      <c r="BC351" s="19"/>
      <c r="BD351" s="19"/>
      <c r="BE351" s="19"/>
      <c r="BF351" s="19"/>
      <c r="BG351" s="19"/>
      <c r="BH351" s="19"/>
      <c r="BI351" s="19"/>
      <c r="BJ351" s="19"/>
      <c r="BK351" s="13"/>
      <c r="BL351" s="5"/>
      <c r="BM351" s="5"/>
      <c r="BN351" s="19"/>
      <c r="BO351" s="17"/>
      <c r="BP351" s="19"/>
      <c r="BQ351" s="17"/>
      <c r="BR351" s="19"/>
      <c r="BS351" s="13"/>
      <c r="BT351" s="5"/>
      <c r="BU351" s="23"/>
      <c r="BV351" s="23"/>
      <c r="BW351" s="24"/>
      <c r="BX351" s="5"/>
      <c r="BY351" s="5"/>
      <c r="BZ351" s="5"/>
      <c r="CA351" s="24"/>
      <c r="CB351" s="24"/>
      <c r="CC351" s="24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>
        <f t="shared" si="574"/>
        <v>900</v>
      </c>
      <c r="CV351" s="25">
        <f t="shared" si="575"/>
        <v>0</v>
      </c>
    </row>
    <row r="352" spans="1:103" x14ac:dyDescent="0.2">
      <c r="A352" s="27"/>
      <c r="B352" s="28"/>
      <c r="C352" s="29"/>
      <c r="D352" s="30"/>
      <c r="E352" s="31"/>
      <c r="F352" s="32"/>
      <c r="G352" s="33"/>
      <c r="H352" s="34"/>
      <c r="I352" s="34"/>
      <c r="J352" s="35"/>
      <c r="K352" s="36"/>
      <c r="L352" s="37"/>
      <c r="M352" s="38">
        <f>SUM(M351:M351)</f>
        <v>900</v>
      </c>
      <c r="N352" s="38"/>
      <c r="O352" s="39" t="s">
        <v>137</v>
      </c>
      <c r="P352" s="38">
        <f>SUM(P351:P351)</f>
        <v>18</v>
      </c>
      <c r="Q352" s="38"/>
      <c r="R352" s="30"/>
      <c r="S352" s="38">
        <f t="shared" ref="S352:AD352" si="585">SUM(S351:S351)</f>
        <v>0</v>
      </c>
      <c r="T352" s="38">
        <f t="shared" si="585"/>
        <v>0</v>
      </c>
      <c r="U352" s="38">
        <f t="shared" si="585"/>
        <v>0</v>
      </c>
      <c r="V352" s="38">
        <f t="shared" si="585"/>
        <v>0</v>
      </c>
      <c r="W352" s="38">
        <f t="shared" si="585"/>
        <v>0</v>
      </c>
      <c r="X352" s="38">
        <f t="shared" si="585"/>
        <v>0</v>
      </c>
      <c r="Y352" s="38">
        <f t="shared" si="585"/>
        <v>0</v>
      </c>
      <c r="Z352" s="38">
        <f t="shared" si="585"/>
        <v>0</v>
      </c>
      <c r="AA352" s="38">
        <f t="shared" si="585"/>
        <v>0</v>
      </c>
      <c r="AB352" s="38">
        <f t="shared" si="585"/>
        <v>0</v>
      </c>
      <c r="AC352" s="38">
        <f t="shared" si="585"/>
        <v>0</v>
      </c>
      <c r="AD352" s="38">
        <f t="shared" si="585"/>
        <v>0</v>
      </c>
      <c r="AE352" s="30"/>
      <c r="AF352" s="38">
        <f>SUM(AF351:AF351)</f>
        <v>0</v>
      </c>
      <c r="AG352" s="30"/>
      <c r="AH352" s="38">
        <f t="shared" ref="AH352:AZ352" si="586">SUM(AH351:AH351)</f>
        <v>0</v>
      </c>
      <c r="AI352" s="38">
        <f t="shared" si="586"/>
        <v>0</v>
      </c>
      <c r="AJ352" s="38">
        <f t="shared" si="586"/>
        <v>0</v>
      </c>
      <c r="AK352" s="38">
        <f t="shared" si="586"/>
        <v>0</v>
      </c>
      <c r="AL352" s="38">
        <f t="shared" si="586"/>
        <v>0</v>
      </c>
      <c r="AM352" s="38">
        <f t="shared" si="586"/>
        <v>0</v>
      </c>
      <c r="AN352" s="38">
        <f t="shared" si="586"/>
        <v>0</v>
      </c>
      <c r="AO352" s="38">
        <f t="shared" si="586"/>
        <v>0</v>
      </c>
      <c r="AP352" s="38">
        <f t="shared" si="586"/>
        <v>0</v>
      </c>
      <c r="AQ352" s="38">
        <f t="shared" si="586"/>
        <v>0</v>
      </c>
      <c r="AR352" s="38">
        <f t="shared" si="586"/>
        <v>0</v>
      </c>
      <c r="AS352" s="38">
        <f t="shared" si="586"/>
        <v>0</v>
      </c>
      <c r="AT352" s="38">
        <f t="shared" si="586"/>
        <v>0</v>
      </c>
      <c r="AU352" s="38">
        <f t="shared" si="586"/>
        <v>0</v>
      </c>
      <c r="AV352" s="38">
        <f t="shared" si="586"/>
        <v>0</v>
      </c>
      <c r="AW352" s="38">
        <f>SUM(AW351:AW351)</f>
        <v>918</v>
      </c>
      <c r="AX352" s="38">
        <f t="shared" si="586"/>
        <v>0</v>
      </c>
      <c r="AY352" s="38">
        <f t="shared" si="586"/>
        <v>0</v>
      </c>
      <c r="AZ352" s="38">
        <f t="shared" si="586"/>
        <v>0</v>
      </c>
      <c r="BA352" s="30"/>
      <c r="BB352" s="38">
        <f t="shared" ref="BB352:CT352" si="587">SUM(BB351:BB351)</f>
        <v>0</v>
      </c>
      <c r="BC352" s="38">
        <f t="shared" si="587"/>
        <v>0</v>
      </c>
      <c r="BD352" s="38">
        <f t="shared" si="587"/>
        <v>0</v>
      </c>
      <c r="BE352" s="38">
        <f t="shared" si="587"/>
        <v>0</v>
      </c>
      <c r="BF352" s="38">
        <f t="shared" si="587"/>
        <v>0</v>
      </c>
      <c r="BG352" s="38">
        <f t="shared" si="587"/>
        <v>0</v>
      </c>
      <c r="BH352" s="38">
        <f t="shared" si="587"/>
        <v>0</v>
      </c>
      <c r="BI352" s="38">
        <f t="shared" si="587"/>
        <v>0</v>
      </c>
      <c r="BJ352" s="38">
        <f t="shared" si="587"/>
        <v>0</v>
      </c>
      <c r="BK352" s="38">
        <f t="shared" si="587"/>
        <v>0</v>
      </c>
      <c r="BL352" s="38">
        <f t="shared" si="587"/>
        <v>0</v>
      </c>
      <c r="BM352" s="38">
        <f t="shared" si="587"/>
        <v>0</v>
      </c>
      <c r="BN352" s="38">
        <f t="shared" si="587"/>
        <v>0</v>
      </c>
      <c r="BO352" s="38">
        <f t="shared" si="587"/>
        <v>0</v>
      </c>
      <c r="BP352" s="38">
        <f t="shared" si="587"/>
        <v>0</v>
      </c>
      <c r="BQ352" s="38">
        <f t="shared" si="587"/>
        <v>0</v>
      </c>
      <c r="BR352" s="38">
        <f t="shared" si="587"/>
        <v>0</v>
      </c>
      <c r="BS352" s="38">
        <f t="shared" si="587"/>
        <v>0</v>
      </c>
      <c r="BT352" s="38">
        <f t="shared" si="587"/>
        <v>0</v>
      </c>
      <c r="BU352" s="38">
        <f t="shared" si="587"/>
        <v>0</v>
      </c>
      <c r="BV352" s="38">
        <f t="shared" si="587"/>
        <v>0</v>
      </c>
      <c r="BW352" s="38">
        <f t="shared" si="587"/>
        <v>0</v>
      </c>
      <c r="BX352" s="38">
        <f t="shared" si="587"/>
        <v>0</v>
      </c>
      <c r="BY352" s="38">
        <f t="shared" si="587"/>
        <v>0</v>
      </c>
      <c r="BZ352" s="38">
        <f t="shared" si="587"/>
        <v>0</v>
      </c>
      <c r="CA352" s="38">
        <f t="shared" si="587"/>
        <v>0</v>
      </c>
      <c r="CB352" s="38">
        <f t="shared" si="587"/>
        <v>0</v>
      </c>
      <c r="CC352" s="38">
        <f t="shared" si="587"/>
        <v>0</v>
      </c>
      <c r="CD352" s="38">
        <f t="shared" si="587"/>
        <v>0</v>
      </c>
      <c r="CE352" s="38">
        <f t="shared" si="587"/>
        <v>0</v>
      </c>
      <c r="CF352" s="38">
        <f t="shared" si="587"/>
        <v>0</v>
      </c>
      <c r="CG352" s="38">
        <f t="shared" si="587"/>
        <v>0</v>
      </c>
      <c r="CH352" s="38">
        <f t="shared" si="587"/>
        <v>0</v>
      </c>
      <c r="CI352" s="38">
        <f t="shared" si="587"/>
        <v>0</v>
      </c>
      <c r="CJ352" s="38">
        <f t="shared" si="587"/>
        <v>0</v>
      </c>
      <c r="CK352" s="38">
        <f t="shared" si="587"/>
        <v>0</v>
      </c>
      <c r="CL352" s="38">
        <f t="shared" si="587"/>
        <v>0</v>
      </c>
      <c r="CM352" s="38">
        <f t="shared" si="587"/>
        <v>0</v>
      </c>
      <c r="CN352" s="38">
        <f t="shared" si="587"/>
        <v>0</v>
      </c>
      <c r="CO352" s="38">
        <f t="shared" si="587"/>
        <v>0</v>
      </c>
      <c r="CP352" s="38">
        <f t="shared" si="587"/>
        <v>0</v>
      </c>
      <c r="CQ352" s="38">
        <f t="shared" si="587"/>
        <v>0</v>
      </c>
      <c r="CR352" s="38">
        <f t="shared" si="587"/>
        <v>0</v>
      </c>
      <c r="CS352" s="38">
        <f t="shared" si="587"/>
        <v>0</v>
      </c>
      <c r="CT352" s="38">
        <f t="shared" si="587"/>
        <v>0</v>
      </c>
      <c r="CU352" s="17">
        <f t="shared" si="574"/>
        <v>900</v>
      </c>
      <c r="CV352" s="25">
        <f t="shared" si="575"/>
        <v>0</v>
      </c>
    </row>
    <row r="353" spans="1:100" x14ac:dyDescent="0.2">
      <c r="A353" s="2">
        <v>45877</v>
      </c>
      <c r="B353" s="3" t="s">
        <v>569</v>
      </c>
      <c r="C353" s="4" t="s">
        <v>858</v>
      </c>
      <c r="D353" s="5" t="s">
        <v>570</v>
      </c>
      <c r="E353" s="6" t="s">
        <v>571</v>
      </c>
      <c r="F353" s="7" t="s">
        <v>575</v>
      </c>
      <c r="G353" s="8" t="s">
        <v>572</v>
      </c>
      <c r="H353" s="9">
        <v>2957</v>
      </c>
      <c r="I353" s="10"/>
      <c r="J353" s="11" t="s">
        <v>576</v>
      </c>
      <c r="K353" s="12">
        <v>1</v>
      </c>
      <c r="L353" s="13">
        <v>600</v>
      </c>
      <c r="M353" s="14">
        <f t="shared" ref="M353" si="588">L353*K353</f>
        <v>600</v>
      </c>
      <c r="N353" s="15"/>
      <c r="O353" s="16" t="s">
        <v>137</v>
      </c>
      <c r="P353" s="17">
        <f>M353*0.02</f>
        <v>12</v>
      </c>
      <c r="Q353" s="18"/>
      <c r="R353" s="5"/>
      <c r="S353" s="19"/>
      <c r="T353" s="19"/>
      <c r="U353" s="19"/>
      <c r="V353" s="19"/>
      <c r="W353" s="17"/>
      <c r="X353" s="20"/>
      <c r="Y353" s="19"/>
      <c r="Z353" s="19"/>
      <c r="AA353" s="19"/>
      <c r="AB353" s="19"/>
      <c r="AC353" s="19"/>
      <c r="AD353" s="19"/>
      <c r="AE353" s="5"/>
      <c r="AF353" s="19"/>
      <c r="AG353" s="5"/>
      <c r="AH353" s="17"/>
      <c r="AI353" s="19"/>
      <c r="AJ353" s="19"/>
      <c r="AK353" s="19"/>
      <c r="AL353" s="19"/>
      <c r="AM353" s="17"/>
      <c r="AN353" s="19"/>
      <c r="AO353" s="19"/>
      <c r="AP353" s="19"/>
      <c r="AQ353" s="19"/>
      <c r="AR353" s="19"/>
      <c r="AS353" s="21"/>
      <c r="AT353" s="5"/>
      <c r="AU353" s="19"/>
      <c r="AV353" s="5"/>
      <c r="AW353" s="17">
        <f>M353+P353-Q353</f>
        <v>612</v>
      </c>
      <c r="AX353" s="19"/>
      <c r="AY353" s="5"/>
      <c r="AZ353" s="19"/>
      <c r="BA353" s="5"/>
      <c r="BB353" s="5"/>
      <c r="BC353" s="19"/>
      <c r="BD353" s="19"/>
      <c r="BE353" s="19"/>
      <c r="BF353" s="19"/>
      <c r="BG353" s="19"/>
      <c r="BH353" s="19"/>
      <c r="BI353" s="19"/>
      <c r="BJ353" s="19"/>
      <c r="BK353" s="13"/>
      <c r="BL353" s="5"/>
      <c r="BM353" s="5"/>
      <c r="BN353" s="19"/>
      <c r="BO353" s="17"/>
      <c r="BP353" s="19"/>
      <c r="BQ353" s="17"/>
      <c r="BR353" s="19"/>
      <c r="BS353" s="13"/>
      <c r="BT353" s="5"/>
      <c r="BU353" s="23"/>
      <c r="BV353" s="23"/>
      <c r="BW353" s="24"/>
      <c r="BX353" s="5"/>
      <c r="BY353" s="5"/>
      <c r="BZ353" s="5"/>
      <c r="CA353" s="24"/>
      <c r="CB353" s="24"/>
      <c r="CC353" s="24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>
        <f t="shared" si="574"/>
        <v>600</v>
      </c>
      <c r="CV353" s="25">
        <f t="shared" si="575"/>
        <v>0</v>
      </c>
    </row>
    <row r="354" spans="1:100" x14ac:dyDescent="0.2">
      <c r="A354" s="27"/>
      <c r="B354" s="28"/>
      <c r="C354" s="29"/>
      <c r="D354" s="30"/>
      <c r="E354" s="31"/>
      <c r="F354" s="32"/>
      <c r="G354" s="33"/>
      <c r="H354" s="34"/>
      <c r="I354" s="34"/>
      <c r="J354" s="35"/>
      <c r="K354" s="36"/>
      <c r="L354" s="37"/>
      <c r="M354" s="38">
        <f>SUM(M353:M353)</f>
        <v>600</v>
      </c>
      <c r="N354" s="38"/>
      <c r="O354" s="39" t="s">
        <v>137</v>
      </c>
      <c r="P354" s="38">
        <f>SUM(P353:P353)</f>
        <v>12</v>
      </c>
      <c r="Q354" s="38"/>
      <c r="R354" s="30"/>
      <c r="S354" s="38">
        <f t="shared" ref="S354:AD354" si="589">SUM(S353:S353)</f>
        <v>0</v>
      </c>
      <c r="T354" s="38">
        <f t="shared" si="589"/>
        <v>0</v>
      </c>
      <c r="U354" s="38">
        <f t="shared" si="589"/>
        <v>0</v>
      </c>
      <c r="V354" s="38">
        <f t="shared" si="589"/>
        <v>0</v>
      </c>
      <c r="W354" s="38">
        <f t="shared" si="589"/>
        <v>0</v>
      </c>
      <c r="X354" s="38">
        <f t="shared" si="589"/>
        <v>0</v>
      </c>
      <c r="Y354" s="38">
        <f t="shared" si="589"/>
        <v>0</v>
      </c>
      <c r="Z354" s="38">
        <f t="shared" si="589"/>
        <v>0</v>
      </c>
      <c r="AA354" s="38">
        <f t="shared" si="589"/>
        <v>0</v>
      </c>
      <c r="AB354" s="38">
        <f t="shared" si="589"/>
        <v>0</v>
      </c>
      <c r="AC354" s="38">
        <f t="shared" si="589"/>
        <v>0</v>
      </c>
      <c r="AD354" s="38">
        <f t="shared" si="589"/>
        <v>0</v>
      </c>
      <c r="AE354" s="30"/>
      <c r="AF354" s="38">
        <f>SUM(AF353:AF353)</f>
        <v>0</v>
      </c>
      <c r="AG354" s="30"/>
      <c r="AH354" s="38">
        <f t="shared" ref="AH354:AZ354" si="590">SUM(AH353:AH353)</f>
        <v>0</v>
      </c>
      <c r="AI354" s="38">
        <f t="shared" si="590"/>
        <v>0</v>
      </c>
      <c r="AJ354" s="38">
        <f t="shared" si="590"/>
        <v>0</v>
      </c>
      <c r="AK354" s="38">
        <f t="shared" si="590"/>
        <v>0</v>
      </c>
      <c r="AL354" s="38">
        <f t="shared" si="590"/>
        <v>0</v>
      </c>
      <c r="AM354" s="38">
        <f t="shared" si="590"/>
        <v>0</v>
      </c>
      <c r="AN354" s="38">
        <f t="shared" si="590"/>
        <v>0</v>
      </c>
      <c r="AO354" s="38">
        <f t="shared" si="590"/>
        <v>0</v>
      </c>
      <c r="AP354" s="38">
        <f t="shared" si="590"/>
        <v>0</v>
      </c>
      <c r="AQ354" s="38">
        <f t="shared" si="590"/>
        <v>0</v>
      </c>
      <c r="AR354" s="38">
        <f t="shared" si="590"/>
        <v>0</v>
      </c>
      <c r="AS354" s="38">
        <f t="shared" si="590"/>
        <v>0</v>
      </c>
      <c r="AT354" s="38">
        <f t="shared" si="590"/>
        <v>0</v>
      </c>
      <c r="AU354" s="38">
        <f t="shared" si="590"/>
        <v>0</v>
      </c>
      <c r="AV354" s="38">
        <f t="shared" si="590"/>
        <v>0</v>
      </c>
      <c r="AW354" s="38">
        <f>SUM(AW353:AW353)</f>
        <v>612</v>
      </c>
      <c r="AX354" s="38">
        <f t="shared" si="590"/>
        <v>0</v>
      </c>
      <c r="AY354" s="38">
        <f t="shared" si="590"/>
        <v>0</v>
      </c>
      <c r="AZ354" s="38">
        <f t="shared" si="590"/>
        <v>0</v>
      </c>
      <c r="BA354" s="30"/>
      <c r="BB354" s="38">
        <f t="shared" ref="BB354:CT354" si="591">SUM(BB353:BB353)</f>
        <v>0</v>
      </c>
      <c r="BC354" s="38">
        <f t="shared" si="591"/>
        <v>0</v>
      </c>
      <c r="BD354" s="38">
        <f t="shared" si="591"/>
        <v>0</v>
      </c>
      <c r="BE354" s="38">
        <f t="shared" si="591"/>
        <v>0</v>
      </c>
      <c r="BF354" s="38">
        <f t="shared" si="591"/>
        <v>0</v>
      </c>
      <c r="BG354" s="38">
        <f t="shared" si="591"/>
        <v>0</v>
      </c>
      <c r="BH354" s="38">
        <f t="shared" si="591"/>
        <v>0</v>
      </c>
      <c r="BI354" s="38">
        <f t="shared" si="591"/>
        <v>0</v>
      </c>
      <c r="BJ354" s="38">
        <f t="shared" si="591"/>
        <v>0</v>
      </c>
      <c r="BK354" s="38">
        <f t="shared" si="591"/>
        <v>0</v>
      </c>
      <c r="BL354" s="38">
        <f t="shared" si="591"/>
        <v>0</v>
      </c>
      <c r="BM354" s="38">
        <f t="shared" si="591"/>
        <v>0</v>
      </c>
      <c r="BN354" s="38">
        <f t="shared" si="591"/>
        <v>0</v>
      </c>
      <c r="BO354" s="38">
        <f t="shared" si="591"/>
        <v>0</v>
      </c>
      <c r="BP354" s="38">
        <f t="shared" si="591"/>
        <v>0</v>
      </c>
      <c r="BQ354" s="38">
        <f t="shared" si="591"/>
        <v>0</v>
      </c>
      <c r="BR354" s="38">
        <f t="shared" si="591"/>
        <v>0</v>
      </c>
      <c r="BS354" s="38">
        <f t="shared" si="591"/>
        <v>0</v>
      </c>
      <c r="BT354" s="38">
        <f t="shared" si="591"/>
        <v>0</v>
      </c>
      <c r="BU354" s="38">
        <f t="shared" si="591"/>
        <v>0</v>
      </c>
      <c r="BV354" s="38">
        <f t="shared" si="591"/>
        <v>0</v>
      </c>
      <c r="BW354" s="38">
        <f t="shared" si="591"/>
        <v>0</v>
      </c>
      <c r="BX354" s="38">
        <f t="shared" si="591"/>
        <v>0</v>
      </c>
      <c r="BY354" s="38">
        <f t="shared" si="591"/>
        <v>0</v>
      </c>
      <c r="BZ354" s="38">
        <f t="shared" si="591"/>
        <v>0</v>
      </c>
      <c r="CA354" s="38">
        <f t="shared" si="591"/>
        <v>0</v>
      </c>
      <c r="CB354" s="38">
        <f t="shared" si="591"/>
        <v>0</v>
      </c>
      <c r="CC354" s="38">
        <f t="shared" si="591"/>
        <v>0</v>
      </c>
      <c r="CD354" s="38">
        <f t="shared" si="591"/>
        <v>0</v>
      </c>
      <c r="CE354" s="38">
        <f t="shared" si="591"/>
        <v>0</v>
      </c>
      <c r="CF354" s="38">
        <f t="shared" si="591"/>
        <v>0</v>
      </c>
      <c r="CG354" s="38">
        <f t="shared" si="591"/>
        <v>0</v>
      </c>
      <c r="CH354" s="38">
        <f t="shared" si="591"/>
        <v>0</v>
      </c>
      <c r="CI354" s="38">
        <f t="shared" si="591"/>
        <v>0</v>
      </c>
      <c r="CJ354" s="38">
        <f t="shared" si="591"/>
        <v>0</v>
      </c>
      <c r="CK354" s="38">
        <f t="shared" si="591"/>
        <v>0</v>
      </c>
      <c r="CL354" s="38">
        <f t="shared" si="591"/>
        <v>0</v>
      </c>
      <c r="CM354" s="38">
        <f t="shared" si="591"/>
        <v>0</v>
      </c>
      <c r="CN354" s="38">
        <f t="shared" si="591"/>
        <v>0</v>
      </c>
      <c r="CO354" s="38">
        <f t="shared" si="591"/>
        <v>0</v>
      </c>
      <c r="CP354" s="38">
        <f t="shared" si="591"/>
        <v>0</v>
      </c>
      <c r="CQ354" s="38">
        <f t="shared" si="591"/>
        <v>0</v>
      </c>
      <c r="CR354" s="38">
        <f t="shared" si="591"/>
        <v>0</v>
      </c>
      <c r="CS354" s="38">
        <f t="shared" si="591"/>
        <v>0</v>
      </c>
      <c r="CT354" s="38">
        <f t="shared" si="591"/>
        <v>0</v>
      </c>
      <c r="CU354" s="17">
        <f t="shared" si="574"/>
        <v>600</v>
      </c>
      <c r="CV354" s="25">
        <f t="shared" si="575"/>
        <v>0</v>
      </c>
    </row>
    <row r="355" spans="1:100" x14ac:dyDescent="0.2">
      <c r="A355" s="2">
        <v>45883</v>
      </c>
      <c r="B355" s="3" t="s">
        <v>569</v>
      </c>
      <c r="C355" s="4" t="s">
        <v>859</v>
      </c>
      <c r="D355" s="5" t="s">
        <v>570</v>
      </c>
      <c r="E355" s="6" t="s">
        <v>571</v>
      </c>
      <c r="F355" s="7" t="s">
        <v>575</v>
      </c>
      <c r="G355" s="8" t="s">
        <v>572</v>
      </c>
      <c r="H355" s="9">
        <v>2964</v>
      </c>
      <c r="I355" s="10"/>
      <c r="J355" s="11" t="s">
        <v>576</v>
      </c>
      <c r="K355" s="12">
        <v>1</v>
      </c>
      <c r="L355" s="13">
        <v>600</v>
      </c>
      <c r="M355" s="14">
        <f t="shared" ref="M355" si="592">L355*K355</f>
        <v>600</v>
      </c>
      <c r="N355" s="15"/>
      <c r="O355" s="16" t="s">
        <v>137</v>
      </c>
      <c r="P355" s="17">
        <f>M355*0.02</f>
        <v>12</v>
      </c>
      <c r="Q355" s="18"/>
      <c r="R355" s="5"/>
      <c r="S355" s="19"/>
      <c r="T355" s="19"/>
      <c r="U355" s="19"/>
      <c r="V355" s="19"/>
      <c r="W355" s="17"/>
      <c r="X355" s="20"/>
      <c r="Y355" s="19"/>
      <c r="Z355" s="19"/>
      <c r="AA355" s="19"/>
      <c r="AB355" s="19"/>
      <c r="AC355" s="19"/>
      <c r="AD355" s="19"/>
      <c r="AE355" s="5"/>
      <c r="AF355" s="19"/>
      <c r="AG355" s="5"/>
      <c r="AH355" s="17"/>
      <c r="AI355" s="19"/>
      <c r="AJ355" s="19"/>
      <c r="AK355" s="19"/>
      <c r="AL355" s="19"/>
      <c r="AM355" s="17"/>
      <c r="AN355" s="19"/>
      <c r="AO355" s="19"/>
      <c r="AP355" s="19"/>
      <c r="AQ355" s="19"/>
      <c r="AR355" s="19"/>
      <c r="AS355" s="21"/>
      <c r="AT355" s="5"/>
      <c r="AU355" s="19"/>
      <c r="AV355" s="5"/>
      <c r="AW355" s="17">
        <f>M355+P355-Q355</f>
        <v>612</v>
      </c>
      <c r="AX355" s="19"/>
      <c r="AY355" s="5"/>
      <c r="AZ355" s="19"/>
      <c r="BA355" s="5"/>
      <c r="BB355" s="5"/>
      <c r="BC355" s="19"/>
      <c r="BD355" s="19"/>
      <c r="BE355" s="19"/>
      <c r="BF355" s="19"/>
      <c r="BG355" s="19"/>
      <c r="BH355" s="19"/>
      <c r="BI355" s="19"/>
      <c r="BJ355" s="19"/>
      <c r="BK355" s="13"/>
      <c r="BL355" s="5"/>
      <c r="BM355" s="5"/>
      <c r="BN355" s="19"/>
      <c r="BO355" s="17"/>
      <c r="BP355" s="19"/>
      <c r="BQ355" s="17"/>
      <c r="BR355" s="19"/>
      <c r="BS355" s="13"/>
      <c r="BT355" s="5"/>
      <c r="BU355" s="23"/>
      <c r="BV355" s="23"/>
      <c r="BW355" s="24"/>
      <c r="BX355" s="5"/>
      <c r="BY355" s="5"/>
      <c r="BZ355" s="5"/>
      <c r="CA355" s="24"/>
      <c r="CB355" s="24"/>
      <c r="CC355" s="24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>
        <f t="shared" si="574"/>
        <v>600</v>
      </c>
      <c r="CV355" s="25">
        <f t="shared" si="575"/>
        <v>0</v>
      </c>
    </row>
    <row r="356" spans="1:100" x14ac:dyDescent="0.2">
      <c r="A356" s="27"/>
      <c r="B356" s="28"/>
      <c r="C356" s="29"/>
      <c r="D356" s="30"/>
      <c r="E356" s="31"/>
      <c r="F356" s="32"/>
      <c r="G356" s="33"/>
      <c r="H356" s="34"/>
      <c r="I356" s="34"/>
      <c r="J356" s="35"/>
      <c r="K356" s="36"/>
      <c r="L356" s="37"/>
      <c r="M356" s="38">
        <f>SUM(M355:M355)</f>
        <v>600</v>
      </c>
      <c r="N356" s="38"/>
      <c r="O356" s="39" t="s">
        <v>137</v>
      </c>
      <c r="P356" s="38">
        <f>SUM(P355:P355)</f>
        <v>12</v>
      </c>
      <c r="Q356" s="38"/>
      <c r="R356" s="30"/>
      <c r="S356" s="38">
        <f t="shared" ref="S356:AD356" si="593">SUM(S355:S355)</f>
        <v>0</v>
      </c>
      <c r="T356" s="38">
        <f t="shared" si="593"/>
        <v>0</v>
      </c>
      <c r="U356" s="38">
        <f t="shared" si="593"/>
        <v>0</v>
      </c>
      <c r="V356" s="38">
        <f t="shared" si="593"/>
        <v>0</v>
      </c>
      <c r="W356" s="38">
        <f t="shared" si="593"/>
        <v>0</v>
      </c>
      <c r="X356" s="38">
        <f t="shared" si="593"/>
        <v>0</v>
      </c>
      <c r="Y356" s="38">
        <f t="shared" si="593"/>
        <v>0</v>
      </c>
      <c r="Z356" s="38">
        <f t="shared" si="593"/>
        <v>0</v>
      </c>
      <c r="AA356" s="38">
        <f t="shared" si="593"/>
        <v>0</v>
      </c>
      <c r="AB356" s="38">
        <f t="shared" si="593"/>
        <v>0</v>
      </c>
      <c r="AC356" s="38">
        <f t="shared" si="593"/>
        <v>0</v>
      </c>
      <c r="AD356" s="38">
        <f t="shared" si="593"/>
        <v>0</v>
      </c>
      <c r="AE356" s="30"/>
      <c r="AF356" s="38">
        <f>SUM(AF355:AF355)</f>
        <v>0</v>
      </c>
      <c r="AG356" s="30"/>
      <c r="AH356" s="38">
        <f t="shared" ref="AH356:AZ356" si="594">SUM(AH355:AH355)</f>
        <v>0</v>
      </c>
      <c r="AI356" s="38">
        <f t="shared" si="594"/>
        <v>0</v>
      </c>
      <c r="AJ356" s="38">
        <f t="shared" si="594"/>
        <v>0</v>
      </c>
      <c r="AK356" s="38">
        <f t="shared" si="594"/>
        <v>0</v>
      </c>
      <c r="AL356" s="38">
        <f t="shared" si="594"/>
        <v>0</v>
      </c>
      <c r="AM356" s="38">
        <f t="shared" si="594"/>
        <v>0</v>
      </c>
      <c r="AN356" s="38">
        <f t="shared" si="594"/>
        <v>0</v>
      </c>
      <c r="AO356" s="38">
        <f t="shared" si="594"/>
        <v>0</v>
      </c>
      <c r="AP356" s="38">
        <f t="shared" si="594"/>
        <v>0</v>
      </c>
      <c r="AQ356" s="38">
        <f t="shared" si="594"/>
        <v>0</v>
      </c>
      <c r="AR356" s="38">
        <f t="shared" si="594"/>
        <v>0</v>
      </c>
      <c r="AS356" s="38">
        <f t="shared" si="594"/>
        <v>0</v>
      </c>
      <c r="AT356" s="38">
        <f t="shared" si="594"/>
        <v>0</v>
      </c>
      <c r="AU356" s="38">
        <f t="shared" si="594"/>
        <v>0</v>
      </c>
      <c r="AV356" s="38">
        <f t="shared" si="594"/>
        <v>0</v>
      </c>
      <c r="AW356" s="38">
        <f>SUM(AW355:AW355)</f>
        <v>612</v>
      </c>
      <c r="AX356" s="38">
        <f t="shared" si="594"/>
        <v>0</v>
      </c>
      <c r="AY356" s="38">
        <f t="shared" si="594"/>
        <v>0</v>
      </c>
      <c r="AZ356" s="38">
        <f t="shared" si="594"/>
        <v>0</v>
      </c>
      <c r="BA356" s="30"/>
      <c r="BB356" s="38">
        <f t="shared" ref="BB356:CT356" si="595">SUM(BB355:BB355)</f>
        <v>0</v>
      </c>
      <c r="BC356" s="38">
        <f t="shared" si="595"/>
        <v>0</v>
      </c>
      <c r="BD356" s="38">
        <f t="shared" si="595"/>
        <v>0</v>
      </c>
      <c r="BE356" s="38">
        <f t="shared" si="595"/>
        <v>0</v>
      </c>
      <c r="BF356" s="38">
        <f t="shared" si="595"/>
        <v>0</v>
      </c>
      <c r="BG356" s="38">
        <f t="shared" si="595"/>
        <v>0</v>
      </c>
      <c r="BH356" s="38">
        <f t="shared" si="595"/>
        <v>0</v>
      </c>
      <c r="BI356" s="38">
        <f t="shared" si="595"/>
        <v>0</v>
      </c>
      <c r="BJ356" s="38">
        <f t="shared" si="595"/>
        <v>0</v>
      </c>
      <c r="BK356" s="38">
        <f t="shared" si="595"/>
        <v>0</v>
      </c>
      <c r="BL356" s="38">
        <f t="shared" si="595"/>
        <v>0</v>
      </c>
      <c r="BM356" s="38">
        <f t="shared" si="595"/>
        <v>0</v>
      </c>
      <c r="BN356" s="38">
        <f t="shared" si="595"/>
        <v>0</v>
      </c>
      <c r="BO356" s="38">
        <f t="shared" si="595"/>
        <v>0</v>
      </c>
      <c r="BP356" s="38">
        <f t="shared" si="595"/>
        <v>0</v>
      </c>
      <c r="BQ356" s="38">
        <f t="shared" si="595"/>
        <v>0</v>
      </c>
      <c r="BR356" s="38">
        <f t="shared" si="595"/>
        <v>0</v>
      </c>
      <c r="BS356" s="38">
        <f t="shared" si="595"/>
        <v>0</v>
      </c>
      <c r="BT356" s="38">
        <f t="shared" si="595"/>
        <v>0</v>
      </c>
      <c r="BU356" s="38">
        <f t="shared" si="595"/>
        <v>0</v>
      </c>
      <c r="BV356" s="38">
        <f t="shared" si="595"/>
        <v>0</v>
      </c>
      <c r="BW356" s="38">
        <f t="shared" si="595"/>
        <v>0</v>
      </c>
      <c r="BX356" s="38">
        <f t="shared" si="595"/>
        <v>0</v>
      </c>
      <c r="BY356" s="38">
        <f t="shared" si="595"/>
        <v>0</v>
      </c>
      <c r="BZ356" s="38">
        <f t="shared" si="595"/>
        <v>0</v>
      </c>
      <c r="CA356" s="38">
        <f t="shared" si="595"/>
        <v>0</v>
      </c>
      <c r="CB356" s="38">
        <f t="shared" si="595"/>
        <v>0</v>
      </c>
      <c r="CC356" s="38">
        <f t="shared" si="595"/>
        <v>0</v>
      </c>
      <c r="CD356" s="38">
        <f t="shared" si="595"/>
        <v>0</v>
      </c>
      <c r="CE356" s="38">
        <f t="shared" si="595"/>
        <v>0</v>
      </c>
      <c r="CF356" s="38">
        <f t="shared" si="595"/>
        <v>0</v>
      </c>
      <c r="CG356" s="38">
        <f t="shared" si="595"/>
        <v>0</v>
      </c>
      <c r="CH356" s="38">
        <f t="shared" si="595"/>
        <v>0</v>
      </c>
      <c r="CI356" s="38">
        <f t="shared" si="595"/>
        <v>0</v>
      </c>
      <c r="CJ356" s="38">
        <f t="shared" si="595"/>
        <v>0</v>
      </c>
      <c r="CK356" s="38">
        <f t="shared" si="595"/>
        <v>0</v>
      </c>
      <c r="CL356" s="38">
        <f t="shared" si="595"/>
        <v>0</v>
      </c>
      <c r="CM356" s="38">
        <f t="shared" si="595"/>
        <v>0</v>
      </c>
      <c r="CN356" s="38">
        <f t="shared" si="595"/>
        <v>0</v>
      </c>
      <c r="CO356" s="38">
        <f t="shared" si="595"/>
        <v>0</v>
      </c>
      <c r="CP356" s="38">
        <f t="shared" si="595"/>
        <v>0</v>
      </c>
      <c r="CQ356" s="38">
        <f t="shared" si="595"/>
        <v>0</v>
      </c>
      <c r="CR356" s="38">
        <f t="shared" si="595"/>
        <v>0</v>
      </c>
      <c r="CS356" s="38">
        <f t="shared" si="595"/>
        <v>0</v>
      </c>
      <c r="CT356" s="38">
        <f t="shared" si="595"/>
        <v>0</v>
      </c>
      <c r="CU356" s="17">
        <f t="shared" si="574"/>
        <v>600</v>
      </c>
      <c r="CV356" s="25">
        <f t="shared" si="575"/>
        <v>0</v>
      </c>
    </row>
    <row r="357" spans="1:100" x14ac:dyDescent="0.2">
      <c r="A357" s="2">
        <v>45877</v>
      </c>
      <c r="B357" s="3" t="s">
        <v>569</v>
      </c>
      <c r="C357" s="4" t="s">
        <v>860</v>
      </c>
      <c r="D357" s="5" t="s">
        <v>570</v>
      </c>
      <c r="E357" s="6" t="s">
        <v>571</v>
      </c>
      <c r="F357" s="7" t="s">
        <v>575</v>
      </c>
      <c r="G357" s="8" t="s">
        <v>572</v>
      </c>
      <c r="H357" s="9">
        <v>2956</v>
      </c>
      <c r="I357" s="10"/>
      <c r="J357" s="11" t="s">
        <v>576</v>
      </c>
      <c r="K357" s="12">
        <v>1</v>
      </c>
      <c r="L357" s="13">
        <v>900</v>
      </c>
      <c r="M357" s="14">
        <f t="shared" ref="M357" si="596">L357*K357</f>
        <v>900</v>
      </c>
      <c r="N357" s="15"/>
      <c r="O357" s="16" t="s">
        <v>137</v>
      </c>
      <c r="P357" s="17">
        <f>M357*0.02</f>
        <v>18</v>
      </c>
      <c r="Q357" s="18"/>
      <c r="R357" s="5"/>
      <c r="S357" s="19"/>
      <c r="T357" s="19"/>
      <c r="U357" s="19"/>
      <c r="V357" s="19"/>
      <c r="W357" s="17"/>
      <c r="X357" s="20"/>
      <c r="Y357" s="19"/>
      <c r="Z357" s="19"/>
      <c r="AA357" s="19"/>
      <c r="AB357" s="19"/>
      <c r="AC357" s="19"/>
      <c r="AD357" s="19"/>
      <c r="AE357" s="5"/>
      <c r="AF357" s="19"/>
      <c r="AG357" s="5"/>
      <c r="AH357" s="17"/>
      <c r="AI357" s="19"/>
      <c r="AJ357" s="19"/>
      <c r="AK357" s="19"/>
      <c r="AL357" s="19"/>
      <c r="AM357" s="17"/>
      <c r="AN357" s="19"/>
      <c r="AO357" s="19"/>
      <c r="AP357" s="19"/>
      <c r="AQ357" s="19"/>
      <c r="AR357" s="19"/>
      <c r="AS357" s="21"/>
      <c r="AT357" s="5"/>
      <c r="AU357" s="19"/>
      <c r="AV357" s="5"/>
      <c r="AW357" s="17">
        <f>M357+P357-Q357</f>
        <v>918</v>
      </c>
      <c r="AX357" s="19"/>
      <c r="AY357" s="5"/>
      <c r="AZ357" s="19"/>
      <c r="BA357" s="5"/>
      <c r="BB357" s="5"/>
      <c r="BC357" s="19"/>
      <c r="BD357" s="19"/>
      <c r="BE357" s="19"/>
      <c r="BF357" s="19"/>
      <c r="BG357" s="19"/>
      <c r="BH357" s="19"/>
      <c r="BI357" s="19"/>
      <c r="BJ357" s="19"/>
      <c r="BK357" s="13"/>
      <c r="BL357" s="5"/>
      <c r="BM357" s="5"/>
      <c r="BN357" s="19"/>
      <c r="BO357" s="17"/>
      <c r="BP357" s="19"/>
      <c r="BQ357" s="17"/>
      <c r="BR357" s="19"/>
      <c r="BS357" s="13"/>
      <c r="BT357" s="5"/>
      <c r="BU357" s="23"/>
      <c r="BV357" s="23"/>
      <c r="BW357" s="24"/>
      <c r="BX357" s="5"/>
      <c r="BY357" s="5"/>
      <c r="BZ357" s="5"/>
      <c r="CA357" s="24"/>
      <c r="CB357" s="24"/>
      <c r="CC357" s="24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>
        <f t="shared" si="574"/>
        <v>900</v>
      </c>
      <c r="CV357" s="25">
        <f t="shared" si="575"/>
        <v>0</v>
      </c>
    </row>
    <row r="358" spans="1:100" x14ac:dyDescent="0.2">
      <c r="A358" s="27"/>
      <c r="B358" s="28"/>
      <c r="C358" s="29"/>
      <c r="D358" s="30"/>
      <c r="E358" s="31"/>
      <c r="F358" s="32"/>
      <c r="G358" s="33"/>
      <c r="H358" s="34"/>
      <c r="I358" s="34"/>
      <c r="J358" s="35"/>
      <c r="K358" s="36"/>
      <c r="L358" s="37"/>
      <c r="M358" s="38">
        <f>SUM(M357:M357)</f>
        <v>900</v>
      </c>
      <c r="N358" s="38"/>
      <c r="O358" s="39" t="s">
        <v>137</v>
      </c>
      <c r="P358" s="38">
        <f>SUM(P357:P357)</f>
        <v>18</v>
      </c>
      <c r="Q358" s="38"/>
      <c r="R358" s="30"/>
      <c r="S358" s="38">
        <f t="shared" ref="S358:AD358" si="597">SUM(S357:S357)</f>
        <v>0</v>
      </c>
      <c r="T358" s="38">
        <f t="shared" si="597"/>
        <v>0</v>
      </c>
      <c r="U358" s="38">
        <f t="shared" si="597"/>
        <v>0</v>
      </c>
      <c r="V358" s="38">
        <f t="shared" si="597"/>
        <v>0</v>
      </c>
      <c r="W358" s="38">
        <f t="shared" si="597"/>
        <v>0</v>
      </c>
      <c r="X358" s="38">
        <f t="shared" si="597"/>
        <v>0</v>
      </c>
      <c r="Y358" s="38">
        <f t="shared" si="597"/>
        <v>0</v>
      </c>
      <c r="Z358" s="38">
        <f t="shared" si="597"/>
        <v>0</v>
      </c>
      <c r="AA358" s="38">
        <f t="shared" si="597"/>
        <v>0</v>
      </c>
      <c r="AB358" s="38">
        <f t="shared" si="597"/>
        <v>0</v>
      </c>
      <c r="AC358" s="38">
        <f t="shared" si="597"/>
        <v>0</v>
      </c>
      <c r="AD358" s="38">
        <f t="shared" si="597"/>
        <v>0</v>
      </c>
      <c r="AE358" s="30"/>
      <c r="AF358" s="38">
        <f>SUM(AF357:AF357)</f>
        <v>0</v>
      </c>
      <c r="AG358" s="30"/>
      <c r="AH358" s="38">
        <f t="shared" ref="AH358:AZ358" si="598">SUM(AH357:AH357)</f>
        <v>0</v>
      </c>
      <c r="AI358" s="38">
        <f t="shared" si="598"/>
        <v>0</v>
      </c>
      <c r="AJ358" s="38">
        <f t="shared" si="598"/>
        <v>0</v>
      </c>
      <c r="AK358" s="38">
        <f t="shared" si="598"/>
        <v>0</v>
      </c>
      <c r="AL358" s="38">
        <f t="shared" si="598"/>
        <v>0</v>
      </c>
      <c r="AM358" s="38">
        <f t="shared" si="598"/>
        <v>0</v>
      </c>
      <c r="AN358" s="38">
        <f t="shared" si="598"/>
        <v>0</v>
      </c>
      <c r="AO358" s="38">
        <f t="shared" si="598"/>
        <v>0</v>
      </c>
      <c r="AP358" s="38">
        <f t="shared" si="598"/>
        <v>0</v>
      </c>
      <c r="AQ358" s="38">
        <f t="shared" si="598"/>
        <v>0</v>
      </c>
      <c r="AR358" s="38">
        <f t="shared" si="598"/>
        <v>0</v>
      </c>
      <c r="AS358" s="38">
        <f t="shared" si="598"/>
        <v>0</v>
      </c>
      <c r="AT358" s="38">
        <f t="shared" si="598"/>
        <v>0</v>
      </c>
      <c r="AU358" s="38">
        <f t="shared" si="598"/>
        <v>0</v>
      </c>
      <c r="AV358" s="38">
        <f t="shared" si="598"/>
        <v>0</v>
      </c>
      <c r="AW358" s="38">
        <f>SUM(AW357:AW357)</f>
        <v>918</v>
      </c>
      <c r="AX358" s="38">
        <f t="shared" si="598"/>
        <v>0</v>
      </c>
      <c r="AY358" s="38">
        <f t="shared" si="598"/>
        <v>0</v>
      </c>
      <c r="AZ358" s="38">
        <f t="shared" si="598"/>
        <v>0</v>
      </c>
      <c r="BA358" s="30"/>
      <c r="BB358" s="38">
        <f t="shared" ref="BB358:CT358" si="599">SUM(BB357:BB357)</f>
        <v>0</v>
      </c>
      <c r="BC358" s="38">
        <f t="shared" si="599"/>
        <v>0</v>
      </c>
      <c r="BD358" s="38">
        <f t="shared" si="599"/>
        <v>0</v>
      </c>
      <c r="BE358" s="38">
        <f t="shared" si="599"/>
        <v>0</v>
      </c>
      <c r="BF358" s="38">
        <f t="shared" si="599"/>
        <v>0</v>
      </c>
      <c r="BG358" s="38">
        <f t="shared" si="599"/>
        <v>0</v>
      </c>
      <c r="BH358" s="38">
        <f t="shared" si="599"/>
        <v>0</v>
      </c>
      <c r="BI358" s="38">
        <f t="shared" si="599"/>
        <v>0</v>
      </c>
      <c r="BJ358" s="38">
        <f t="shared" si="599"/>
        <v>0</v>
      </c>
      <c r="BK358" s="38">
        <f t="shared" si="599"/>
        <v>0</v>
      </c>
      <c r="BL358" s="38">
        <f t="shared" si="599"/>
        <v>0</v>
      </c>
      <c r="BM358" s="38">
        <f t="shared" si="599"/>
        <v>0</v>
      </c>
      <c r="BN358" s="38">
        <f t="shared" si="599"/>
        <v>0</v>
      </c>
      <c r="BO358" s="38">
        <f t="shared" si="599"/>
        <v>0</v>
      </c>
      <c r="BP358" s="38">
        <f t="shared" si="599"/>
        <v>0</v>
      </c>
      <c r="BQ358" s="38">
        <f t="shared" si="599"/>
        <v>0</v>
      </c>
      <c r="BR358" s="38">
        <f t="shared" si="599"/>
        <v>0</v>
      </c>
      <c r="BS358" s="38">
        <f t="shared" si="599"/>
        <v>0</v>
      </c>
      <c r="BT358" s="38">
        <f t="shared" si="599"/>
        <v>0</v>
      </c>
      <c r="BU358" s="38">
        <f t="shared" si="599"/>
        <v>0</v>
      </c>
      <c r="BV358" s="38">
        <f t="shared" si="599"/>
        <v>0</v>
      </c>
      <c r="BW358" s="38">
        <f t="shared" si="599"/>
        <v>0</v>
      </c>
      <c r="BX358" s="38">
        <f t="shared" si="599"/>
        <v>0</v>
      </c>
      <c r="BY358" s="38">
        <f t="shared" si="599"/>
        <v>0</v>
      </c>
      <c r="BZ358" s="38">
        <f t="shared" si="599"/>
        <v>0</v>
      </c>
      <c r="CA358" s="38">
        <f t="shared" si="599"/>
        <v>0</v>
      </c>
      <c r="CB358" s="38">
        <f t="shared" si="599"/>
        <v>0</v>
      </c>
      <c r="CC358" s="38">
        <f t="shared" si="599"/>
        <v>0</v>
      </c>
      <c r="CD358" s="38">
        <f t="shared" si="599"/>
        <v>0</v>
      </c>
      <c r="CE358" s="38">
        <f t="shared" si="599"/>
        <v>0</v>
      </c>
      <c r="CF358" s="38">
        <f t="shared" si="599"/>
        <v>0</v>
      </c>
      <c r="CG358" s="38">
        <f t="shared" si="599"/>
        <v>0</v>
      </c>
      <c r="CH358" s="38">
        <f t="shared" si="599"/>
        <v>0</v>
      </c>
      <c r="CI358" s="38">
        <f t="shared" si="599"/>
        <v>0</v>
      </c>
      <c r="CJ358" s="38">
        <f t="shared" si="599"/>
        <v>0</v>
      </c>
      <c r="CK358" s="38">
        <f t="shared" si="599"/>
        <v>0</v>
      </c>
      <c r="CL358" s="38">
        <f t="shared" si="599"/>
        <v>0</v>
      </c>
      <c r="CM358" s="38">
        <f t="shared" si="599"/>
        <v>0</v>
      </c>
      <c r="CN358" s="38">
        <f t="shared" si="599"/>
        <v>0</v>
      </c>
      <c r="CO358" s="38">
        <f t="shared" si="599"/>
        <v>0</v>
      </c>
      <c r="CP358" s="38">
        <f t="shared" si="599"/>
        <v>0</v>
      </c>
      <c r="CQ358" s="38">
        <f t="shared" si="599"/>
        <v>0</v>
      </c>
      <c r="CR358" s="38">
        <f t="shared" si="599"/>
        <v>0</v>
      </c>
      <c r="CS358" s="38">
        <f t="shared" si="599"/>
        <v>0</v>
      </c>
      <c r="CT358" s="38">
        <f t="shared" si="599"/>
        <v>0</v>
      </c>
      <c r="CU358" s="17">
        <f t="shared" si="574"/>
        <v>900</v>
      </c>
      <c r="CV358" s="25">
        <f t="shared" si="575"/>
        <v>0</v>
      </c>
    </row>
    <row r="359" spans="1:100" x14ac:dyDescent="0.2">
      <c r="A359" s="2">
        <v>45883</v>
      </c>
      <c r="B359" s="3" t="s">
        <v>569</v>
      </c>
      <c r="C359" s="4" t="s">
        <v>861</v>
      </c>
      <c r="D359" s="5" t="s">
        <v>570</v>
      </c>
      <c r="E359" s="6" t="s">
        <v>571</v>
      </c>
      <c r="F359" s="7" t="s">
        <v>575</v>
      </c>
      <c r="G359" s="8" t="s">
        <v>572</v>
      </c>
      <c r="H359" s="9">
        <v>365</v>
      </c>
      <c r="I359" s="10"/>
      <c r="J359" s="11" t="s">
        <v>310</v>
      </c>
      <c r="K359" s="12">
        <v>1</v>
      </c>
      <c r="L359" s="13">
        <v>500</v>
      </c>
      <c r="M359" s="14">
        <f t="shared" ref="M359" si="600">L359*K359</f>
        <v>500</v>
      </c>
      <c r="N359" s="15"/>
      <c r="O359" s="16" t="s">
        <v>137</v>
      </c>
      <c r="P359" s="17">
        <f>M359*0.02</f>
        <v>10</v>
      </c>
      <c r="Q359" s="18"/>
      <c r="R359" s="5"/>
      <c r="S359" s="19"/>
      <c r="T359" s="19"/>
      <c r="U359" s="19"/>
      <c r="V359" s="19"/>
      <c r="W359" s="17"/>
      <c r="X359" s="20"/>
      <c r="Y359" s="19"/>
      <c r="Z359" s="19"/>
      <c r="AA359" s="19"/>
      <c r="AB359" s="19"/>
      <c r="AC359" s="19"/>
      <c r="AD359" s="19"/>
      <c r="AE359" s="5"/>
      <c r="AF359" s="19"/>
      <c r="AG359" s="5"/>
      <c r="AH359" s="17"/>
      <c r="AI359" s="19"/>
      <c r="AJ359" s="19"/>
      <c r="AK359" s="19"/>
      <c r="AL359" s="19"/>
      <c r="AM359" s="17"/>
      <c r="AN359" s="19"/>
      <c r="AO359" s="19"/>
      <c r="AP359" s="19"/>
      <c r="AQ359" s="19"/>
      <c r="AR359" s="19"/>
      <c r="AS359" s="21"/>
      <c r="AT359" s="5"/>
      <c r="AU359" s="19"/>
      <c r="AV359" s="5"/>
      <c r="AW359" s="17">
        <f>M359+P359-Q359</f>
        <v>510</v>
      </c>
      <c r="AX359" s="19"/>
      <c r="AY359" s="5"/>
      <c r="AZ359" s="19"/>
      <c r="BA359" s="5"/>
      <c r="BB359" s="5"/>
      <c r="BC359" s="19"/>
      <c r="BD359" s="19"/>
      <c r="BE359" s="19"/>
      <c r="BF359" s="19"/>
      <c r="BG359" s="19"/>
      <c r="BH359" s="19"/>
      <c r="BI359" s="19"/>
      <c r="BJ359" s="19"/>
      <c r="BK359" s="13"/>
      <c r="BL359" s="5"/>
      <c r="BM359" s="5"/>
      <c r="BN359" s="19"/>
      <c r="BO359" s="17"/>
      <c r="BP359" s="19"/>
      <c r="BQ359" s="17"/>
      <c r="BR359" s="19"/>
      <c r="BS359" s="13"/>
      <c r="BT359" s="5"/>
      <c r="BU359" s="23"/>
      <c r="BV359" s="23"/>
      <c r="BW359" s="24"/>
      <c r="BX359" s="5"/>
      <c r="BY359" s="5"/>
      <c r="BZ359" s="5"/>
      <c r="CA359" s="24"/>
      <c r="CB359" s="24"/>
      <c r="CC359" s="24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>
        <f t="shared" si="574"/>
        <v>500</v>
      </c>
      <c r="CV359" s="25">
        <f t="shared" si="575"/>
        <v>0</v>
      </c>
    </row>
    <row r="360" spans="1:100" x14ac:dyDescent="0.2">
      <c r="A360" s="27"/>
      <c r="B360" s="28"/>
      <c r="C360" s="29"/>
      <c r="D360" s="30"/>
      <c r="E360" s="31"/>
      <c r="F360" s="32"/>
      <c r="G360" s="33"/>
      <c r="H360" s="34"/>
      <c r="I360" s="34"/>
      <c r="J360" s="35"/>
      <c r="K360" s="36"/>
      <c r="L360" s="37"/>
      <c r="M360" s="38">
        <f>SUM(M359:M359)</f>
        <v>500</v>
      </c>
      <c r="N360" s="38"/>
      <c r="O360" s="39" t="s">
        <v>137</v>
      </c>
      <c r="P360" s="38">
        <f>SUM(P359:P359)</f>
        <v>10</v>
      </c>
      <c r="Q360" s="38"/>
      <c r="R360" s="30"/>
      <c r="S360" s="38">
        <f t="shared" ref="S360:AD360" si="601">SUM(S359:S359)</f>
        <v>0</v>
      </c>
      <c r="T360" s="38">
        <f t="shared" si="601"/>
        <v>0</v>
      </c>
      <c r="U360" s="38">
        <f t="shared" si="601"/>
        <v>0</v>
      </c>
      <c r="V360" s="38">
        <f t="shared" si="601"/>
        <v>0</v>
      </c>
      <c r="W360" s="38">
        <f t="shared" si="601"/>
        <v>0</v>
      </c>
      <c r="X360" s="38">
        <f t="shared" si="601"/>
        <v>0</v>
      </c>
      <c r="Y360" s="38">
        <f t="shared" si="601"/>
        <v>0</v>
      </c>
      <c r="Z360" s="38">
        <f t="shared" si="601"/>
        <v>0</v>
      </c>
      <c r="AA360" s="38">
        <f t="shared" si="601"/>
        <v>0</v>
      </c>
      <c r="AB360" s="38">
        <f t="shared" si="601"/>
        <v>0</v>
      </c>
      <c r="AC360" s="38">
        <f t="shared" si="601"/>
        <v>0</v>
      </c>
      <c r="AD360" s="38">
        <f t="shared" si="601"/>
        <v>0</v>
      </c>
      <c r="AE360" s="30"/>
      <c r="AF360" s="38">
        <f>SUM(AF359:AF359)</f>
        <v>0</v>
      </c>
      <c r="AG360" s="30"/>
      <c r="AH360" s="38">
        <f t="shared" ref="AH360:AZ360" si="602">SUM(AH359:AH359)</f>
        <v>0</v>
      </c>
      <c r="AI360" s="38">
        <f t="shared" si="602"/>
        <v>0</v>
      </c>
      <c r="AJ360" s="38">
        <f t="shared" si="602"/>
        <v>0</v>
      </c>
      <c r="AK360" s="38">
        <f t="shared" si="602"/>
        <v>0</v>
      </c>
      <c r="AL360" s="38">
        <f t="shared" si="602"/>
        <v>0</v>
      </c>
      <c r="AM360" s="38">
        <f t="shared" si="602"/>
        <v>0</v>
      </c>
      <c r="AN360" s="38">
        <f t="shared" si="602"/>
        <v>0</v>
      </c>
      <c r="AO360" s="38">
        <f t="shared" si="602"/>
        <v>0</v>
      </c>
      <c r="AP360" s="38">
        <f t="shared" si="602"/>
        <v>0</v>
      </c>
      <c r="AQ360" s="38">
        <f t="shared" si="602"/>
        <v>0</v>
      </c>
      <c r="AR360" s="38">
        <f t="shared" si="602"/>
        <v>0</v>
      </c>
      <c r="AS360" s="38">
        <f t="shared" si="602"/>
        <v>0</v>
      </c>
      <c r="AT360" s="38">
        <f t="shared" si="602"/>
        <v>0</v>
      </c>
      <c r="AU360" s="38">
        <f t="shared" si="602"/>
        <v>0</v>
      </c>
      <c r="AV360" s="38">
        <f t="shared" si="602"/>
        <v>0</v>
      </c>
      <c r="AW360" s="38">
        <f>SUM(AW359:AW359)</f>
        <v>510</v>
      </c>
      <c r="AX360" s="38">
        <f t="shared" si="602"/>
        <v>0</v>
      </c>
      <c r="AY360" s="38">
        <f t="shared" si="602"/>
        <v>0</v>
      </c>
      <c r="AZ360" s="38">
        <f t="shared" si="602"/>
        <v>0</v>
      </c>
      <c r="BA360" s="30"/>
      <c r="BB360" s="38">
        <f t="shared" ref="BB360:CT360" si="603">SUM(BB359:BB359)</f>
        <v>0</v>
      </c>
      <c r="BC360" s="38">
        <f t="shared" si="603"/>
        <v>0</v>
      </c>
      <c r="BD360" s="38">
        <f t="shared" si="603"/>
        <v>0</v>
      </c>
      <c r="BE360" s="38">
        <f t="shared" si="603"/>
        <v>0</v>
      </c>
      <c r="BF360" s="38">
        <f t="shared" si="603"/>
        <v>0</v>
      </c>
      <c r="BG360" s="38">
        <f t="shared" si="603"/>
        <v>0</v>
      </c>
      <c r="BH360" s="38">
        <f t="shared" si="603"/>
        <v>0</v>
      </c>
      <c r="BI360" s="38">
        <f t="shared" si="603"/>
        <v>0</v>
      </c>
      <c r="BJ360" s="38">
        <f t="shared" si="603"/>
        <v>0</v>
      </c>
      <c r="BK360" s="38">
        <f t="shared" si="603"/>
        <v>0</v>
      </c>
      <c r="BL360" s="38">
        <f t="shared" si="603"/>
        <v>0</v>
      </c>
      <c r="BM360" s="38">
        <f t="shared" si="603"/>
        <v>0</v>
      </c>
      <c r="BN360" s="38">
        <f t="shared" si="603"/>
        <v>0</v>
      </c>
      <c r="BO360" s="38">
        <f t="shared" si="603"/>
        <v>0</v>
      </c>
      <c r="BP360" s="38">
        <f t="shared" si="603"/>
        <v>0</v>
      </c>
      <c r="BQ360" s="38">
        <f t="shared" si="603"/>
        <v>0</v>
      </c>
      <c r="BR360" s="38">
        <f t="shared" si="603"/>
        <v>0</v>
      </c>
      <c r="BS360" s="38">
        <f t="shared" si="603"/>
        <v>0</v>
      </c>
      <c r="BT360" s="38">
        <f t="shared" si="603"/>
        <v>0</v>
      </c>
      <c r="BU360" s="38">
        <f t="shared" si="603"/>
        <v>0</v>
      </c>
      <c r="BV360" s="38">
        <f t="shared" si="603"/>
        <v>0</v>
      </c>
      <c r="BW360" s="38">
        <f t="shared" si="603"/>
        <v>0</v>
      </c>
      <c r="BX360" s="38">
        <f t="shared" si="603"/>
        <v>0</v>
      </c>
      <c r="BY360" s="38">
        <f t="shared" si="603"/>
        <v>0</v>
      </c>
      <c r="BZ360" s="38">
        <f t="shared" si="603"/>
        <v>0</v>
      </c>
      <c r="CA360" s="38">
        <f t="shared" si="603"/>
        <v>0</v>
      </c>
      <c r="CB360" s="38">
        <f t="shared" si="603"/>
        <v>0</v>
      </c>
      <c r="CC360" s="38">
        <f t="shared" si="603"/>
        <v>0</v>
      </c>
      <c r="CD360" s="38">
        <f t="shared" si="603"/>
        <v>0</v>
      </c>
      <c r="CE360" s="38">
        <f t="shared" si="603"/>
        <v>0</v>
      </c>
      <c r="CF360" s="38">
        <f t="shared" si="603"/>
        <v>0</v>
      </c>
      <c r="CG360" s="38">
        <f t="shared" si="603"/>
        <v>0</v>
      </c>
      <c r="CH360" s="38">
        <f t="shared" si="603"/>
        <v>0</v>
      </c>
      <c r="CI360" s="38">
        <f t="shared" si="603"/>
        <v>0</v>
      </c>
      <c r="CJ360" s="38">
        <f t="shared" si="603"/>
        <v>0</v>
      </c>
      <c r="CK360" s="38">
        <f t="shared" si="603"/>
        <v>0</v>
      </c>
      <c r="CL360" s="38">
        <f t="shared" si="603"/>
        <v>0</v>
      </c>
      <c r="CM360" s="38">
        <f t="shared" si="603"/>
        <v>0</v>
      </c>
      <c r="CN360" s="38">
        <f t="shared" si="603"/>
        <v>0</v>
      </c>
      <c r="CO360" s="38">
        <f t="shared" si="603"/>
        <v>0</v>
      </c>
      <c r="CP360" s="38">
        <f t="shared" si="603"/>
        <v>0</v>
      </c>
      <c r="CQ360" s="38">
        <f t="shared" si="603"/>
        <v>0</v>
      </c>
      <c r="CR360" s="38">
        <f t="shared" si="603"/>
        <v>0</v>
      </c>
      <c r="CS360" s="38">
        <f t="shared" si="603"/>
        <v>0</v>
      </c>
      <c r="CT360" s="38">
        <f t="shared" si="603"/>
        <v>0</v>
      </c>
      <c r="CU360" s="17">
        <f t="shared" si="574"/>
        <v>500</v>
      </c>
      <c r="CV360" s="25">
        <f t="shared" si="575"/>
        <v>0</v>
      </c>
    </row>
    <row r="361" spans="1:100" x14ac:dyDescent="0.2">
      <c r="A361" s="2">
        <v>45883</v>
      </c>
      <c r="B361" s="3" t="s">
        <v>569</v>
      </c>
      <c r="C361" s="4" t="s">
        <v>862</v>
      </c>
      <c r="D361" s="5" t="s">
        <v>570</v>
      </c>
      <c r="E361" s="6" t="s">
        <v>571</v>
      </c>
      <c r="F361" s="7" t="s">
        <v>575</v>
      </c>
      <c r="G361" s="8" t="s">
        <v>572</v>
      </c>
      <c r="H361" s="9">
        <v>364</v>
      </c>
      <c r="I361" s="10"/>
      <c r="J361" s="11" t="s">
        <v>310</v>
      </c>
      <c r="K361" s="12">
        <v>1</v>
      </c>
      <c r="L361" s="13">
        <v>350</v>
      </c>
      <c r="M361" s="14">
        <f t="shared" ref="M361" si="604">L361*K361</f>
        <v>350</v>
      </c>
      <c r="N361" s="15"/>
      <c r="O361" s="16" t="s">
        <v>137</v>
      </c>
      <c r="P361" s="17">
        <f>M361*0.02</f>
        <v>7</v>
      </c>
      <c r="Q361" s="18"/>
      <c r="R361" s="5"/>
      <c r="S361" s="19"/>
      <c r="T361" s="19"/>
      <c r="U361" s="19"/>
      <c r="V361" s="19"/>
      <c r="W361" s="17"/>
      <c r="X361" s="20"/>
      <c r="Y361" s="19"/>
      <c r="Z361" s="19"/>
      <c r="AA361" s="19"/>
      <c r="AB361" s="19"/>
      <c r="AC361" s="19"/>
      <c r="AD361" s="19"/>
      <c r="AE361" s="5"/>
      <c r="AF361" s="19"/>
      <c r="AG361" s="5"/>
      <c r="AH361" s="17"/>
      <c r="AI361" s="19"/>
      <c r="AJ361" s="19"/>
      <c r="AK361" s="19"/>
      <c r="AL361" s="19"/>
      <c r="AM361" s="17"/>
      <c r="AN361" s="19"/>
      <c r="AO361" s="19"/>
      <c r="AP361" s="19"/>
      <c r="AQ361" s="19"/>
      <c r="AR361" s="19"/>
      <c r="AS361" s="21"/>
      <c r="AT361" s="5"/>
      <c r="AU361" s="19"/>
      <c r="AV361" s="5"/>
      <c r="AW361" s="17">
        <f>M361+P361-Q361</f>
        <v>357</v>
      </c>
      <c r="AX361" s="19"/>
      <c r="AY361" s="5"/>
      <c r="AZ361" s="19"/>
      <c r="BA361" s="5"/>
      <c r="BB361" s="5"/>
      <c r="BC361" s="19"/>
      <c r="BD361" s="19"/>
      <c r="BE361" s="19"/>
      <c r="BF361" s="19"/>
      <c r="BG361" s="19"/>
      <c r="BH361" s="19"/>
      <c r="BI361" s="19"/>
      <c r="BJ361" s="19"/>
      <c r="BK361" s="13"/>
      <c r="BL361" s="5"/>
      <c r="BM361" s="5"/>
      <c r="BN361" s="19"/>
      <c r="BO361" s="17"/>
      <c r="BP361" s="19"/>
      <c r="BQ361" s="17"/>
      <c r="BR361" s="19"/>
      <c r="BS361" s="13"/>
      <c r="BT361" s="5"/>
      <c r="BU361" s="23"/>
      <c r="BV361" s="23"/>
      <c r="BW361" s="24"/>
      <c r="BX361" s="5"/>
      <c r="BY361" s="5"/>
      <c r="BZ361" s="5"/>
      <c r="CA361" s="24"/>
      <c r="CB361" s="24"/>
      <c r="CC361" s="24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>
        <f t="shared" si="574"/>
        <v>350</v>
      </c>
      <c r="CV361" s="25">
        <f t="shared" si="575"/>
        <v>0</v>
      </c>
    </row>
    <row r="362" spans="1:100" x14ac:dyDescent="0.2">
      <c r="A362" s="27"/>
      <c r="B362" s="28"/>
      <c r="C362" s="29"/>
      <c r="D362" s="30"/>
      <c r="E362" s="31"/>
      <c r="F362" s="32"/>
      <c r="G362" s="33"/>
      <c r="H362" s="34"/>
      <c r="I362" s="34"/>
      <c r="J362" s="35"/>
      <c r="K362" s="36"/>
      <c r="L362" s="37"/>
      <c r="M362" s="38">
        <f>SUM(M361:M361)</f>
        <v>350</v>
      </c>
      <c r="N362" s="38"/>
      <c r="O362" s="39" t="s">
        <v>137</v>
      </c>
      <c r="P362" s="38">
        <f>SUM(P361:P361)</f>
        <v>7</v>
      </c>
      <c r="Q362" s="38"/>
      <c r="R362" s="30"/>
      <c r="S362" s="38">
        <f t="shared" ref="S362:AD362" si="605">SUM(S361:S361)</f>
        <v>0</v>
      </c>
      <c r="T362" s="38">
        <f t="shared" si="605"/>
        <v>0</v>
      </c>
      <c r="U362" s="38">
        <f t="shared" si="605"/>
        <v>0</v>
      </c>
      <c r="V362" s="38">
        <f t="shared" si="605"/>
        <v>0</v>
      </c>
      <c r="W362" s="38">
        <f t="shared" si="605"/>
        <v>0</v>
      </c>
      <c r="X362" s="38">
        <f t="shared" si="605"/>
        <v>0</v>
      </c>
      <c r="Y362" s="38">
        <f t="shared" si="605"/>
        <v>0</v>
      </c>
      <c r="Z362" s="38">
        <f t="shared" si="605"/>
        <v>0</v>
      </c>
      <c r="AA362" s="38">
        <f t="shared" si="605"/>
        <v>0</v>
      </c>
      <c r="AB362" s="38">
        <f t="shared" si="605"/>
        <v>0</v>
      </c>
      <c r="AC362" s="38">
        <f t="shared" si="605"/>
        <v>0</v>
      </c>
      <c r="AD362" s="38">
        <f t="shared" si="605"/>
        <v>0</v>
      </c>
      <c r="AE362" s="30"/>
      <c r="AF362" s="38">
        <f>SUM(AF361:AF361)</f>
        <v>0</v>
      </c>
      <c r="AG362" s="30"/>
      <c r="AH362" s="38">
        <f t="shared" ref="AH362:AZ362" si="606">SUM(AH361:AH361)</f>
        <v>0</v>
      </c>
      <c r="AI362" s="38">
        <f t="shared" si="606"/>
        <v>0</v>
      </c>
      <c r="AJ362" s="38">
        <f t="shared" si="606"/>
        <v>0</v>
      </c>
      <c r="AK362" s="38">
        <f t="shared" si="606"/>
        <v>0</v>
      </c>
      <c r="AL362" s="38">
        <f t="shared" si="606"/>
        <v>0</v>
      </c>
      <c r="AM362" s="38">
        <f t="shared" si="606"/>
        <v>0</v>
      </c>
      <c r="AN362" s="38">
        <f t="shared" si="606"/>
        <v>0</v>
      </c>
      <c r="AO362" s="38">
        <f t="shared" si="606"/>
        <v>0</v>
      </c>
      <c r="AP362" s="38">
        <f t="shared" si="606"/>
        <v>0</v>
      </c>
      <c r="AQ362" s="38">
        <f t="shared" si="606"/>
        <v>0</v>
      </c>
      <c r="AR362" s="38">
        <f t="shared" si="606"/>
        <v>0</v>
      </c>
      <c r="AS362" s="38">
        <f t="shared" si="606"/>
        <v>0</v>
      </c>
      <c r="AT362" s="38">
        <f t="shared" si="606"/>
        <v>0</v>
      </c>
      <c r="AU362" s="38">
        <f t="shared" si="606"/>
        <v>0</v>
      </c>
      <c r="AV362" s="38">
        <f t="shared" si="606"/>
        <v>0</v>
      </c>
      <c r="AW362" s="38">
        <f>SUM(AW361:AW361)</f>
        <v>357</v>
      </c>
      <c r="AX362" s="38">
        <f t="shared" si="606"/>
        <v>0</v>
      </c>
      <c r="AY362" s="38">
        <f t="shared" si="606"/>
        <v>0</v>
      </c>
      <c r="AZ362" s="38">
        <f t="shared" si="606"/>
        <v>0</v>
      </c>
      <c r="BA362" s="30"/>
      <c r="BB362" s="38">
        <f t="shared" ref="BB362:CT362" si="607">SUM(BB361:BB361)</f>
        <v>0</v>
      </c>
      <c r="BC362" s="38">
        <f t="shared" si="607"/>
        <v>0</v>
      </c>
      <c r="BD362" s="38">
        <f t="shared" si="607"/>
        <v>0</v>
      </c>
      <c r="BE362" s="38">
        <f t="shared" si="607"/>
        <v>0</v>
      </c>
      <c r="BF362" s="38">
        <f t="shared" si="607"/>
        <v>0</v>
      </c>
      <c r="BG362" s="38">
        <f t="shared" si="607"/>
        <v>0</v>
      </c>
      <c r="BH362" s="38">
        <f t="shared" si="607"/>
        <v>0</v>
      </c>
      <c r="BI362" s="38">
        <f t="shared" si="607"/>
        <v>0</v>
      </c>
      <c r="BJ362" s="38">
        <f t="shared" si="607"/>
        <v>0</v>
      </c>
      <c r="BK362" s="38">
        <f t="shared" si="607"/>
        <v>0</v>
      </c>
      <c r="BL362" s="38">
        <f t="shared" si="607"/>
        <v>0</v>
      </c>
      <c r="BM362" s="38">
        <f t="shared" si="607"/>
        <v>0</v>
      </c>
      <c r="BN362" s="38">
        <f t="shared" si="607"/>
        <v>0</v>
      </c>
      <c r="BO362" s="38">
        <f t="shared" si="607"/>
        <v>0</v>
      </c>
      <c r="BP362" s="38">
        <f t="shared" si="607"/>
        <v>0</v>
      </c>
      <c r="BQ362" s="38">
        <f t="shared" si="607"/>
        <v>0</v>
      </c>
      <c r="BR362" s="38">
        <f t="shared" si="607"/>
        <v>0</v>
      </c>
      <c r="BS362" s="38">
        <f t="shared" si="607"/>
        <v>0</v>
      </c>
      <c r="BT362" s="38">
        <f t="shared" si="607"/>
        <v>0</v>
      </c>
      <c r="BU362" s="38">
        <f t="shared" si="607"/>
        <v>0</v>
      </c>
      <c r="BV362" s="38">
        <f t="shared" si="607"/>
        <v>0</v>
      </c>
      <c r="BW362" s="38">
        <f t="shared" si="607"/>
        <v>0</v>
      </c>
      <c r="BX362" s="38">
        <f t="shared" si="607"/>
        <v>0</v>
      </c>
      <c r="BY362" s="38">
        <f t="shared" si="607"/>
        <v>0</v>
      </c>
      <c r="BZ362" s="38">
        <f t="shared" si="607"/>
        <v>0</v>
      </c>
      <c r="CA362" s="38">
        <f t="shared" si="607"/>
        <v>0</v>
      </c>
      <c r="CB362" s="38">
        <f t="shared" si="607"/>
        <v>0</v>
      </c>
      <c r="CC362" s="38">
        <f t="shared" si="607"/>
        <v>0</v>
      </c>
      <c r="CD362" s="38">
        <f t="shared" si="607"/>
        <v>0</v>
      </c>
      <c r="CE362" s="38">
        <f t="shared" si="607"/>
        <v>0</v>
      </c>
      <c r="CF362" s="38">
        <f t="shared" si="607"/>
        <v>0</v>
      </c>
      <c r="CG362" s="38">
        <f t="shared" si="607"/>
        <v>0</v>
      </c>
      <c r="CH362" s="38">
        <f t="shared" si="607"/>
        <v>0</v>
      </c>
      <c r="CI362" s="38">
        <f t="shared" si="607"/>
        <v>0</v>
      </c>
      <c r="CJ362" s="38">
        <f t="shared" si="607"/>
        <v>0</v>
      </c>
      <c r="CK362" s="38">
        <f t="shared" si="607"/>
        <v>0</v>
      </c>
      <c r="CL362" s="38">
        <f t="shared" si="607"/>
        <v>0</v>
      </c>
      <c r="CM362" s="38">
        <f t="shared" si="607"/>
        <v>0</v>
      </c>
      <c r="CN362" s="38">
        <f t="shared" si="607"/>
        <v>0</v>
      </c>
      <c r="CO362" s="38">
        <f t="shared" si="607"/>
        <v>0</v>
      </c>
      <c r="CP362" s="38">
        <f t="shared" si="607"/>
        <v>0</v>
      </c>
      <c r="CQ362" s="38">
        <f t="shared" si="607"/>
        <v>0</v>
      </c>
      <c r="CR362" s="38">
        <f t="shared" si="607"/>
        <v>0</v>
      </c>
      <c r="CS362" s="38">
        <f t="shared" si="607"/>
        <v>0</v>
      </c>
      <c r="CT362" s="38">
        <f t="shared" si="607"/>
        <v>0</v>
      </c>
      <c r="CU362" s="17">
        <f t="shared" si="574"/>
        <v>350</v>
      </c>
      <c r="CV362" s="25">
        <f t="shared" si="575"/>
        <v>0</v>
      </c>
    </row>
    <row r="363" spans="1:100" x14ac:dyDescent="0.2">
      <c r="A363" s="2">
        <v>45883</v>
      </c>
      <c r="B363" s="3" t="s">
        <v>569</v>
      </c>
      <c r="C363" s="4" t="s">
        <v>863</v>
      </c>
      <c r="D363" s="5" t="s">
        <v>570</v>
      </c>
      <c r="E363" s="6" t="s">
        <v>571</v>
      </c>
      <c r="F363" s="7" t="s">
        <v>575</v>
      </c>
      <c r="G363" s="8" t="s">
        <v>572</v>
      </c>
      <c r="H363" s="9">
        <v>366</v>
      </c>
      <c r="I363" s="10"/>
      <c r="J363" s="11" t="s">
        <v>310</v>
      </c>
      <c r="K363" s="12">
        <v>1</v>
      </c>
      <c r="L363" s="13">
        <v>350</v>
      </c>
      <c r="M363" s="14">
        <f t="shared" ref="M363" si="608">L363*K363</f>
        <v>350</v>
      </c>
      <c r="N363" s="15"/>
      <c r="O363" s="16" t="s">
        <v>137</v>
      </c>
      <c r="P363" s="17">
        <f>M363*0.02</f>
        <v>7</v>
      </c>
      <c r="Q363" s="18"/>
      <c r="R363" s="5"/>
      <c r="S363" s="19"/>
      <c r="T363" s="19"/>
      <c r="U363" s="19"/>
      <c r="V363" s="19"/>
      <c r="W363" s="17"/>
      <c r="X363" s="20"/>
      <c r="Y363" s="19"/>
      <c r="Z363" s="19"/>
      <c r="AA363" s="19"/>
      <c r="AB363" s="19"/>
      <c r="AC363" s="19"/>
      <c r="AD363" s="19"/>
      <c r="AE363" s="5"/>
      <c r="AF363" s="19"/>
      <c r="AG363" s="5"/>
      <c r="AH363" s="17"/>
      <c r="AI363" s="19"/>
      <c r="AJ363" s="19"/>
      <c r="AK363" s="19"/>
      <c r="AL363" s="19"/>
      <c r="AM363" s="17"/>
      <c r="AN363" s="19"/>
      <c r="AO363" s="19"/>
      <c r="AP363" s="19"/>
      <c r="AQ363" s="19"/>
      <c r="AR363" s="19"/>
      <c r="AS363" s="21"/>
      <c r="AT363" s="5"/>
      <c r="AU363" s="19"/>
      <c r="AV363" s="5"/>
      <c r="AW363" s="17">
        <f>M363+P363-Q363</f>
        <v>357</v>
      </c>
      <c r="AX363" s="19"/>
      <c r="AY363" s="5"/>
      <c r="AZ363" s="19"/>
      <c r="BA363" s="5"/>
      <c r="BB363" s="5"/>
      <c r="BC363" s="19"/>
      <c r="BD363" s="19"/>
      <c r="BE363" s="19"/>
      <c r="BF363" s="19"/>
      <c r="BG363" s="19"/>
      <c r="BH363" s="19"/>
      <c r="BI363" s="19"/>
      <c r="BJ363" s="19"/>
      <c r="BK363" s="13"/>
      <c r="BL363" s="5"/>
      <c r="BM363" s="5"/>
      <c r="BN363" s="19"/>
      <c r="BO363" s="17"/>
      <c r="BP363" s="19"/>
      <c r="BQ363" s="17"/>
      <c r="BR363" s="19"/>
      <c r="BS363" s="13"/>
      <c r="BT363" s="5"/>
      <c r="BU363" s="23"/>
      <c r="BV363" s="23"/>
      <c r="BW363" s="24"/>
      <c r="BX363" s="5"/>
      <c r="BY363" s="5"/>
      <c r="BZ363" s="5"/>
      <c r="CA363" s="24"/>
      <c r="CB363" s="24"/>
      <c r="CC363" s="24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>
        <f t="shared" si="574"/>
        <v>350</v>
      </c>
      <c r="CV363" s="25">
        <f t="shared" si="575"/>
        <v>0</v>
      </c>
    </row>
    <row r="364" spans="1:100" x14ac:dyDescent="0.2">
      <c r="A364" s="27"/>
      <c r="B364" s="28"/>
      <c r="C364" s="29"/>
      <c r="D364" s="30"/>
      <c r="E364" s="31"/>
      <c r="F364" s="32"/>
      <c r="G364" s="33"/>
      <c r="H364" s="34"/>
      <c r="I364" s="34"/>
      <c r="J364" s="35"/>
      <c r="K364" s="36"/>
      <c r="L364" s="37"/>
      <c r="M364" s="38">
        <f>SUM(M363:M363)</f>
        <v>350</v>
      </c>
      <c r="N364" s="38"/>
      <c r="O364" s="39" t="s">
        <v>137</v>
      </c>
      <c r="P364" s="38">
        <f>SUM(P363:P363)</f>
        <v>7</v>
      </c>
      <c r="Q364" s="38"/>
      <c r="R364" s="30"/>
      <c r="S364" s="38">
        <f t="shared" ref="S364:AD364" si="609">SUM(S363:S363)</f>
        <v>0</v>
      </c>
      <c r="T364" s="38">
        <f t="shared" si="609"/>
        <v>0</v>
      </c>
      <c r="U364" s="38">
        <f t="shared" si="609"/>
        <v>0</v>
      </c>
      <c r="V364" s="38">
        <f t="shared" si="609"/>
        <v>0</v>
      </c>
      <c r="W364" s="38">
        <f t="shared" si="609"/>
        <v>0</v>
      </c>
      <c r="X364" s="38">
        <f t="shared" si="609"/>
        <v>0</v>
      </c>
      <c r="Y364" s="38">
        <f t="shared" si="609"/>
        <v>0</v>
      </c>
      <c r="Z364" s="38">
        <f t="shared" si="609"/>
        <v>0</v>
      </c>
      <c r="AA364" s="38">
        <f t="shared" si="609"/>
        <v>0</v>
      </c>
      <c r="AB364" s="38">
        <f t="shared" si="609"/>
        <v>0</v>
      </c>
      <c r="AC364" s="38">
        <f t="shared" si="609"/>
        <v>0</v>
      </c>
      <c r="AD364" s="38">
        <f t="shared" si="609"/>
        <v>0</v>
      </c>
      <c r="AE364" s="30"/>
      <c r="AF364" s="38">
        <f>SUM(AF363:AF363)</f>
        <v>0</v>
      </c>
      <c r="AG364" s="30"/>
      <c r="AH364" s="38">
        <f t="shared" ref="AH364:AZ364" si="610">SUM(AH363:AH363)</f>
        <v>0</v>
      </c>
      <c r="AI364" s="38">
        <f t="shared" si="610"/>
        <v>0</v>
      </c>
      <c r="AJ364" s="38">
        <f t="shared" si="610"/>
        <v>0</v>
      </c>
      <c r="AK364" s="38">
        <f t="shared" si="610"/>
        <v>0</v>
      </c>
      <c r="AL364" s="38">
        <f t="shared" si="610"/>
        <v>0</v>
      </c>
      <c r="AM364" s="38">
        <f t="shared" si="610"/>
        <v>0</v>
      </c>
      <c r="AN364" s="38">
        <f t="shared" si="610"/>
        <v>0</v>
      </c>
      <c r="AO364" s="38">
        <f t="shared" si="610"/>
        <v>0</v>
      </c>
      <c r="AP364" s="38">
        <f t="shared" si="610"/>
        <v>0</v>
      </c>
      <c r="AQ364" s="38">
        <f t="shared" si="610"/>
        <v>0</v>
      </c>
      <c r="AR364" s="38">
        <f t="shared" si="610"/>
        <v>0</v>
      </c>
      <c r="AS364" s="38">
        <f t="shared" si="610"/>
        <v>0</v>
      </c>
      <c r="AT364" s="38">
        <f t="shared" si="610"/>
        <v>0</v>
      </c>
      <c r="AU364" s="38">
        <f t="shared" si="610"/>
        <v>0</v>
      </c>
      <c r="AV364" s="38">
        <f t="shared" si="610"/>
        <v>0</v>
      </c>
      <c r="AW364" s="38">
        <f>SUM(AW363:AW363)</f>
        <v>357</v>
      </c>
      <c r="AX364" s="38">
        <f t="shared" si="610"/>
        <v>0</v>
      </c>
      <c r="AY364" s="38">
        <f t="shared" si="610"/>
        <v>0</v>
      </c>
      <c r="AZ364" s="38">
        <f t="shared" si="610"/>
        <v>0</v>
      </c>
      <c r="BA364" s="30"/>
      <c r="BB364" s="38">
        <f t="shared" ref="BB364:CT364" si="611">SUM(BB363:BB363)</f>
        <v>0</v>
      </c>
      <c r="BC364" s="38">
        <f t="shared" si="611"/>
        <v>0</v>
      </c>
      <c r="BD364" s="38">
        <f t="shared" si="611"/>
        <v>0</v>
      </c>
      <c r="BE364" s="38">
        <f t="shared" si="611"/>
        <v>0</v>
      </c>
      <c r="BF364" s="38">
        <f t="shared" si="611"/>
        <v>0</v>
      </c>
      <c r="BG364" s="38">
        <f t="shared" si="611"/>
        <v>0</v>
      </c>
      <c r="BH364" s="38">
        <f t="shared" si="611"/>
        <v>0</v>
      </c>
      <c r="BI364" s="38">
        <f t="shared" si="611"/>
        <v>0</v>
      </c>
      <c r="BJ364" s="38">
        <f t="shared" si="611"/>
        <v>0</v>
      </c>
      <c r="BK364" s="38">
        <f t="shared" si="611"/>
        <v>0</v>
      </c>
      <c r="BL364" s="38">
        <f t="shared" si="611"/>
        <v>0</v>
      </c>
      <c r="BM364" s="38">
        <f t="shared" si="611"/>
        <v>0</v>
      </c>
      <c r="BN364" s="38">
        <f t="shared" si="611"/>
        <v>0</v>
      </c>
      <c r="BO364" s="38">
        <f t="shared" si="611"/>
        <v>0</v>
      </c>
      <c r="BP364" s="38">
        <f t="shared" si="611"/>
        <v>0</v>
      </c>
      <c r="BQ364" s="38">
        <f t="shared" si="611"/>
        <v>0</v>
      </c>
      <c r="BR364" s="38">
        <f t="shared" si="611"/>
        <v>0</v>
      </c>
      <c r="BS364" s="38">
        <f t="shared" si="611"/>
        <v>0</v>
      </c>
      <c r="BT364" s="38">
        <f t="shared" si="611"/>
        <v>0</v>
      </c>
      <c r="BU364" s="38">
        <f t="shared" si="611"/>
        <v>0</v>
      </c>
      <c r="BV364" s="38">
        <f t="shared" si="611"/>
        <v>0</v>
      </c>
      <c r="BW364" s="38">
        <f t="shared" si="611"/>
        <v>0</v>
      </c>
      <c r="BX364" s="38">
        <f t="shared" si="611"/>
        <v>0</v>
      </c>
      <c r="BY364" s="38">
        <f t="shared" si="611"/>
        <v>0</v>
      </c>
      <c r="BZ364" s="38">
        <f t="shared" si="611"/>
        <v>0</v>
      </c>
      <c r="CA364" s="38">
        <f t="shared" si="611"/>
        <v>0</v>
      </c>
      <c r="CB364" s="38">
        <f t="shared" si="611"/>
        <v>0</v>
      </c>
      <c r="CC364" s="38">
        <f t="shared" si="611"/>
        <v>0</v>
      </c>
      <c r="CD364" s="38">
        <f t="shared" si="611"/>
        <v>0</v>
      </c>
      <c r="CE364" s="38">
        <f t="shared" si="611"/>
        <v>0</v>
      </c>
      <c r="CF364" s="38">
        <f t="shared" si="611"/>
        <v>0</v>
      </c>
      <c r="CG364" s="38">
        <f t="shared" si="611"/>
        <v>0</v>
      </c>
      <c r="CH364" s="38">
        <f t="shared" si="611"/>
        <v>0</v>
      </c>
      <c r="CI364" s="38">
        <f t="shared" si="611"/>
        <v>0</v>
      </c>
      <c r="CJ364" s="38">
        <f t="shared" si="611"/>
        <v>0</v>
      </c>
      <c r="CK364" s="38">
        <f t="shared" si="611"/>
        <v>0</v>
      </c>
      <c r="CL364" s="38">
        <f t="shared" si="611"/>
        <v>0</v>
      </c>
      <c r="CM364" s="38">
        <f t="shared" si="611"/>
        <v>0</v>
      </c>
      <c r="CN364" s="38">
        <f t="shared" si="611"/>
        <v>0</v>
      </c>
      <c r="CO364" s="38">
        <f t="shared" si="611"/>
        <v>0</v>
      </c>
      <c r="CP364" s="38">
        <f t="shared" si="611"/>
        <v>0</v>
      </c>
      <c r="CQ364" s="38">
        <f t="shared" si="611"/>
        <v>0</v>
      </c>
      <c r="CR364" s="38">
        <f t="shared" si="611"/>
        <v>0</v>
      </c>
      <c r="CS364" s="38">
        <f t="shared" si="611"/>
        <v>0</v>
      </c>
      <c r="CT364" s="38">
        <f t="shared" si="611"/>
        <v>0</v>
      </c>
      <c r="CU364" s="17">
        <f t="shared" si="574"/>
        <v>350</v>
      </c>
      <c r="CV364" s="25">
        <f t="shared" si="575"/>
        <v>0</v>
      </c>
    </row>
    <row r="365" spans="1:100" x14ac:dyDescent="0.2">
      <c r="A365" s="2">
        <v>45878</v>
      </c>
      <c r="B365" s="3" t="s">
        <v>569</v>
      </c>
      <c r="C365" s="4" t="s">
        <v>864</v>
      </c>
      <c r="D365" s="5" t="s">
        <v>570</v>
      </c>
      <c r="E365" s="6" t="s">
        <v>272</v>
      </c>
      <c r="F365" s="7" t="s">
        <v>229</v>
      </c>
      <c r="G365" s="8" t="s">
        <v>273</v>
      </c>
      <c r="H365" s="9">
        <v>27589</v>
      </c>
      <c r="I365" s="10" t="s">
        <v>577</v>
      </c>
      <c r="J365" s="11" t="s">
        <v>339</v>
      </c>
      <c r="K365" s="12">
        <v>6</v>
      </c>
      <c r="L365" s="13">
        <v>90</v>
      </c>
      <c r="M365" s="14">
        <f t="shared" ref="M365" si="612">L365*K365</f>
        <v>540</v>
      </c>
      <c r="N365" s="15"/>
      <c r="O365" s="16" t="s">
        <v>111</v>
      </c>
      <c r="P365" s="17">
        <f>M365/1.12*0.01</f>
        <v>4.8214285714285712</v>
      </c>
      <c r="Q365" s="18">
        <f>M365/1.12*0.12</f>
        <v>57.857142857142854</v>
      </c>
      <c r="R365" s="17">
        <f>M365+P365-Q365</f>
        <v>486.96428571428572</v>
      </c>
      <c r="S365" s="19"/>
      <c r="T365" s="19"/>
      <c r="U365" s="19"/>
      <c r="V365" s="19"/>
      <c r="W365" s="17"/>
      <c r="X365" s="20"/>
      <c r="Y365" s="19"/>
      <c r="Z365" s="19"/>
      <c r="AA365" s="19"/>
      <c r="AB365" s="19"/>
      <c r="AC365" s="19"/>
      <c r="AD365" s="19"/>
      <c r="AE365" s="5"/>
      <c r="AF365" s="19"/>
      <c r="AG365" s="5"/>
      <c r="AH365" s="17"/>
      <c r="AI365" s="19"/>
      <c r="AJ365" s="19"/>
      <c r="AK365" s="19"/>
      <c r="AL365" s="19"/>
      <c r="AM365" s="17"/>
      <c r="AN365" s="19"/>
      <c r="AO365" s="19"/>
      <c r="AP365" s="19"/>
      <c r="AQ365" s="19"/>
      <c r="AR365" s="19"/>
      <c r="AS365" s="21"/>
      <c r="AT365" s="5"/>
      <c r="AU365" s="19"/>
      <c r="AV365" s="5"/>
      <c r="AW365" s="22"/>
      <c r="AX365" s="19"/>
      <c r="AY365" s="5"/>
      <c r="AZ365" s="19"/>
      <c r="BA365" s="5"/>
      <c r="BB365" s="5"/>
      <c r="BC365" s="19"/>
      <c r="BD365" s="19"/>
      <c r="BE365" s="19"/>
      <c r="BF365" s="19"/>
      <c r="BG365" s="19"/>
      <c r="BH365" s="19"/>
      <c r="BI365" s="19"/>
      <c r="BJ365" s="19"/>
      <c r="BK365" s="13"/>
      <c r="BL365" s="5"/>
      <c r="BM365" s="5"/>
      <c r="BN365" s="19"/>
      <c r="BO365" s="17"/>
      <c r="BP365" s="19"/>
      <c r="BQ365" s="17"/>
      <c r="BR365" s="19"/>
      <c r="BS365" s="13"/>
      <c r="BT365" s="5"/>
      <c r="BU365" s="23"/>
      <c r="BV365" s="23"/>
      <c r="BW365" s="24"/>
      <c r="BX365" s="5"/>
      <c r="BY365" s="5"/>
      <c r="BZ365" s="5"/>
      <c r="CA365" s="24"/>
      <c r="CB365" s="24"/>
      <c r="CC365" s="24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>
        <f t="shared" si="574"/>
        <v>540</v>
      </c>
      <c r="CV365" s="25">
        <f t="shared" si="575"/>
        <v>0</v>
      </c>
    </row>
    <row r="366" spans="1:100" x14ac:dyDescent="0.2">
      <c r="A366" s="27"/>
      <c r="B366" s="28"/>
      <c r="C366" s="29"/>
      <c r="D366" s="30"/>
      <c r="E366" s="31"/>
      <c r="F366" s="32"/>
      <c r="G366" s="33"/>
      <c r="H366" s="34"/>
      <c r="I366" s="34"/>
      <c r="J366" s="35"/>
      <c r="K366" s="36"/>
      <c r="L366" s="37"/>
      <c r="M366" s="38">
        <f>SUM(M365:M365)</f>
        <v>540</v>
      </c>
      <c r="N366" s="38"/>
      <c r="O366" s="39" t="s">
        <v>111</v>
      </c>
      <c r="P366" s="38">
        <f>SUM(P365:P365)</f>
        <v>4.8214285714285712</v>
      </c>
      <c r="Q366" s="38">
        <f>SUM(Q365:Q365)</f>
        <v>57.857142857142854</v>
      </c>
      <c r="R366" s="38">
        <f>SUM(R365:R365)</f>
        <v>486.96428571428572</v>
      </c>
      <c r="S366" s="38">
        <f t="shared" ref="S366:AD366" si="613">SUM(S365:S365)</f>
        <v>0</v>
      </c>
      <c r="T366" s="38">
        <f t="shared" si="613"/>
        <v>0</v>
      </c>
      <c r="U366" s="38">
        <f t="shared" si="613"/>
        <v>0</v>
      </c>
      <c r="V366" s="38">
        <f t="shared" si="613"/>
        <v>0</v>
      </c>
      <c r="W366" s="38">
        <f t="shared" si="613"/>
        <v>0</v>
      </c>
      <c r="X366" s="38">
        <f t="shared" si="613"/>
        <v>0</v>
      </c>
      <c r="Y366" s="38">
        <f t="shared" si="613"/>
        <v>0</v>
      </c>
      <c r="Z366" s="38">
        <f t="shared" si="613"/>
        <v>0</v>
      </c>
      <c r="AA366" s="38">
        <f t="shared" si="613"/>
        <v>0</v>
      </c>
      <c r="AB366" s="38">
        <f t="shared" si="613"/>
        <v>0</v>
      </c>
      <c r="AC366" s="38">
        <f t="shared" si="613"/>
        <v>0</v>
      </c>
      <c r="AD366" s="38">
        <f t="shared" si="613"/>
        <v>0</v>
      </c>
      <c r="AE366" s="30"/>
      <c r="AF366" s="38">
        <f>SUM(AF365:AF365)</f>
        <v>0</v>
      </c>
      <c r="AG366" s="30"/>
      <c r="AH366" s="38">
        <f t="shared" ref="AH366:AZ366" si="614">SUM(AH365:AH365)</f>
        <v>0</v>
      </c>
      <c r="AI366" s="38">
        <f t="shared" si="614"/>
        <v>0</v>
      </c>
      <c r="AJ366" s="38">
        <f t="shared" si="614"/>
        <v>0</v>
      </c>
      <c r="AK366" s="38">
        <f t="shared" si="614"/>
        <v>0</v>
      </c>
      <c r="AL366" s="38">
        <f t="shared" si="614"/>
        <v>0</v>
      </c>
      <c r="AM366" s="38">
        <f t="shared" si="614"/>
        <v>0</v>
      </c>
      <c r="AN366" s="38">
        <f t="shared" si="614"/>
        <v>0</v>
      </c>
      <c r="AO366" s="38">
        <f t="shared" si="614"/>
        <v>0</v>
      </c>
      <c r="AP366" s="38">
        <f t="shared" si="614"/>
        <v>0</v>
      </c>
      <c r="AQ366" s="38">
        <f t="shared" si="614"/>
        <v>0</v>
      </c>
      <c r="AR366" s="38">
        <f t="shared" si="614"/>
        <v>0</v>
      </c>
      <c r="AS366" s="38">
        <f t="shared" si="614"/>
        <v>0</v>
      </c>
      <c r="AT366" s="38">
        <f t="shared" si="614"/>
        <v>0</v>
      </c>
      <c r="AU366" s="38">
        <f t="shared" si="614"/>
        <v>0</v>
      </c>
      <c r="AV366" s="38">
        <f t="shared" si="614"/>
        <v>0</v>
      </c>
      <c r="AW366" s="38">
        <f t="shared" si="614"/>
        <v>0</v>
      </c>
      <c r="AX366" s="38">
        <f t="shared" si="614"/>
        <v>0</v>
      </c>
      <c r="AY366" s="38">
        <f t="shared" si="614"/>
        <v>0</v>
      </c>
      <c r="AZ366" s="38">
        <f t="shared" si="614"/>
        <v>0</v>
      </c>
      <c r="BA366" s="30"/>
      <c r="BB366" s="38">
        <f t="shared" ref="BB366:CT366" si="615">SUM(BB365:BB365)</f>
        <v>0</v>
      </c>
      <c r="BC366" s="38">
        <f t="shared" si="615"/>
        <v>0</v>
      </c>
      <c r="BD366" s="38">
        <f t="shared" si="615"/>
        <v>0</v>
      </c>
      <c r="BE366" s="38">
        <f t="shared" si="615"/>
        <v>0</v>
      </c>
      <c r="BF366" s="38">
        <f t="shared" si="615"/>
        <v>0</v>
      </c>
      <c r="BG366" s="38">
        <f t="shared" si="615"/>
        <v>0</v>
      </c>
      <c r="BH366" s="38">
        <f t="shared" si="615"/>
        <v>0</v>
      </c>
      <c r="BI366" s="38">
        <f t="shared" si="615"/>
        <v>0</v>
      </c>
      <c r="BJ366" s="38">
        <f t="shared" si="615"/>
        <v>0</v>
      </c>
      <c r="BK366" s="38">
        <f t="shared" si="615"/>
        <v>0</v>
      </c>
      <c r="BL366" s="38">
        <f t="shared" si="615"/>
        <v>0</v>
      </c>
      <c r="BM366" s="38">
        <f t="shared" si="615"/>
        <v>0</v>
      </c>
      <c r="BN366" s="38">
        <f t="shared" si="615"/>
        <v>0</v>
      </c>
      <c r="BO366" s="38">
        <f t="shared" si="615"/>
        <v>0</v>
      </c>
      <c r="BP366" s="38">
        <f t="shared" si="615"/>
        <v>0</v>
      </c>
      <c r="BQ366" s="38">
        <f t="shared" si="615"/>
        <v>0</v>
      </c>
      <c r="BR366" s="38">
        <f t="shared" si="615"/>
        <v>0</v>
      </c>
      <c r="BS366" s="38">
        <f t="shared" si="615"/>
        <v>0</v>
      </c>
      <c r="BT366" s="38">
        <f t="shared" si="615"/>
        <v>0</v>
      </c>
      <c r="BU366" s="38">
        <f t="shared" si="615"/>
        <v>0</v>
      </c>
      <c r="BV366" s="38">
        <f t="shared" si="615"/>
        <v>0</v>
      </c>
      <c r="BW366" s="38">
        <f t="shared" si="615"/>
        <v>0</v>
      </c>
      <c r="BX366" s="38">
        <f t="shared" si="615"/>
        <v>0</v>
      </c>
      <c r="BY366" s="38">
        <f t="shared" si="615"/>
        <v>0</v>
      </c>
      <c r="BZ366" s="38">
        <f t="shared" si="615"/>
        <v>0</v>
      </c>
      <c r="CA366" s="38">
        <f t="shared" si="615"/>
        <v>0</v>
      </c>
      <c r="CB366" s="38">
        <f t="shared" si="615"/>
        <v>0</v>
      </c>
      <c r="CC366" s="38">
        <f t="shared" si="615"/>
        <v>0</v>
      </c>
      <c r="CD366" s="38">
        <f t="shared" si="615"/>
        <v>0</v>
      </c>
      <c r="CE366" s="38">
        <f t="shared" si="615"/>
        <v>0</v>
      </c>
      <c r="CF366" s="38">
        <f t="shared" si="615"/>
        <v>0</v>
      </c>
      <c r="CG366" s="38">
        <f t="shared" si="615"/>
        <v>0</v>
      </c>
      <c r="CH366" s="38">
        <f t="shared" si="615"/>
        <v>0</v>
      </c>
      <c r="CI366" s="38">
        <f t="shared" si="615"/>
        <v>0</v>
      </c>
      <c r="CJ366" s="38">
        <f t="shared" si="615"/>
        <v>0</v>
      </c>
      <c r="CK366" s="38">
        <f t="shared" si="615"/>
        <v>0</v>
      </c>
      <c r="CL366" s="38">
        <f t="shared" si="615"/>
        <v>0</v>
      </c>
      <c r="CM366" s="38">
        <f t="shared" si="615"/>
        <v>0</v>
      </c>
      <c r="CN366" s="38">
        <f t="shared" si="615"/>
        <v>0</v>
      </c>
      <c r="CO366" s="38">
        <f t="shared" si="615"/>
        <v>0</v>
      </c>
      <c r="CP366" s="38">
        <f t="shared" si="615"/>
        <v>0</v>
      </c>
      <c r="CQ366" s="38">
        <f t="shared" si="615"/>
        <v>0</v>
      </c>
      <c r="CR366" s="38">
        <f t="shared" si="615"/>
        <v>0</v>
      </c>
      <c r="CS366" s="38">
        <f t="shared" si="615"/>
        <v>0</v>
      </c>
      <c r="CT366" s="38">
        <f t="shared" si="615"/>
        <v>0</v>
      </c>
      <c r="CU366" s="17">
        <f t="shared" si="574"/>
        <v>540</v>
      </c>
      <c r="CV366" s="25">
        <f t="shared" si="575"/>
        <v>0</v>
      </c>
    </row>
    <row r="367" spans="1:100" x14ac:dyDescent="0.2">
      <c r="A367" s="2">
        <v>45875</v>
      </c>
      <c r="B367" s="3" t="s">
        <v>569</v>
      </c>
      <c r="C367" s="4" t="s">
        <v>865</v>
      </c>
      <c r="D367" s="5" t="s">
        <v>570</v>
      </c>
      <c r="E367" s="6" t="s">
        <v>272</v>
      </c>
      <c r="F367" s="7" t="s">
        <v>229</v>
      </c>
      <c r="G367" s="8" t="s">
        <v>273</v>
      </c>
      <c r="H367" s="9">
        <v>26789</v>
      </c>
      <c r="I367" s="10"/>
      <c r="J367" s="11" t="s">
        <v>339</v>
      </c>
      <c r="K367" s="12">
        <v>6</v>
      </c>
      <c r="L367" s="13">
        <v>90</v>
      </c>
      <c r="M367" s="14">
        <f t="shared" ref="M367" si="616">L367*K367</f>
        <v>540</v>
      </c>
      <c r="N367" s="15"/>
      <c r="O367" s="16" t="s">
        <v>111</v>
      </c>
      <c r="P367" s="17">
        <f>M367/1.12*0.01</f>
        <v>4.8214285714285712</v>
      </c>
      <c r="Q367" s="18">
        <f>M367/1.12*0.12</f>
        <v>57.857142857142854</v>
      </c>
      <c r="R367" s="17">
        <f>M367+P367-Q367</f>
        <v>486.96428571428572</v>
      </c>
      <c r="S367" s="19"/>
      <c r="T367" s="19"/>
      <c r="U367" s="19"/>
      <c r="V367" s="19"/>
      <c r="W367" s="17"/>
      <c r="X367" s="20"/>
      <c r="Y367" s="19"/>
      <c r="Z367" s="19"/>
      <c r="AA367" s="19"/>
      <c r="AB367" s="19"/>
      <c r="AC367" s="19"/>
      <c r="AD367" s="19"/>
      <c r="AE367" s="5"/>
      <c r="AF367" s="19"/>
      <c r="AG367" s="5"/>
      <c r="AH367" s="17"/>
      <c r="AI367" s="19"/>
      <c r="AJ367" s="19"/>
      <c r="AK367" s="19"/>
      <c r="AL367" s="19"/>
      <c r="AM367" s="17"/>
      <c r="AN367" s="19"/>
      <c r="AO367" s="19"/>
      <c r="AP367" s="19"/>
      <c r="AQ367" s="19"/>
      <c r="AR367" s="19"/>
      <c r="AS367" s="21"/>
      <c r="AT367" s="5"/>
      <c r="AU367" s="19"/>
      <c r="AV367" s="5"/>
      <c r="AW367" s="22"/>
      <c r="AX367" s="19"/>
      <c r="AY367" s="5"/>
      <c r="AZ367" s="19"/>
      <c r="BA367" s="5"/>
      <c r="BB367" s="5"/>
      <c r="BC367" s="19"/>
      <c r="BD367" s="19"/>
      <c r="BE367" s="19"/>
      <c r="BF367" s="19"/>
      <c r="BG367" s="19"/>
      <c r="BH367" s="19"/>
      <c r="BI367" s="19"/>
      <c r="BJ367" s="19"/>
      <c r="BK367" s="13"/>
      <c r="BL367" s="5"/>
      <c r="BM367" s="5"/>
      <c r="BN367" s="19"/>
      <c r="BO367" s="17"/>
      <c r="BP367" s="19"/>
      <c r="BQ367" s="17"/>
      <c r="BR367" s="19"/>
      <c r="BS367" s="13"/>
      <c r="BT367" s="5"/>
      <c r="BU367" s="23"/>
      <c r="BV367" s="23"/>
      <c r="BW367" s="24"/>
      <c r="BX367" s="5"/>
      <c r="BY367" s="5"/>
      <c r="BZ367" s="5"/>
      <c r="CA367" s="24"/>
      <c r="CB367" s="24"/>
      <c r="CC367" s="24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>
        <f t="shared" si="574"/>
        <v>540</v>
      </c>
      <c r="CV367" s="25">
        <f t="shared" si="575"/>
        <v>0</v>
      </c>
    </row>
    <row r="368" spans="1:100" s="205" customFormat="1" x14ac:dyDescent="0.2">
      <c r="A368" s="192"/>
      <c r="B368" s="193"/>
      <c r="C368" s="194"/>
      <c r="D368" s="195"/>
      <c r="E368" s="196"/>
      <c r="F368" s="197"/>
      <c r="G368" s="198"/>
      <c r="H368" s="199"/>
      <c r="I368" s="199"/>
      <c r="J368" s="200"/>
      <c r="K368" s="201"/>
      <c r="L368" s="202"/>
      <c r="M368" s="203">
        <f>SUM(M367:M367)</f>
        <v>540</v>
      </c>
      <c r="N368" s="203">
        <f>M368+M366+M364+M362+M360+M358+M356+M354+M352+M350+M348+M346</f>
        <v>7680</v>
      </c>
      <c r="O368" s="204" t="s">
        <v>111</v>
      </c>
      <c r="P368" s="203">
        <f>SUM(P367:P367)</f>
        <v>4.8214285714285712</v>
      </c>
      <c r="Q368" s="203">
        <f>SUM(Q367:Q367)</f>
        <v>57.857142857142854</v>
      </c>
      <c r="R368" s="203">
        <f>SUM(R367:R367)</f>
        <v>486.96428571428572</v>
      </c>
      <c r="S368" s="203">
        <f t="shared" ref="S368:AD368" si="617">SUM(S367:S367)</f>
        <v>0</v>
      </c>
      <c r="T368" s="203">
        <f t="shared" si="617"/>
        <v>0</v>
      </c>
      <c r="U368" s="203">
        <f t="shared" si="617"/>
        <v>0</v>
      </c>
      <c r="V368" s="203">
        <f t="shared" si="617"/>
        <v>0</v>
      </c>
      <c r="W368" s="203">
        <f t="shared" si="617"/>
        <v>0</v>
      </c>
      <c r="X368" s="203">
        <f t="shared" si="617"/>
        <v>0</v>
      </c>
      <c r="Y368" s="203">
        <f t="shared" si="617"/>
        <v>0</v>
      </c>
      <c r="Z368" s="203">
        <f t="shared" si="617"/>
        <v>0</v>
      </c>
      <c r="AA368" s="203">
        <f t="shared" si="617"/>
        <v>0</v>
      </c>
      <c r="AB368" s="203">
        <f t="shared" si="617"/>
        <v>0</v>
      </c>
      <c r="AC368" s="203">
        <f t="shared" si="617"/>
        <v>0</v>
      </c>
      <c r="AD368" s="203">
        <f t="shared" si="617"/>
        <v>0</v>
      </c>
      <c r="AE368" s="195"/>
      <c r="AF368" s="203">
        <f>SUM(AF367:AF367)</f>
        <v>0</v>
      </c>
      <c r="AG368" s="195"/>
      <c r="AH368" s="203">
        <f t="shared" ref="AH368:AZ368" si="618">SUM(AH367:AH367)</f>
        <v>0</v>
      </c>
      <c r="AI368" s="203">
        <f t="shared" si="618"/>
        <v>0</v>
      </c>
      <c r="AJ368" s="203">
        <f t="shared" si="618"/>
        <v>0</v>
      </c>
      <c r="AK368" s="203">
        <f t="shared" si="618"/>
        <v>0</v>
      </c>
      <c r="AL368" s="203">
        <f t="shared" si="618"/>
        <v>0</v>
      </c>
      <c r="AM368" s="203">
        <f t="shared" si="618"/>
        <v>0</v>
      </c>
      <c r="AN368" s="203">
        <f t="shared" si="618"/>
        <v>0</v>
      </c>
      <c r="AO368" s="203">
        <f t="shared" si="618"/>
        <v>0</v>
      </c>
      <c r="AP368" s="203">
        <f t="shared" si="618"/>
        <v>0</v>
      </c>
      <c r="AQ368" s="203">
        <f t="shared" si="618"/>
        <v>0</v>
      </c>
      <c r="AR368" s="203">
        <f t="shared" si="618"/>
        <v>0</v>
      </c>
      <c r="AS368" s="203">
        <f t="shared" si="618"/>
        <v>0</v>
      </c>
      <c r="AT368" s="203">
        <f t="shared" si="618"/>
        <v>0</v>
      </c>
      <c r="AU368" s="203">
        <f t="shared" si="618"/>
        <v>0</v>
      </c>
      <c r="AV368" s="203">
        <f t="shared" si="618"/>
        <v>0</v>
      </c>
      <c r="AW368" s="203">
        <f t="shared" si="618"/>
        <v>0</v>
      </c>
      <c r="AX368" s="203">
        <f t="shared" si="618"/>
        <v>0</v>
      </c>
      <c r="AY368" s="203">
        <f t="shared" si="618"/>
        <v>0</v>
      </c>
      <c r="AZ368" s="203">
        <f t="shared" si="618"/>
        <v>0</v>
      </c>
      <c r="BA368" s="195"/>
      <c r="BB368" s="203">
        <f t="shared" ref="BB368:CT368" si="619">SUM(BB367:BB367)</f>
        <v>0</v>
      </c>
      <c r="BC368" s="203">
        <f t="shared" si="619"/>
        <v>0</v>
      </c>
      <c r="BD368" s="203">
        <f t="shared" si="619"/>
        <v>0</v>
      </c>
      <c r="BE368" s="203">
        <f t="shared" si="619"/>
        <v>0</v>
      </c>
      <c r="BF368" s="203">
        <f t="shared" si="619"/>
        <v>0</v>
      </c>
      <c r="BG368" s="203">
        <f t="shared" si="619"/>
        <v>0</v>
      </c>
      <c r="BH368" s="203">
        <f t="shared" si="619"/>
        <v>0</v>
      </c>
      <c r="BI368" s="203">
        <f t="shared" si="619"/>
        <v>0</v>
      </c>
      <c r="BJ368" s="203">
        <f t="shared" si="619"/>
        <v>0</v>
      </c>
      <c r="BK368" s="203">
        <f t="shared" si="619"/>
        <v>0</v>
      </c>
      <c r="BL368" s="203">
        <f t="shared" si="619"/>
        <v>0</v>
      </c>
      <c r="BM368" s="203">
        <f t="shared" si="619"/>
        <v>0</v>
      </c>
      <c r="BN368" s="203">
        <f t="shared" si="619"/>
        <v>0</v>
      </c>
      <c r="BO368" s="203">
        <f t="shared" si="619"/>
        <v>0</v>
      </c>
      <c r="BP368" s="203">
        <f t="shared" si="619"/>
        <v>0</v>
      </c>
      <c r="BQ368" s="203">
        <f t="shared" si="619"/>
        <v>0</v>
      </c>
      <c r="BR368" s="203">
        <f t="shared" si="619"/>
        <v>0</v>
      </c>
      <c r="BS368" s="203">
        <f t="shared" si="619"/>
        <v>0</v>
      </c>
      <c r="BT368" s="203">
        <f t="shared" si="619"/>
        <v>0</v>
      </c>
      <c r="BU368" s="203">
        <f t="shared" si="619"/>
        <v>0</v>
      </c>
      <c r="BV368" s="203">
        <f t="shared" si="619"/>
        <v>0</v>
      </c>
      <c r="BW368" s="203">
        <f t="shared" si="619"/>
        <v>0</v>
      </c>
      <c r="BX368" s="203">
        <f t="shared" si="619"/>
        <v>0</v>
      </c>
      <c r="BY368" s="203">
        <f t="shared" si="619"/>
        <v>0</v>
      </c>
      <c r="BZ368" s="203">
        <f t="shared" si="619"/>
        <v>0</v>
      </c>
      <c r="CA368" s="203">
        <f t="shared" si="619"/>
        <v>0</v>
      </c>
      <c r="CB368" s="203">
        <f t="shared" si="619"/>
        <v>0</v>
      </c>
      <c r="CC368" s="203">
        <f t="shared" si="619"/>
        <v>0</v>
      </c>
      <c r="CD368" s="203">
        <f t="shared" si="619"/>
        <v>0</v>
      </c>
      <c r="CE368" s="203">
        <f t="shared" si="619"/>
        <v>0</v>
      </c>
      <c r="CF368" s="203">
        <f t="shared" si="619"/>
        <v>0</v>
      </c>
      <c r="CG368" s="203">
        <f t="shared" si="619"/>
        <v>0</v>
      </c>
      <c r="CH368" s="203">
        <f t="shared" si="619"/>
        <v>0</v>
      </c>
      <c r="CI368" s="203">
        <f t="shared" si="619"/>
        <v>0</v>
      </c>
      <c r="CJ368" s="203">
        <f t="shared" si="619"/>
        <v>0</v>
      </c>
      <c r="CK368" s="203">
        <f t="shared" si="619"/>
        <v>0</v>
      </c>
      <c r="CL368" s="203">
        <f t="shared" si="619"/>
        <v>0</v>
      </c>
      <c r="CM368" s="203">
        <f t="shared" si="619"/>
        <v>0</v>
      </c>
      <c r="CN368" s="203">
        <f t="shared" si="619"/>
        <v>0</v>
      </c>
      <c r="CO368" s="203">
        <f t="shared" si="619"/>
        <v>0</v>
      </c>
      <c r="CP368" s="203">
        <f t="shared" si="619"/>
        <v>0</v>
      </c>
      <c r="CQ368" s="203">
        <f t="shared" si="619"/>
        <v>0</v>
      </c>
      <c r="CR368" s="203">
        <f t="shared" si="619"/>
        <v>0</v>
      </c>
      <c r="CS368" s="203">
        <f t="shared" si="619"/>
        <v>0</v>
      </c>
      <c r="CT368" s="203">
        <f t="shared" si="619"/>
        <v>0</v>
      </c>
      <c r="CU368" s="17">
        <f t="shared" si="574"/>
        <v>540</v>
      </c>
      <c r="CV368" s="25">
        <f t="shared" si="575"/>
        <v>0</v>
      </c>
    </row>
    <row r="369" spans="1:100" x14ac:dyDescent="0.2">
      <c r="A369" s="2">
        <v>45884</v>
      </c>
      <c r="B369" s="3" t="s">
        <v>747</v>
      </c>
      <c r="C369" s="4" t="s">
        <v>866</v>
      </c>
      <c r="D369" s="5" t="s">
        <v>748</v>
      </c>
      <c r="E369" s="6" t="s">
        <v>272</v>
      </c>
      <c r="F369" s="7" t="s">
        <v>749</v>
      </c>
      <c r="G369" s="8" t="s">
        <v>273</v>
      </c>
      <c r="H369" s="9">
        <v>28900</v>
      </c>
      <c r="I369" s="10" t="s">
        <v>750</v>
      </c>
      <c r="J369" s="11" t="s">
        <v>339</v>
      </c>
      <c r="K369" s="12">
        <v>6</v>
      </c>
      <c r="L369" s="13">
        <v>90</v>
      </c>
      <c r="M369" s="14">
        <f t="shared" ref="M369" si="620">L369*K369</f>
        <v>540</v>
      </c>
      <c r="N369" s="15"/>
      <c r="O369" s="16" t="s">
        <v>111</v>
      </c>
      <c r="P369" s="17">
        <f>M369/1.12*0.01</f>
        <v>4.8214285714285712</v>
      </c>
      <c r="Q369" s="18">
        <f>M369/1.12*0.12</f>
        <v>57.857142857142854</v>
      </c>
      <c r="R369" s="17">
        <f>M369+P369-Q369</f>
        <v>486.96428571428572</v>
      </c>
      <c r="S369" s="19"/>
      <c r="T369" s="19"/>
      <c r="U369" s="19"/>
      <c r="V369" s="19"/>
      <c r="W369" s="17"/>
      <c r="X369" s="20"/>
      <c r="Y369" s="19"/>
      <c r="Z369" s="19"/>
      <c r="AA369" s="19"/>
      <c r="AB369" s="19"/>
      <c r="AC369" s="19"/>
      <c r="AD369" s="19"/>
      <c r="AE369" s="5"/>
      <c r="AF369" s="19"/>
      <c r="AG369" s="5"/>
      <c r="AH369" s="17"/>
      <c r="AI369" s="19"/>
      <c r="AJ369" s="19"/>
      <c r="AK369" s="19"/>
      <c r="AL369" s="19"/>
      <c r="AM369" s="17"/>
      <c r="AN369" s="19"/>
      <c r="AO369" s="19"/>
      <c r="AP369" s="19"/>
      <c r="AQ369" s="19"/>
      <c r="AR369" s="19"/>
      <c r="AS369" s="21"/>
      <c r="AT369" s="5"/>
      <c r="AU369" s="19"/>
      <c r="AV369" s="5"/>
      <c r="AW369" s="22"/>
      <c r="AX369" s="19"/>
      <c r="AY369" s="5"/>
      <c r="AZ369" s="19"/>
      <c r="BA369" s="5"/>
      <c r="BB369" s="5"/>
      <c r="BC369" s="19"/>
      <c r="BD369" s="19"/>
      <c r="BE369" s="19"/>
      <c r="BF369" s="19"/>
      <c r="BG369" s="19"/>
      <c r="BH369" s="19"/>
      <c r="BI369" s="19"/>
      <c r="BJ369" s="19"/>
      <c r="BK369" s="13"/>
      <c r="BL369" s="5"/>
      <c r="BM369" s="5"/>
      <c r="BN369" s="19"/>
      <c r="BO369" s="17"/>
      <c r="BP369" s="19"/>
      <c r="BQ369" s="17"/>
      <c r="BR369" s="19"/>
      <c r="BS369" s="13"/>
      <c r="BT369" s="5"/>
      <c r="BU369" s="23"/>
      <c r="BV369" s="23"/>
      <c r="BW369" s="24"/>
      <c r="BX369" s="5"/>
      <c r="BY369" s="5"/>
      <c r="BZ369" s="5"/>
      <c r="CA369" s="24"/>
      <c r="CB369" s="24"/>
      <c r="CC369" s="24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>
        <f t="shared" si="574"/>
        <v>540</v>
      </c>
      <c r="CV369" s="25">
        <f t="shared" si="575"/>
        <v>0</v>
      </c>
    </row>
    <row r="370" spans="1:100" x14ac:dyDescent="0.2">
      <c r="A370" s="27"/>
      <c r="B370" s="28"/>
      <c r="C370" s="29"/>
      <c r="D370" s="30"/>
      <c r="E370" s="31"/>
      <c r="F370" s="32"/>
      <c r="G370" s="33"/>
      <c r="H370" s="34"/>
      <c r="I370" s="34"/>
      <c r="J370" s="35"/>
      <c r="K370" s="36"/>
      <c r="L370" s="37"/>
      <c r="M370" s="38">
        <f>SUM(M369:M369)</f>
        <v>540</v>
      </c>
      <c r="N370" s="38"/>
      <c r="O370" s="39" t="s">
        <v>111</v>
      </c>
      <c r="P370" s="38">
        <f>SUM(P369:P369)</f>
        <v>4.8214285714285712</v>
      </c>
      <c r="Q370" s="38">
        <f>SUM(Q369:Q369)</f>
        <v>57.857142857142854</v>
      </c>
      <c r="R370" s="38">
        <f>SUM(R369:R369)</f>
        <v>486.96428571428572</v>
      </c>
      <c r="S370" s="38">
        <f t="shared" ref="S370:AD370" si="621">SUM(S369:S369)</f>
        <v>0</v>
      </c>
      <c r="T370" s="38">
        <f t="shared" si="621"/>
        <v>0</v>
      </c>
      <c r="U370" s="38">
        <f t="shared" si="621"/>
        <v>0</v>
      </c>
      <c r="V370" s="38">
        <f t="shared" si="621"/>
        <v>0</v>
      </c>
      <c r="W370" s="38">
        <f t="shared" si="621"/>
        <v>0</v>
      </c>
      <c r="X370" s="38">
        <f t="shared" si="621"/>
        <v>0</v>
      </c>
      <c r="Y370" s="38">
        <f t="shared" si="621"/>
        <v>0</v>
      </c>
      <c r="Z370" s="38">
        <f t="shared" si="621"/>
        <v>0</v>
      </c>
      <c r="AA370" s="38">
        <f t="shared" si="621"/>
        <v>0</v>
      </c>
      <c r="AB370" s="38">
        <f t="shared" si="621"/>
        <v>0</v>
      </c>
      <c r="AC370" s="38">
        <f t="shared" si="621"/>
        <v>0</v>
      </c>
      <c r="AD370" s="38">
        <f t="shared" si="621"/>
        <v>0</v>
      </c>
      <c r="AE370" s="30"/>
      <c r="AF370" s="38">
        <f>SUM(AF369:AF369)</f>
        <v>0</v>
      </c>
      <c r="AG370" s="30"/>
      <c r="AH370" s="38">
        <f t="shared" ref="AH370:AZ370" si="622">SUM(AH369:AH369)</f>
        <v>0</v>
      </c>
      <c r="AI370" s="38">
        <f t="shared" si="622"/>
        <v>0</v>
      </c>
      <c r="AJ370" s="38">
        <f t="shared" si="622"/>
        <v>0</v>
      </c>
      <c r="AK370" s="38">
        <f t="shared" si="622"/>
        <v>0</v>
      </c>
      <c r="AL370" s="38">
        <f t="shared" si="622"/>
        <v>0</v>
      </c>
      <c r="AM370" s="38">
        <f t="shared" si="622"/>
        <v>0</v>
      </c>
      <c r="AN370" s="38">
        <f t="shared" si="622"/>
        <v>0</v>
      </c>
      <c r="AO370" s="38">
        <f t="shared" si="622"/>
        <v>0</v>
      </c>
      <c r="AP370" s="38">
        <f t="shared" si="622"/>
        <v>0</v>
      </c>
      <c r="AQ370" s="38">
        <f t="shared" si="622"/>
        <v>0</v>
      </c>
      <c r="AR370" s="38">
        <f t="shared" si="622"/>
        <v>0</v>
      </c>
      <c r="AS370" s="38">
        <f t="shared" si="622"/>
        <v>0</v>
      </c>
      <c r="AT370" s="38">
        <f t="shared" si="622"/>
        <v>0</v>
      </c>
      <c r="AU370" s="38">
        <f t="shared" si="622"/>
        <v>0</v>
      </c>
      <c r="AV370" s="38">
        <f t="shared" si="622"/>
        <v>0</v>
      </c>
      <c r="AW370" s="38">
        <f t="shared" si="622"/>
        <v>0</v>
      </c>
      <c r="AX370" s="38">
        <f t="shared" si="622"/>
        <v>0</v>
      </c>
      <c r="AY370" s="38">
        <f t="shared" si="622"/>
        <v>0</v>
      </c>
      <c r="AZ370" s="38">
        <f t="shared" si="622"/>
        <v>0</v>
      </c>
      <c r="BA370" s="30"/>
      <c r="BB370" s="38">
        <f t="shared" ref="BB370:CT370" si="623">SUM(BB369:BB369)</f>
        <v>0</v>
      </c>
      <c r="BC370" s="38">
        <f t="shared" si="623"/>
        <v>0</v>
      </c>
      <c r="BD370" s="38">
        <f t="shared" si="623"/>
        <v>0</v>
      </c>
      <c r="BE370" s="38">
        <f t="shared" si="623"/>
        <v>0</v>
      </c>
      <c r="BF370" s="38">
        <f t="shared" si="623"/>
        <v>0</v>
      </c>
      <c r="BG370" s="38">
        <f t="shared" si="623"/>
        <v>0</v>
      </c>
      <c r="BH370" s="38">
        <f t="shared" si="623"/>
        <v>0</v>
      </c>
      <c r="BI370" s="38">
        <f t="shared" si="623"/>
        <v>0</v>
      </c>
      <c r="BJ370" s="38">
        <f t="shared" si="623"/>
        <v>0</v>
      </c>
      <c r="BK370" s="38">
        <f t="shared" si="623"/>
        <v>0</v>
      </c>
      <c r="BL370" s="38">
        <f t="shared" si="623"/>
        <v>0</v>
      </c>
      <c r="BM370" s="38">
        <f t="shared" si="623"/>
        <v>0</v>
      </c>
      <c r="BN370" s="38">
        <f t="shared" si="623"/>
        <v>0</v>
      </c>
      <c r="BO370" s="38">
        <f t="shared" si="623"/>
        <v>0</v>
      </c>
      <c r="BP370" s="38">
        <f t="shared" si="623"/>
        <v>0</v>
      </c>
      <c r="BQ370" s="38">
        <f t="shared" si="623"/>
        <v>0</v>
      </c>
      <c r="BR370" s="38">
        <f t="shared" si="623"/>
        <v>0</v>
      </c>
      <c r="BS370" s="38">
        <f t="shared" si="623"/>
        <v>0</v>
      </c>
      <c r="BT370" s="38">
        <f t="shared" si="623"/>
        <v>0</v>
      </c>
      <c r="BU370" s="38">
        <f t="shared" si="623"/>
        <v>0</v>
      </c>
      <c r="BV370" s="38">
        <f t="shared" si="623"/>
        <v>0</v>
      </c>
      <c r="BW370" s="38">
        <f t="shared" si="623"/>
        <v>0</v>
      </c>
      <c r="BX370" s="38">
        <f t="shared" si="623"/>
        <v>0</v>
      </c>
      <c r="BY370" s="38">
        <f t="shared" si="623"/>
        <v>0</v>
      </c>
      <c r="BZ370" s="38">
        <f t="shared" si="623"/>
        <v>0</v>
      </c>
      <c r="CA370" s="38">
        <f t="shared" si="623"/>
        <v>0</v>
      </c>
      <c r="CB370" s="38">
        <f t="shared" si="623"/>
        <v>0</v>
      </c>
      <c r="CC370" s="38">
        <f t="shared" si="623"/>
        <v>0</v>
      </c>
      <c r="CD370" s="38">
        <f t="shared" si="623"/>
        <v>0</v>
      </c>
      <c r="CE370" s="38">
        <f t="shared" si="623"/>
        <v>0</v>
      </c>
      <c r="CF370" s="38">
        <f t="shared" si="623"/>
        <v>0</v>
      </c>
      <c r="CG370" s="38">
        <f t="shared" si="623"/>
        <v>0</v>
      </c>
      <c r="CH370" s="38">
        <f t="shared" si="623"/>
        <v>0</v>
      </c>
      <c r="CI370" s="38">
        <f t="shared" si="623"/>
        <v>0</v>
      </c>
      <c r="CJ370" s="38">
        <f t="shared" si="623"/>
        <v>0</v>
      </c>
      <c r="CK370" s="38">
        <f t="shared" si="623"/>
        <v>0</v>
      </c>
      <c r="CL370" s="38">
        <f t="shared" si="623"/>
        <v>0</v>
      </c>
      <c r="CM370" s="38">
        <f t="shared" si="623"/>
        <v>0</v>
      </c>
      <c r="CN370" s="38">
        <f t="shared" si="623"/>
        <v>0</v>
      </c>
      <c r="CO370" s="38">
        <f t="shared" si="623"/>
        <v>0</v>
      </c>
      <c r="CP370" s="38">
        <f t="shared" si="623"/>
        <v>0</v>
      </c>
      <c r="CQ370" s="38">
        <f t="shared" si="623"/>
        <v>0</v>
      </c>
      <c r="CR370" s="38">
        <f t="shared" si="623"/>
        <v>0</v>
      </c>
      <c r="CS370" s="38">
        <f t="shared" si="623"/>
        <v>0</v>
      </c>
      <c r="CT370" s="38">
        <f t="shared" si="623"/>
        <v>0</v>
      </c>
      <c r="CU370" s="17">
        <f t="shared" si="574"/>
        <v>540</v>
      </c>
      <c r="CV370" s="25">
        <f t="shared" si="575"/>
        <v>0</v>
      </c>
    </row>
    <row r="371" spans="1:100" x14ac:dyDescent="0.2">
      <c r="A371" s="2">
        <v>45879</v>
      </c>
      <c r="B371" s="3" t="s">
        <v>747</v>
      </c>
      <c r="C371" s="4" t="s">
        <v>867</v>
      </c>
      <c r="D371" s="5" t="s">
        <v>748</v>
      </c>
      <c r="E371" s="6" t="s">
        <v>751</v>
      </c>
      <c r="F371" s="7"/>
      <c r="G371" s="8" t="s">
        <v>752</v>
      </c>
      <c r="H371" s="9">
        <v>1342</v>
      </c>
      <c r="I371" s="10"/>
      <c r="J371" s="11" t="s">
        <v>753</v>
      </c>
      <c r="K371" s="12">
        <v>1</v>
      </c>
      <c r="L371" s="13">
        <v>144</v>
      </c>
      <c r="M371" s="14">
        <f t="shared" ref="M371" si="624">L371*K371</f>
        <v>144</v>
      </c>
      <c r="N371" s="15"/>
      <c r="O371" s="16" t="s">
        <v>111</v>
      </c>
      <c r="P371" s="17">
        <f>M371/1.12*0.02</f>
        <v>2.5714285714285712</v>
      </c>
      <c r="Q371" s="18">
        <f>M371/1.12*0.12</f>
        <v>15.428571428571425</v>
      </c>
      <c r="R371" s="5"/>
      <c r="S371" s="19"/>
      <c r="T371" s="19"/>
      <c r="U371" s="19"/>
      <c r="V371" s="19"/>
      <c r="W371" s="17"/>
      <c r="X371" s="20"/>
      <c r="Y371" s="19"/>
      <c r="Z371" s="19"/>
      <c r="AA371" s="19"/>
      <c r="AB371" s="19"/>
      <c r="AC371" s="19"/>
      <c r="AD371" s="19"/>
      <c r="AE371" s="5"/>
      <c r="AF371" s="19"/>
      <c r="AG371" s="5"/>
      <c r="AH371" s="17"/>
      <c r="AI371" s="19"/>
      <c r="AJ371" s="19"/>
      <c r="AK371" s="19"/>
      <c r="AL371" s="19"/>
      <c r="AM371" s="17"/>
      <c r="AN371" s="19"/>
      <c r="AO371" s="19"/>
      <c r="AP371" s="19"/>
      <c r="AQ371" s="19"/>
      <c r="AR371" s="19"/>
      <c r="AS371" s="21"/>
      <c r="AT371" s="5"/>
      <c r="AU371" s="19"/>
      <c r="AV371" s="5"/>
      <c r="AW371" s="22"/>
      <c r="AX371" s="19"/>
      <c r="AY371" s="5"/>
      <c r="AZ371" s="19"/>
      <c r="BA371" s="5"/>
      <c r="BB371" s="5"/>
      <c r="BC371" s="19"/>
      <c r="BD371" s="19"/>
      <c r="BE371" s="19"/>
      <c r="BF371" s="19"/>
      <c r="BG371" s="19"/>
      <c r="BH371" s="19"/>
      <c r="BI371" s="19"/>
      <c r="BJ371" s="19"/>
      <c r="BK371" s="13"/>
      <c r="BL371" s="5"/>
      <c r="BM371" s="5"/>
      <c r="BN371" s="19"/>
      <c r="BO371" s="17">
        <f>M371+P371-Q371</f>
        <v>131.14285714285717</v>
      </c>
      <c r="BP371" s="19"/>
      <c r="BQ371" s="17"/>
      <c r="BR371" s="19"/>
      <c r="BS371" s="13"/>
      <c r="BT371" s="5"/>
      <c r="BU371" s="23"/>
      <c r="BV371" s="23"/>
      <c r="BW371" s="24"/>
      <c r="BX371" s="5"/>
      <c r="BY371" s="5"/>
      <c r="BZ371" s="5"/>
      <c r="CA371" s="24"/>
      <c r="CB371" s="24"/>
      <c r="CC371" s="24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>
        <f t="shared" si="574"/>
        <v>144</v>
      </c>
      <c r="CV371" s="25">
        <f t="shared" si="575"/>
        <v>0</v>
      </c>
    </row>
    <row r="372" spans="1:100" x14ac:dyDescent="0.2">
      <c r="A372" s="27"/>
      <c r="B372" s="28"/>
      <c r="C372" s="29"/>
      <c r="D372" s="30"/>
      <c r="E372" s="31"/>
      <c r="F372" s="32"/>
      <c r="G372" s="33"/>
      <c r="H372" s="34"/>
      <c r="I372" s="34"/>
      <c r="J372" s="35"/>
      <c r="K372" s="36"/>
      <c r="L372" s="37"/>
      <c r="M372" s="38">
        <f>SUM(M371:M371)</f>
        <v>144</v>
      </c>
      <c r="N372" s="38"/>
      <c r="O372" s="39" t="s">
        <v>111</v>
      </c>
      <c r="P372" s="38">
        <f>SUM(P371:P371)</f>
        <v>2.5714285714285712</v>
      </c>
      <c r="Q372" s="38">
        <f>SUM(Q371:Q371)</f>
        <v>15.428571428571425</v>
      </c>
      <c r="R372" s="30"/>
      <c r="S372" s="38">
        <f t="shared" ref="S372:AD372" si="625">SUM(S371:S371)</f>
        <v>0</v>
      </c>
      <c r="T372" s="38">
        <f t="shared" si="625"/>
        <v>0</v>
      </c>
      <c r="U372" s="38">
        <f t="shared" si="625"/>
        <v>0</v>
      </c>
      <c r="V372" s="38">
        <f t="shared" si="625"/>
        <v>0</v>
      </c>
      <c r="W372" s="38">
        <f t="shared" si="625"/>
        <v>0</v>
      </c>
      <c r="X372" s="38">
        <f t="shared" si="625"/>
        <v>0</v>
      </c>
      <c r="Y372" s="38">
        <f t="shared" si="625"/>
        <v>0</v>
      </c>
      <c r="Z372" s="38">
        <f t="shared" si="625"/>
        <v>0</v>
      </c>
      <c r="AA372" s="38">
        <f t="shared" si="625"/>
        <v>0</v>
      </c>
      <c r="AB372" s="38">
        <f t="shared" si="625"/>
        <v>0</v>
      </c>
      <c r="AC372" s="38">
        <f t="shared" si="625"/>
        <v>0</v>
      </c>
      <c r="AD372" s="38">
        <f t="shared" si="625"/>
        <v>0</v>
      </c>
      <c r="AE372" s="30"/>
      <c r="AF372" s="38">
        <f>SUM(AF371:AF371)</f>
        <v>0</v>
      </c>
      <c r="AG372" s="30"/>
      <c r="AH372" s="38">
        <f t="shared" ref="AH372:AZ372" si="626">SUM(AH371:AH371)</f>
        <v>0</v>
      </c>
      <c r="AI372" s="38">
        <f t="shared" si="626"/>
        <v>0</v>
      </c>
      <c r="AJ372" s="38">
        <f t="shared" si="626"/>
        <v>0</v>
      </c>
      <c r="AK372" s="38">
        <f t="shared" si="626"/>
        <v>0</v>
      </c>
      <c r="AL372" s="38">
        <f t="shared" si="626"/>
        <v>0</v>
      </c>
      <c r="AM372" s="38">
        <f t="shared" si="626"/>
        <v>0</v>
      </c>
      <c r="AN372" s="38">
        <f t="shared" si="626"/>
        <v>0</v>
      </c>
      <c r="AO372" s="38">
        <f t="shared" si="626"/>
        <v>0</v>
      </c>
      <c r="AP372" s="38">
        <f t="shared" si="626"/>
        <v>0</v>
      </c>
      <c r="AQ372" s="38">
        <f t="shared" si="626"/>
        <v>0</v>
      </c>
      <c r="AR372" s="38">
        <f t="shared" si="626"/>
        <v>0</v>
      </c>
      <c r="AS372" s="38">
        <f t="shared" si="626"/>
        <v>0</v>
      </c>
      <c r="AT372" s="38">
        <f t="shared" si="626"/>
        <v>0</v>
      </c>
      <c r="AU372" s="38">
        <f t="shared" si="626"/>
        <v>0</v>
      </c>
      <c r="AV372" s="38">
        <f t="shared" si="626"/>
        <v>0</v>
      </c>
      <c r="AW372" s="38">
        <f t="shared" si="626"/>
        <v>0</v>
      </c>
      <c r="AX372" s="38">
        <f t="shared" si="626"/>
        <v>0</v>
      </c>
      <c r="AY372" s="38">
        <f t="shared" si="626"/>
        <v>0</v>
      </c>
      <c r="AZ372" s="38">
        <f t="shared" si="626"/>
        <v>0</v>
      </c>
      <c r="BA372" s="30"/>
      <c r="BB372" s="38">
        <f t="shared" ref="BB372:CT372" si="627">SUM(BB371:BB371)</f>
        <v>0</v>
      </c>
      <c r="BC372" s="38">
        <f t="shared" si="627"/>
        <v>0</v>
      </c>
      <c r="BD372" s="38">
        <f t="shared" si="627"/>
        <v>0</v>
      </c>
      <c r="BE372" s="38">
        <f t="shared" si="627"/>
        <v>0</v>
      </c>
      <c r="BF372" s="38">
        <f t="shared" si="627"/>
        <v>0</v>
      </c>
      <c r="BG372" s="38">
        <f t="shared" si="627"/>
        <v>0</v>
      </c>
      <c r="BH372" s="38">
        <f t="shared" si="627"/>
        <v>0</v>
      </c>
      <c r="BI372" s="38">
        <f t="shared" si="627"/>
        <v>0</v>
      </c>
      <c r="BJ372" s="38">
        <f t="shared" si="627"/>
        <v>0</v>
      </c>
      <c r="BK372" s="38">
        <f t="shared" si="627"/>
        <v>0</v>
      </c>
      <c r="BL372" s="38">
        <f t="shared" si="627"/>
        <v>0</v>
      </c>
      <c r="BM372" s="38">
        <f t="shared" si="627"/>
        <v>0</v>
      </c>
      <c r="BN372" s="38">
        <f t="shared" si="627"/>
        <v>0</v>
      </c>
      <c r="BO372" s="38">
        <f>SUM(BO371:BO371)</f>
        <v>131.14285714285717</v>
      </c>
      <c r="BP372" s="38">
        <f t="shared" si="627"/>
        <v>0</v>
      </c>
      <c r="BQ372" s="38">
        <f t="shared" si="627"/>
        <v>0</v>
      </c>
      <c r="BR372" s="38">
        <f t="shared" si="627"/>
        <v>0</v>
      </c>
      <c r="BS372" s="38">
        <f t="shared" si="627"/>
        <v>0</v>
      </c>
      <c r="BT372" s="38">
        <f t="shared" si="627"/>
        <v>0</v>
      </c>
      <c r="BU372" s="38">
        <f t="shared" si="627"/>
        <v>0</v>
      </c>
      <c r="BV372" s="38">
        <f t="shared" si="627"/>
        <v>0</v>
      </c>
      <c r="BW372" s="38">
        <f t="shared" si="627"/>
        <v>0</v>
      </c>
      <c r="BX372" s="38">
        <f t="shared" si="627"/>
        <v>0</v>
      </c>
      <c r="BY372" s="38">
        <f t="shared" si="627"/>
        <v>0</v>
      </c>
      <c r="BZ372" s="38">
        <f t="shared" si="627"/>
        <v>0</v>
      </c>
      <c r="CA372" s="38">
        <f t="shared" si="627"/>
        <v>0</v>
      </c>
      <c r="CB372" s="38">
        <f t="shared" si="627"/>
        <v>0</v>
      </c>
      <c r="CC372" s="38">
        <f t="shared" si="627"/>
        <v>0</v>
      </c>
      <c r="CD372" s="38">
        <f t="shared" si="627"/>
        <v>0</v>
      </c>
      <c r="CE372" s="38">
        <f t="shared" si="627"/>
        <v>0</v>
      </c>
      <c r="CF372" s="38">
        <f t="shared" si="627"/>
        <v>0</v>
      </c>
      <c r="CG372" s="38">
        <f t="shared" si="627"/>
        <v>0</v>
      </c>
      <c r="CH372" s="38">
        <f t="shared" si="627"/>
        <v>0</v>
      </c>
      <c r="CI372" s="38">
        <f t="shared" si="627"/>
        <v>0</v>
      </c>
      <c r="CJ372" s="38">
        <f t="shared" si="627"/>
        <v>0</v>
      </c>
      <c r="CK372" s="38">
        <f t="shared" si="627"/>
        <v>0</v>
      </c>
      <c r="CL372" s="38">
        <f t="shared" si="627"/>
        <v>0</v>
      </c>
      <c r="CM372" s="38">
        <f t="shared" si="627"/>
        <v>0</v>
      </c>
      <c r="CN372" s="38">
        <f t="shared" si="627"/>
        <v>0</v>
      </c>
      <c r="CO372" s="38">
        <f t="shared" si="627"/>
        <v>0</v>
      </c>
      <c r="CP372" s="38">
        <f t="shared" si="627"/>
        <v>0</v>
      </c>
      <c r="CQ372" s="38">
        <f t="shared" si="627"/>
        <v>0</v>
      </c>
      <c r="CR372" s="38">
        <f t="shared" si="627"/>
        <v>0</v>
      </c>
      <c r="CS372" s="38">
        <f t="shared" si="627"/>
        <v>0</v>
      </c>
      <c r="CT372" s="38">
        <f t="shared" si="627"/>
        <v>0</v>
      </c>
      <c r="CU372" s="17">
        <f t="shared" si="574"/>
        <v>144</v>
      </c>
      <c r="CV372" s="25">
        <f t="shared" si="575"/>
        <v>0</v>
      </c>
    </row>
    <row r="373" spans="1:100" x14ac:dyDescent="0.2">
      <c r="A373" s="2">
        <v>45879</v>
      </c>
      <c r="B373" s="3" t="s">
        <v>747</v>
      </c>
      <c r="C373" s="4" t="s">
        <v>868</v>
      </c>
      <c r="D373" s="5" t="s">
        <v>748</v>
      </c>
      <c r="E373" s="6" t="s">
        <v>370</v>
      </c>
      <c r="F373" s="7" t="s">
        <v>336</v>
      </c>
      <c r="G373" s="8" t="s">
        <v>199</v>
      </c>
      <c r="H373" s="9" t="s">
        <v>754</v>
      </c>
      <c r="I373" s="10" t="s">
        <v>755</v>
      </c>
      <c r="J373" s="11" t="s">
        <v>756</v>
      </c>
      <c r="K373" s="12">
        <v>6</v>
      </c>
      <c r="L373" s="13">
        <v>80</v>
      </c>
      <c r="M373" s="14">
        <f t="shared" ref="M373:M378" si="628">L373*K373</f>
        <v>480</v>
      </c>
      <c r="N373" s="15"/>
      <c r="O373" s="16" t="s">
        <v>111</v>
      </c>
      <c r="P373" s="17">
        <f>M373/1.12*0.01</f>
        <v>4.2857142857142856</v>
      </c>
      <c r="Q373" s="18">
        <f>M373/1.12*0.12</f>
        <v>51.428571428571423</v>
      </c>
      <c r="R373" s="17">
        <f>M373+P373-Q373</f>
        <v>432.85714285714283</v>
      </c>
      <c r="S373" s="19"/>
      <c r="T373" s="19"/>
      <c r="U373" s="19"/>
      <c r="V373" s="19"/>
      <c r="W373" s="17"/>
      <c r="X373" s="20"/>
      <c r="Y373" s="19"/>
      <c r="Z373" s="19"/>
      <c r="AA373" s="19"/>
      <c r="AB373" s="19"/>
      <c r="AC373" s="19"/>
      <c r="AD373" s="19"/>
      <c r="AE373" s="5"/>
      <c r="AF373" s="19"/>
      <c r="AG373" s="5"/>
      <c r="AH373" s="17"/>
      <c r="AI373" s="19"/>
      <c r="AJ373" s="19"/>
      <c r="AK373" s="19"/>
      <c r="AL373" s="19"/>
      <c r="AM373" s="17"/>
      <c r="AN373" s="19"/>
      <c r="AO373" s="19"/>
      <c r="AP373" s="19"/>
      <c r="AQ373" s="19"/>
      <c r="AR373" s="19"/>
      <c r="AS373" s="21"/>
      <c r="AT373" s="5"/>
      <c r="AU373" s="19"/>
      <c r="AV373" s="5"/>
      <c r="AW373" s="22"/>
      <c r="AX373" s="19"/>
      <c r="AY373" s="5"/>
      <c r="AZ373" s="19"/>
      <c r="BA373" s="5"/>
      <c r="BB373" s="5"/>
      <c r="BC373" s="19"/>
      <c r="BD373" s="19"/>
      <c r="BE373" s="19"/>
      <c r="BF373" s="19"/>
      <c r="BG373" s="19"/>
      <c r="BH373" s="19"/>
      <c r="BI373" s="19"/>
      <c r="BJ373" s="19"/>
      <c r="BK373" s="13"/>
      <c r="BL373" s="5"/>
      <c r="BM373" s="5"/>
      <c r="BN373" s="19"/>
      <c r="BO373" s="17"/>
      <c r="BP373" s="19"/>
      <c r="BQ373" s="17"/>
      <c r="BR373" s="19"/>
      <c r="BS373" s="13"/>
      <c r="BT373" s="5"/>
      <c r="BU373" s="23"/>
      <c r="BV373" s="23"/>
      <c r="BW373" s="24"/>
      <c r="BX373" s="5"/>
      <c r="BY373" s="5"/>
      <c r="BZ373" s="5"/>
      <c r="CA373" s="24"/>
      <c r="CB373" s="24"/>
      <c r="CC373" s="24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>
        <f t="shared" si="574"/>
        <v>480</v>
      </c>
      <c r="CV373" s="25">
        <f t="shared" si="575"/>
        <v>0</v>
      </c>
    </row>
    <row r="374" spans="1:100" x14ac:dyDescent="0.2">
      <c r="A374" s="2"/>
      <c r="B374" s="3"/>
      <c r="C374" s="4"/>
      <c r="D374" s="5"/>
      <c r="E374" s="6"/>
      <c r="F374" s="7"/>
      <c r="G374" s="8"/>
      <c r="H374" s="9"/>
      <c r="I374" s="10"/>
      <c r="J374" s="11" t="s">
        <v>757</v>
      </c>
      <c r="K374" s="12">
        <v>1</v>
      </c>
      <c r="L374" s="13">
        <v>119.5</v>
      </c>
      <c r="M374" s="14">
        <f t="shared" si="628"/>
        <v>119.5</v>
      </c>
      <c r="N374" s="15"/>
      <c r="O374" s="16" t="s">
        <v>111</v>
      </c>
      <c r="P374" s="17">
        <f t="shared" ref="P374:P378" si="629">M374/1.12*0.01</f>
        <v>1.0669642857142856</v>
      </c>
      <c r="Q374" s="18">
        <f t="shared" ref="Q374:Q378" si="630">M374/1.12*0.12</f>
        <v>12.803571428571425</v>
      </c>
      <c r="R374" s="17">
        <f t="shared" ref="R374:R378" si="631">M374+P374-Q374</f>
        <v>107.76339285714286</v>
      </c>
      <c r="S374" s="19"/>
      <c r="T374" s="19"/>
      <c r="U374" s="19"/>
      <c r="V374" s="19"/>
      <c r="W374" s="17"/>
      <c r="X374" s="20"/>
      <c r="Y374" s="19"/>
      <c r="Z374" s="19"/>
      <c r="AA374" s="19"/>
      <c r="AB374" s="19"/>
      <c r="AC374" s="19"/>
      <c r="AD374" s="19"/>
      <c r="AE374" s="5"/>
      <c r="AF374" s="19"/>
      <c r="AG374" s="5"/>
      <c r="AH374" s="17"/>
      <c r="AI374" s="19"/>
      <c r="AJ374" s="19"/>
      <c r="AK374" s="19"/>
      <c r="AL374" s="19"/>
      <c r="AM374" s="17"/>
      <c r="AN374" s="19"/>
      <c r="AO374" s="19"/>
      <c r="AP374" s="19"/>
      <c r="AQ374" s="19"/>
      <c r="AR374" s="19"/>
      <c r="AS374" s="21"/>
      <c r="AT374" s="5"/>
      <c r="AU374" s="19"/>
      <c r="AV374" s="5"/>
      <c r="AW374" s="22"/>
      <c r="AX374" s="19"/>
      <c r="AY374" s="5"/>
      <c r="AZ374" s="19"/>
      <c r="BA374" s="5"/>
      <c r="BB374" s="5"/>
      <c r="BC374" s="19"/>
      <c r="BD374" s="19"/>
      <c r="BE374" s="19"/>
      <c r="BF374" s="19"/>
      <c r="BG374" s="19"/>
      <c r="BH374" s="19"/>
      <c r="BI374" s="19"/>
      <c r="BJ374" s="19"/>
      <c r="BK374" s="13"/>
      <c r="BL374" s="5"/>
      <c r="BM374" s="5"/>
      <c r="BN374" s="19"/>
      <c r="BO374" s="17"/>
      <c r="BP374" s="19"/>
      <c r="BQ374" s="17"/>
      <c r="BR374" s="19"/>
      <c r="BS374" s="13"/>
      <c r="BT374" s="5"/>
      <c r="BU374" s="23"/>
      <c r="BV374" s="23"/>
      <c r="BW374" s="24"/>
      <c r="BX374" s="5"/>
      <c r="BY374" s="5"/>
      <c r="BZ374" s="5"/>
      <c r="CA374" s="24"/>
      <c r="CB374" s="24"/>
      <c r="CC374" s="24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>
        <f t="shared" si="574"/>
        <v>119.5</v>
      </c>
      <c r="CV374" s="25">
        <f t="shared" si="575"/>
        <v>0</v>
      </c>
    </row>
    <row r="375" spans="1:100" x14ac:dyDescent="0.2">
      <c r="A375" s="2"/>
      <c r="B375" s="3"/>
      <c r="C375" s="4"/>
      <c r="D375" s="5"/>
      <c r="E375" s="6"/>
      <c r="F375" s="7"/>
      <c r="G375" s="8"/>
      <c r="H375" s="9"/>
      <c r="I375" s="10"/>
      <c r="J375" s="11" t="s">
        <v>758</v>
      </c>
      <c r="K375" s="12">
        <v>0.94</v>
      </c>
      <c r="L375" s="13">
        <v>194</v>
      </c>
      <c r="M375" s="14">
        <f t="shared" si="628"/>
        <v>182.35999999999999</v>
      </c>
      <c r="N375" s="15"/>
      <c r="O375" s="16" t="s">
        <v>111</v>
      </c>
      <c r="P375" s="17">
        <f t="shared" si="629"/>
        <v>1.6282142857142856</v>
      </c>
      <c r="Q375" s="18">
        <f t="shared" si="630"/>
        <v>19.538571428571426</v>
      </c>
      <c r="R375" s="17">
        <f t="shared" si="631"/>
        <v>164.44964285714283</v>
      </c>
      <c r="S375" s="19"/>
      <c r="T375" s="19"/>
      <c r="U375" s="19"/>
      <c r="V375" s="19"/>
      <c r="W375" s="17"/>
      <c r="X375" s="20"/>
      <c r="Y375" s="19"/>
      <c r="Z375" s="19"/>
      <c r="AA375" s="19"/>
      <c r="AB375" s="19"/>
      <c r="AC375" s="19"/>
      <c r="AD375" s="19"/>
      <c r="AE375" s="5"/>
      <c r="AF375" s="19"/>
      <c r="AG375" s="5"/>
      <c r="AH375" s="17"/>
      <c r="AI375" s="19"/>
      <c r="AJ375" s="19"/>
      <c r="AK375" s="19"/>
      <c r="AL375" s="19"/>
      <c r="AM375" s="17"/>
      <c r="AN375" s="19"/>
      <c r="AO375" s="19"/>
      <c r="AP375" s="19"/>
      <c r="AQ375" s="19"/>
      <c r="AR375" s="19"/>
      <c r="AS375" s="21"/>
      <c r="AT375" s="5"/>
      <c r="AU375" s="19"/>
      <c r="AV375" s="5"/>
      <c r="AW375" s="22"/>
      <c r="AX375" s="19"/>
      <c r="AY375" s="5"/>
      <c r="AZ375" s="19"/>
      <c r="BA375" s="5"/>
      <c r="BB375" s="5"/>
      <c r="BC375" s="19"/>
      <c r="BD375" s="19"/>
      <c r="BE375" s="19"/>
      <c r="BF375" s="19"/>
      <c r="BG375" s="19"/>
      <c r="BH375" s="19"/>
      <c r="BI375" s="19"/>
      <c r="BJ375" s="19"/>
      <c r="BK375" s="13"/>
      <c r="BL375" s="5"/>
      <c r="BM375" s="5"/>
      <c r="BN375" s="19"/>
      <c r="BO375" s="17"/>
      <c r="BP375" s="19"/>
      <c r="BQ375" s="17"/>
      <c r="BR375" s="19"/>
      <c r="BS375" s="13"/>
      <c r="BT375" s="5"/>
      <c r="BU375" s="23"/>
      <c r="BV375" s="23"/>
      <c r="BW375" s="24"/>
      <c r="BX375" s="5"/>
      <c r="BY375" s="5"/>
      <c r="BZ375" s="5"/>
      <c r="CA375" s="24"/>
      <c r="CB375" s="24"/>
      <c r="CC375" s="24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>
        <f t="shared" si="574"/>
        <v>182.35999999999999</v>
      </c>
      <c r="CV375" s="25">
        <f t="shared" si="575"/>
        <v>0</v>
      </c>
    </row>
    <row r="376" spans="1:100" x14ac:dyDescent="0.2">
      <c r="A376" s="2"/>
      <c r="B376" s="3"/>
      <c r="C376" s="4"/>
      <c r="D376" s="5"/>
      <c r="E376" s="6"/>
      <c r="F376" s="7"/>
      <c r="G376" s="8"/>
      <c r="H376" s="9"/>
      <c r="I376" s="10"/>
      <c r="J376" s="11" t="s">
        <v>759</v>
      </c>
      <c r="K376" s="12">
        <v>2.09</v>
      </c>
      <c r="L376" s="13">
        <v>86</v>
      </c>
      <c r="M376" s="14">
        <f t="shared" si="628"/>
        <v>179.73999999999998</v>
      </c>
      <c r="N376" s="15"/>
      <c r="O376" s="16" t="s">
        <v>111</v>
      </c>
      <c r="P376" s="17">
        <f t="shared" si="629"/>
        <v>1.6048214285714284</v>
      </c>
      <c r="Q376" s="18">
        <f t="shared" si="630"/>
        <v>19.257857142857141</v>
      </c>
      <c r="R376" s="17">
        <f t="shared" si="631"/>
        <v>162.08696428571426</v>
      </c>
      <c r="S376" s="19"/>
      <c r="T376" s="19"/>
      <c r="U376" s="19"/>
      <c r="V376" s="19"/>
      <c r="W376" s="17"/>
      <c r="X376" s="20"/>
      <c r="Y376" s="19"/>
      <c r="Z376" s="19"/>
      <c r="AA376" s="19"/>
      <c r="AB376" s="19"/>
      <c r="AC376" s="19"/>
      <c r="AD376" s="19"/>
      <c r="AE376" s="5"/>
      <c r="AF376" s="19"/>
      <c r="AG376" s="5"/>
      <c r="AH376" s="17"/>
      <c r="AI376" s="19"/>
      <c r="AJ376" s="19"/>
      <c r="AK376" s="19"/>
      <c r="AL376" s="19"/>
      <c r="AM376" s="17"/>
      <c r="AN376" s="19"/>
      <c r="AO376" s="19"/>
      <c r="AP376" s="19"/>
      <c r="AQ376" s="19"/>
      <c r="AR376" s="19"/>
      <c r="AS376" s="21"/>
      <c r="AT376" s="5"/>
      <c r="AU376" s="19"/>
      <c r="AV376" s="5"/>
      <c r="AW376" s="22"/>
      <c r="AX376" s="19"/>
      <c r="AY376" s="5"/>
      <c r="AZ376" s="19"/>
      <c r="BA376" s="5"/>
      <c r="BB376" s="5"/>
      <c r="BC376" s="19"/>
      <c r="BD376" s="19"/>
      <c r="BE376" s="19"/>
      <c r="BF376" s="19"/>
      <c r="BG376" s="19"/>
      <c r="BH376" s="19"/>
      <c r="BI376" s="19"/>
      <c r="BJ376" s="19"/>
      <c r="BK376" s="13"/>
      <c r="BL376" s="5"/>
      <c r="BM376" s="5"/>
      <c r="BN376" s="19"/>
      <c r="BO376" s="17"/>
      <c r="BP376" s="19"/>
      <c r="BQ376" s="17"/>
      <c r="BR376" s="19"/>
      <c r="BS376" s="13"/>
      <c r="BT376" s="5"/>
      <c r="BU376" s="23"/>
      <c r="BV376" s="23"/>
      <c r="BW376" s="24"/>
      <c r="BX376" s="5"/>
      <c r="BY376" s="5"/>
      <c r="BZ376" s="5"/>
      <c r="CA376" s="24"/>
      <c r="CB376" s="24"/>
      <c r="CC376" s="24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>
        <f t="shared" si="574"/>
        <v>179.73999999999998</v>
      </c>
      <c r="CV376" s="25">
        <f t="shared" si="575"/>
        <v>0</v>
      </c>
    </row>
    <row r="377" spans="1:100" x14ac:dyDescent="0.2">
      <c r="A377" s="2"/>
      <c r="B377" s="3"/>
      <c r="C377" s="4"/>
      <c r="D377" s="5"/>
      <c r="E377" s="6"/>
      <c r="F377" s="7"/>
      <c r="G377" s="8"/>
      <c r="H377" s="9"/>
      <c r="I377" s="10"/>
      <c r="J377" s="11" t="s">
        <v>337</v>
      </c>
      <c r="K377" s="12">
        <v>7.09</v>
      </c>
      <c r="L377" s="13">
        <v>44</v>
      </c>
      <c r="M377" s="14">
        <f t="shared" si="628"/>
        <v>311.95999999999998</v>
      </c>
      <c r="N377" s="15"/>
      <c r="O377" s="16" t="s">
        <v>111</v>
      </c>
      <c r="P377" s="17">
        <f t="shared" si="629"/>
        <v>2.7853571428571424</v>
      </c>
      <c r="Q377" s="18">
        <f t="shared" si="630"/>
        <v>33.424285714285702</v>
      </c>
      <c r="R377" s="17">
        <f t="shared" si="631"/>
        <v>281.32107142857143</v>
      </c>
      <c r="S377" s="19"/>
      <c r="T377" s="19"/>
      <c r="U377" s="19"/>
      <c r="V377" s="19"/>
      <c r="W377" s="17"/>
      <c r="X377" s="20"/>
      <c r="Y377" s="19"/>
      <c r="Z377" s="19"/>
      <c r="AA377" s="19"/>
      <c r="AB377" s="19"/>
      <c r="AC377" s="19"/>
      <c r="AD377" s="19"/>
      <c r="AE377" s="5"/>
      <c r="AF377" s="19"/>
      <c r="AG377" s="5"/>
      <c r="AH377" s="17"/>
      <c r="AI377" s="19"/>
      <c r="AJ377" s="19"/>
      <c r="AK377" s="19"/>
      <c r="AL377" s="19"/>
      <c r="AM377" s="17"/>
      <c r="AN377" s="19"/>
      <c r="AO377" s="19"/>
      <c r="AP377" s="19"/>
      <c r="AQ377" s="19"/>
      <c r="AR377" s="19"/>
      <c r="AS377" s="21"/>
      <c r="AT377" s="5"/>
      <c r="AU377" s="19"/>
      <c r="AV377" s="5"/>
      <c r="AW377" s="22"/>
      <c r="AX377" s="19"/>
      <c r="AY377" s="5"/>
      <c r="AZ377" s="19"/>
      <c r="BA377" s="5"/>
      <c r="BB377" s="5"/>
      <c r="BC377" s="19"/>
      <c r="BD377" s="19"/>
      <c r="BE377" s="19"/>
      <c r="BF377" s="19"/>
      <c r="BG377" s="19"/>
      <c r="BH377" s="19"/>
      <c r="BI377" s="19"/>
      <c r="BJ377" s="19"/>
      <c r="BK377" s="13"/>
      <c r="BL377" s="5"/>
      <c r="BM377" s="5"/>
      <c r="BN377" s="19"/>
      <c r="BO377" s="17"/>
      <c r="BP377" s="19"/>
      <c r="BQ377" s="17"/>
      <c r="BR377" s="19"/>
      <c r="BS377" s="13"/>
      <c r="BT377" s="5"/>
      <c r="BU377" s="23"/>
      <c r="BV377" s="23"/>
      <c r="BW377" s="24"/>
      <c r="BX377" s="5"/>
      <c r="BY377" s="5"/>
      <c r="BZ377" s="5"/>
      <c r="CA377" s="24"/>
      <c r="CB377" s="24"/>
      <c r="CC377" s="24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>
        <f t="shared" si="574"/>
        <v>311.95999999999998</v>
      </c>
      <c r="CV377" s="25">
        <f t="shared" si="575"/>
        <v>0</v>
      </c>
    </row>
    <row r="378" spans="1:100" x14ac:dyDescent="0.2">
      <c r="A378" s="2"/>
      <c r="B378" s="3"/>
      <c r="C378" s="4"/>
      <c r="D378" s="5"/>
      <c r="E378" s="6"/>
      <c r="F378" s="7"/>
      <c r="G378" s="8"/>
      <c r="H378" s="9"/>
      <c r="I378" s="10"/>
      <c r="J378" s="11" t="s">
        <v>337</v>
      </c>
      <c r="K378" s="12">
        <v>8.69</v>
      </c>
      <c r="L378" s="13">
        <v>44</v>
      </c>
      <c r="M378" s="14">
        <f t="shared" si="628"/>
        <v>382.35999999999996</v>
      </c>
      <c r="N378" s="15"/>
      <c r="O378" s="16" t="s">
        <v>111</v>
      </c>
      <c r="P378" s="17">
        <f t="shared" si="629"/>
        <v>3.4139285714285705</v>
      </c>
      <c r="Q378" s="18">
        <f t="shared" si="630"/>
        <v>40.967142857142846</v>
      </c>
      <c r="R378" s="17">
        <f t="shared" si="631"/>
        <v>344.8067857142857</v>
      </c>
      <c r="S378" s="19"/>
      <c r="T378" s="19"/>
      <c r="U378" s="19"/>
      <c r="V378" s="19"/>
      <c r="W378" s="17"/>
      <c r="X378" s="20"/>
      <c r="Y378" s="19"/>
      <c r="Z378" s="19"/>
      <c r="AA378" s="19"/>
      <c r="AB378" s="19"/>
      <c r="AC378" s="19"/>
      <c r="AD378" s="19"/>
      <c r="AE378" s="5"/>
      <c r="AF378" s="19"/>
      <c r="AG378" s="5"/>
      <c r="AH378" s="17"/>
      <c r="AI378" s="19"/>
      <c r="AJ378" s="19"/>
      <c r="AK378" s="19"/>
      <c r="AL378" s="19"/>
      <c r="AM378" s="17"/>
      <c r="AN378" s="19"/>
      <c r="AO378" s="19"/>
      <c r="AP378" s="19"/>
      <c r="AQ378" s="19"/>
      <c r="AR378" s="19"/>
      <c r="AS378" s="21"/>
      <c r="AT378" s="5"/>
      <c r="AU378" s="19"/>
      <c r="AV378" s="5"/>
      <c r="AW378" s="22"/>
      <c r="AX378" s="19"/>
      <c r="AY378" s="5"/>
      <c r="AZ378" s="19"/>
      <c r="BA378" s="5"/>
      <c r="BB378" s="5"/>
      <c r="BC378" s="19"/>
      <c r="BD378" s="19"/>
      <c r="BE378" s="19"/>
      <c r="BF378" s="19"/>
      <c r="BG378" s="19"/>
      <c r="BH378" s="19"/>
      <c r="BI378" s="19"/>
      <c r="BJ378" s="19"/>
      <c r="BK378" s="13"/>
      <c r="BL378" s="5"/>
      <c r="BM378" s="5"/>
      <c r="BN378" s="19"/>
      <c r="BO378" s="17"/>
      <c r="BP378" s="19"/>
      <c r="BQ378" s="17"/>
      <c r="BR378" s="19"/>
      <c r="BS378" s="13"/>
      <c r="BT378" s="5"/>
      <c r="BU378" s="23"/>
      <c r="BV378" s="23"/>
      <c r="BW378" s="24"/>
      <c r="BX378" s="5"/>
      <c r="BY378" s="5"/>
      <c r="BZ378" s="5"/>
      <c r="CA378" s="24"/>
      <c r="CB378" s="24"/>
      <c r="CC378" s="24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>
        <f t="shared" si="574"/>
        <v>382.35999999999996</v>
      </c>
      <c r="CV378" s="25">
        <f t="shared" si="575"/>
        <v>0</v>
      </c>
    </row>
    <row r="379" spans="1:100" x14ac:dyDescent="0.2">
      <c r="A379" s="27"/>
      <c r="B379" s="28"/>
      <c r="C379" s="29"/>
      <c r="D379" s="30"/>
      <c r="E379" s="31"/>
      <c r="F379" s="32"/>
      <c r="G379" s="33"/>
      <c r="H379" s="34"/>
      <c r="I379" s="34"/>
      <c r="J379" s="35"/>
      <c r="K379" s="36"/>
      <c r="L379" s="37"/>
      <c r="M379" s="38">
        <f>SUM(M373:M378)</f>
        <v>1655.9199999999998</v>
      </c>
      <c r="N379" s="38"/>
      <c r="O379" s="39" t="s">
        <v>111</v>
      </c>
      <c r="P379" s="38">
        <f>SUM(P373:P378)</f>
        <v>14.784999999999998</v>
      </c>
      <c r="Q379" s="38">
        <f>SUM(Q373:Q378)</f>
        <v>177.41999999999996</v>
      </c>
      <c r="R379" s="38">
        <f>SUM(R373:R378)</f>
        <v>1493.2850000000001</v>
      </c>
      <c r="S379" s="38">
        <f t="shared" ref="S379:AD379" si="632">SUM(S373:S373)</f>
        <v>0</v>
      </c>
      <c r="T379" s="38">
        <f t="shared" si="632"/>
        <v>0</v>
      </c>
      <c r="U379" s="38">
        <f t="shared" si="632"/>
        <v>0</v>
      </c>
      <c r="V379" s="38">
        <f t="shared" si="632"/>
        <v>0</v>
      </c>
      <c r="W379" s="38">
        <f t="shared" si="632"/>
        <v>0</v>
      </c>
      <c r="X379" s="38">
        <f t="shared" si="632"/>
        <v>0</v>
      </c>
      <c r="Y379" s="38">
        <f t="shared" si="632"/>
        <v>0</v>
      </c>
      <c r="Z379" s="38">
        <f t="shared" si="632"/>
        <v>0</v>
      </c>
      <c r="AA379" s="38">
        <f t="shared" si="632"/>
        <v>0</v>
      </c>
      <c r="AB379" s="38">
        <f t="shared" si="632"/>
        <v>0</v>
      </c>
      <c r="AC379" s="38">
        <f t="shared" si="632"/>
        <v>0</v>
      </c>
      <c r="AD379" s="38">
        <f t="shared" si="632"/>
        <v>0</v>
      </c>
      <c r="AE379" s="30"/>
      <c r="AF379" s="38">
        <f>SUM(AF373:AF373)</f>
        <v>0</v>
      </c>
      <c r="AG379" s="30"/>
      <c r="AH379" s="38">
        <f t="shared" ref="AH379:AZ379" si="633">SUM(AH373:AH373)</f>
        <v>0</v>
      </c>
      <c r="AI379" s="38">
        <f t="shared" si="633"/>
        <v>0</v>
      </c>
      <c r="AJ379" s="38">
        <f t="shared" si="633"/>
        <v>0</v>
      </c>
      <c r="AK379" s="38">
        <f t="shared" si="633"/>
        <v>0</v>
      </c>
      <c r="AL379" s="38">
        <f t="shared" si="633"/>
        <v>0</v>
      </c>
      <c r="AM379" s="38">
        <f t="shared" si="633"/>
        <v>0</v>
      </c>
      <c r="AN379" s="38">
        <f t="shared" si="633"/>
        <v>0</v>
      </c>
      <c r="AO379" s="38">
        <f t="shared" si="633"/>
        <v>0</v>
      </c>
      <c r="AP379" s="38">
        <f t="shared" si="633"/>
        <v>0</v>
      </c>
      <c r="AQ379" s="38">
        <f t="shared" si="633"/>
        <v>0</v>
      </c>
      <c r="AR379" s="38">
        <f t="shared" si="633"/>
        <v>0</v>
      </c>
      <c r="AS379" s="38">
        <f t="shared" si="633"/>
        <v>0</v>
      </c>
      <c r="AT379" s="38">
        <f t="shared" si="633"/>
        <v>0</v>
      </c>
      <c r="AU379" s="38">
        <f t="shared" si="633"/>
        <v>0</v>
      </c>
      <c r="AV379" s="38">
        <f t="shared" si="633"/>
        <v>0</v>
      </c>
      <c r="AW379" s="38">
        <f t="shared" si="633"/>
        <v>0</v>
      </c>
      <c r="AX379" s="38">
        <f t="shared" si="633"/>
        <v>0</v>
      </c>
      <c r="AY379" s="38">
        <f t="shared" si="633"/>
        <v>0</v>
      </c>
      <c r="AZ379" s="38">
        <f t="shared" si="633"/>
        <v>0</v>
      </c>
      <c r="BA379" s="30"/>
      <c r="BB379" s="38">
        <f t="shared" ref="BB379:CT379" si="634">SUM(BB373:BB373)</f>
        <v>0</v>
      </c>
      <c r="BC379" s="38">
        <f t="shared" si="634"/>
        <v>0</v>
      </c>
      <c r="BD379" s="38">
        <f t="shared" si="634"/>
        <v>0</v>
      </c>
      <c r="BE379" s="38">
        <f t="shared" si="634"/>
        <v>0</v>
      </c>
      <c r="BF379" s="38">
        <f t="shared" si="634"/>
        <v>0</v>
      </c>
      <c r="BG379" s="38">
        <f t="shared" si="634"/>
        <v>0</v>
      </c>
      <c r="BH379" s="38">
        <f t="shared" si="634"/>
        <v>0</v>
      </c>
      <c r="BI379" s="38">
        <f t="shared" si="634"/>
        <v>0</v>
      </c>
      <c r="BJ379" s="38">
        <f t="shared" si="634"/>
        <v>0</v>
      </c>
      <c r="BK379" s="38">
        <f t="shared" si="634"/>
        <v>0</v>
      </c>
      <c r="BL379" s="38">
        <f t="shared" si="634"/>
        <v>0</v>
      </c>
      <c r="BM379" s="38">
        <f t="shared" si="634"/>
        <v>0</v>
      </c>
      <c r="BN379" s="38">
        <f t="shared" si="634"/>
        <v>0</v>
      </c>
      <c r="BO379" s="38">
        <f t="shared" si="634"/>
        <v>0</v>
      </c>
      <c r="BP379" s="38">
        <f t="shared" si="634"/>
        <v>0</v>
      </c>
      <c r="BQ379" s="38">
        <f t="shared" si="634"/>
        <v>0</v>
      </c>
      <c r="BR379" s="38">
        <f t="shared" si="634"/>
        <v>0</v>
      </c>
      <c r="BS379" s="38">
        <f t="shared" si="634"/>
        <v>0</v>
      </c>
      <c r="BT379" s="38">
        <f t="shared" si="634"/>
        <v>0</v>
      </c>
      <c r="BU379" s="38">
        <f t="shared" si="634"/>
        <v>0</v>
      </c>
      <c r="BV379" s="38">
        <f t="shared" si="634"/>
        <v>0</v>
      </c>
      <c r="BW379" s="38">
        <f t="shared" si="634"/>
        <v>0</v>
      </c>
      <c r="BX379" s="38">
        <f t="shared" si="634"/>
        <v>0</v>
      </c>
      <c r="BY379" s="38">
        <f t="shared" si="634"/>
        <v>0</v>
      </c>
      <c r="BZ379" s="38">
        <f t="shared" si="634"/>
        <v>0</v>
      </c>
      <c r="CA379" s="38">
        <f t="shared" si="634"/>
        <v>0</v>
      </c>
      <c r="CB379" s="38">
        <f t="shared" si="634"/>
        <v>0</v>
      </c>
      <c r="CC379" s="38">
        <f t="shared" si="634"/>
        <v>0</v>
      </c>
      <c r="CD379" s="38">
        <f t="shared" si="634"/>
        <v>0</v>
      </c>
      <c r="CE379" s="38">
        <f t="shared" si="634"/>
        <v>0</v>
      </c>
      <c r="CF379" s="38">
        <f t="shared" si="634"/>
        <v>0</v>
      </c>
      <c r="CG379" s="38">
        <f t="shared" si="634"/>
        <v>0</v>
      </c>
      <c r="CH379" s="38">
        <f t="shared" si="634"/>
        <v>0</v>
      </c>
      <c r="CI379" s="38">
        <f t="shared" si="634"/>
        <v>0</v>
      </c>
      <c r="CJ379" s="38">
        <f t="shared" si="634"/>
        <v>0</v>
      </c>
      <c r="CK379" s="38">
        <f t="shared" si="634"/>
        <v>0</v>
      </c>
      <c r="CL379" s="38">
        <f t="shared" si="634"/>
        <v>0</v>
      </c>
      <c r="CM379" s="38">
        <f t="shared" si="634"/>
        <v>0</v>
      </c>
      <c r="CN379" s="38">
        <f t="shared" si="634"/>
        <v>0</v>
      </c>
      <c r="CO379" s="38">
        <f t="shared" si="634"/>
        <v>0</v>
      </c>
      <c r="CP379" s="38">
        <f t="shared" si="634"/>
        <v>0</v>
      </c>
      <c r="CQ379" s="38">
        <f t="shared" si="634"/>
        <v>0</v>
      </c>
      <c r="CR379" s="38">
        <f t="shared" si="634"/>
        <v>0</v>
      </c>
      <c r="CS379" s="38">
        <f t="shared" si="634"/>
        <v>0</v>
      </c>
      <c r="CT379" s="38">
        <f t="shared" si="634"/>
        <v>0</v>
      </c>
      <c r="CU379" s="17">
        <f t="shared" si="574"/>
        <v>1655.9199999999998</v>
      </c>
      <c r="CV379" s="25">
        <f t="shared" si="575"/>
        <v>0</v>
      </c>
    </row>
    <row r="380" spans="1:100" x14ac:dyDescent="0.2">
      <c r="A380" s="2">
        <v>45875</v>
      </c>
      <c r="B380" s="3" t="s">
        <v>747</v>
      </c>
      <c r="C380" s="4" t="s">
        <v>869</v>
      </c>
      <c r="D380" s="5" t="s">
        <v>748</v>
      </c>
      <c r="E380" s="6" t="s">
        <v>266</v>
      </c>
      <c r="F380" s="7"/>
      <c r="G380" s="8"/>
      <c r="H380" s="9"/>
      <c r="I380" s="10"/>
      <c r="J380" s="11" t="s">
        <v>760</v>
      </c>
      <c r="K380" s="12">
        <v>15</v>
      </c>
      <c r="L380" s="13">
        <v>275</v>
      </c>
      <c r="M380" s="14">
        <f t="shared" ref="M380" si="635">L380*K380</f>
        <v>4125</v>
      </c>
      <c r="N380" s="15"/>
      <c r="O380" s="16" t="s">
        <v>137</v>
      </c>
      <c r="P380" s="17"/>
      <c r="Q380" s="18"/>
      <c r="R380" s="17">
        <f>M380+P380-Q380</f>
        <v>4125</v>
      </c>
      <c r="S380" s="19"/>
      <c r="T380" s="19"/>
      <c r="U380" s="19"/>
      <c r="V380" s="19"/>
      <c r="W380" s="17"/>
      <c r="X380" s="20"/>
      <c r="Y380" s="19"/>
      <c r="Z380" s="19"/>
      <c r="AA380" s="19"/>
      <c r="AB380" s="19"/>
      <c r="AC380" s="19"/>
      <c r="AD380" s="19"/>
      <c r="AE380" s="5"/>
      <c r="AF380" s="19"/>
      <c r="AG380" s="5"/>
      <c r="AH380" s="17"/>
      <c r="AI380" s="19"/>
      <c r="AJ380" s="19"/>
      <c r="AK380" s="19"/>
      <c r="AL380" s="19"/>
      <c r="AM380" s="17"/>
      <c r="AN380" s="19"/>
      <c r="AO380" s="19"/>
      <c r="AP380" s="19"/>
      <c r="AQ380" s="19"/>
      <c r="AR380" s="19"/>
      <c r="AS380" s="21"/>
      <c r="AT380" s="5"/>
      <c r="AU380" s="19"/>
      <c r="AV380" s="5"/>
      <c r="AW380" s="22"/>
      <c r="AX380" s="19"/>
      <c r="AY380" s="5"/>
      <c r="AZ380" s="19"/>
      <c r="BA380" s="5"/>
      <c r="BB380" s="5"/>
      <c r="BC380" s="19"/>
      <c r="BD380" s="19"/>
      <c r="BE380" s="19"/>
      <c r="BF380" s="19"/>
      <c r="BG380" s="19"/>
      <c r="BH380" s="19"/>
      <c r="BI380" s="19"/>
      <c r="BJ380" s="19"/>
      <c r="BK380" s="13"/>
      <c r="BL380" s="5"/>
      <c r="BM380" s="5"/>
      <c r="BN380" s="19"/>
      <c r="BO380" s="17"/>
      <c r="BP380" s="19"/>
      <c r="BQ380" s="17"/>
      <c r="BR380" s="19"/>
      <c r="BS380" s="13"/>
      <c r="BT380" s="5"/>
      <c r="BU380" s="23"/>
      <c r="BV380" s="23"/>
      <c r="BW380" s="24"/>
      <c r="BX380" s="5"/>
      <c r="BY380" s="5"/>
      <c r="BZ380" s="5"/>
      <c r="CA380" s="24"/>
      <c r="CB380" s="24"/>
      <c r="CC380" s="24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>
        <f t="shared" si="574"/>
        <v>4125</v>
      </c>
      <c r="CV380" s="25">
        <f t="shared" si="575"/>
        <v>0</v>
      </c>
    </row>
    <row r="381" spans="1:100" x14ac:dyDescent="0.2">
      <c r="A381" s="27"/>
      <c r="B381" s="28"/>
      <c r="C381" s="29"/>
      <c r="D381" s="30"/>
      <c r="E381" s="31"/>
      <c r="F381" s="32"/>
      <c r="G381" s="33"/>
      <c r="H381" s="34"/>
      <c r="I381" s="34"/>
      <c r="J381" s="35"/>
      <c r="K381" s="36"/>
      <c r="L381" s="37"/>
      <c r="M381" s="38">
        <f>SUM(M380:M380)</f>
        <v>4125</v>
      </c>
      <c r="N381" s="38"/>
      <c r="O381" s="39" t="s">
        <v>137</v>
      </c>
      <c r="P381" s="38"/>
      <c r="Q381" s="38"/>
      <c r="R381" s="38">
        <f>SUM(R380:R380)</f>
        <v>4125</v>
      </c>
      <c r="S381" s="38">
        <f t="shared" ref="S381:AD381" si="636">SUM(S380:S380)</f>
        <v>0</v>
      </c>
      <c r="T381" s="38">
        <f t="shared" si="636"/>
        <v>0</v>
      </c>
      <c r="U381" s="38">
        <f t="shared" si="636"/>
        <v>0</v>
      </c>
      <c r="V381" s="38">
        <f t="shared" si="636"/>
        <v>0</v>
      </c>
      <c r="W381" s="38">
        <f t="shared" si="636"/>
        <v>0</v>
      </c>
      <c r="X381" s="38">
        <f t="shared" si="636"/>
        <v>0</v>
      </c>
      <c r="Y381" s="38">
        <f t="shared" si="636"/>
        <v>0</v>
      </c>
      <c r="Z381" s="38">
        <f t="shared" si="636"/>
        <v>0</v>
      </c>
      <c r="AA381" s="38">
        <f t="shared" si="636"/>
        <v>0</v>
      </c>
      <c r="AB381" s="38">
        <f t="shared" si="636"/>
        <v>0</v>
      </c>
      <c r="AC381" s="38">
        <f t="shared" si="636"/>
        <v>0</v>
      </c>
      <c r="AD381" s="38">
        <f t="shared" si="636"/>
        <v>0</v>
      </c>
      <c r="AE381" s="30"/>
      <c r="AF381" s="38">
        <f>SUM(AF380:AF380)</f>
        <v>0</v>
      </c>
      <c r="AG381" s="30"/>
      <c r="AH381" s="38">
        <f t="shared" ref="AH381:AZ381" si="637">SUM(AH380:AH380)</f>
        <v>0</v>
      </c>
      <c r="AI381" s="38">
        <f t="shared" si="637"/>
        <v>0</v>
      </c>
      <c r="AJ381" s="38">
        <f t="shared" si="637"/>
        <v>0</v>
      </c>
      <c r="AK381" s="38">
        <f t="shared" si="637"/>
        <v>0</v>
      </c>
      <c r="AL381" s="38">
        <f t="shared" si="637"/>
        <v>0</v>
      </c>
      <c r="AM381" s="38">
        <f t="shared" si="637"/>
        <v>0</v>
      </c>
      <c r="AN381" s="38">
        <f t="shared" si="637"/>
        <v>0</v>
      </c>
      <c r="AO381" s="38">
        <f t="shared" si="637"/>
        <v>0</v>
      </c>
      <c r="AP381" s="38">
        <f t="shared" si="637"/>
        <v>0</v>
      </c>
      <c r="AQ381" s="38">
        <f t="shared" si="637"/>
        <v>0</v>
      </c>
      <c r="AR381" s="38">
        <f t="shared" si="637"/>
        <v>0</v>
      </c>
      <c r="AS381" s="38">
        <f t="shared" si="637"/>
        <v>0</v>
      </c>
      <c r="AT381" s="38">
        <f t="shared" si="637"/>
        <v>0</v>
      </c>
      <c r="AU381" s="38">
        <f t="shared" si="637"/>
        <v>0</v>
      </c>
      <c r="AV381" s="38">
        <f t="shared" si="637"/>
        <v>0</v>
      </c>
      <c r="AW381" s="38">
        <f t="shared" si="637"/>
        <v>0</v>
      </c>
      <c r="AX381" s="38">
        <f t="shared" si="637"/>
        <v>0</v>
      </c>
      <c r="AY381" s="38">
        <f t="shared" si="637"/>
        <v>0</v>
      </c>
      <c r="AZ381" s="38">
        <f t="shared" si="637"/>
        <v>0</v>
      </c>
      <c r="BA381" s="30"/>
      <c r="BB381" s="38">
        <f t="shared" ref="BB381:CT381" si="638">SUM(BB380:BB380)</f>
        <v>0</v>
      </c>
      <c r="BC381" s="38">
        <f t="shared" si="638"/>
        <v>0</v>
      </c>
      <c r="BD381" s="38">
        <f t="shared" si="638"/>
        <v>0</v>
      </c>
      <c r="BE381" s="38">
        <f t="shared" si="638"/>
        <v>0</v>
      </c>
      <c r="BF381" s="38">
        <f t="shared" si="638"/>
        <v>0</v>
      </c>
      <c r="BG381" s="38">
        <f t="shared" si="638"/>
        <v>0</v>
      </c>
      <c r="BH381" s="38">
        <f t="shared" si="638"/>
        <v>0</v>
      </c>
      <c r="BI381" s="38">
        <f t="shared" si="638"/>
        <v>0</v>
      </c>
      <c r="BJ381" s="38">
        <f t="shared" si="638"/>
        <v>0</v>
      </c>
      <c r="BK381" s="38">
        <f t="shared" si="638"/>
        <v>0</v>
      </c>
      <c r="BL381" s="38">
        <f t="shared" si="638"/>
        <v>0</v>
      </c>
      <c r="BM381" s="38">
        <f t="shared" si="638"/>
        <v>0</v>
      </c>
      <c r="BN381" s="38">
        <f t="shared" si="638"/>
        <v>0</v>
      </c>
      <c r="BO381" s="38">
        <f t="shared" si="638"/>
        <v>0</v>
      </c>
      <c r="BP381" s="38">
        <f t="shared" si="638"/>
        <v>0</v>
      </c>
      <c r="BQ381" s="38">
        <f t="shared" si="638"/>
        <v>0</v>
      </c>
      <c r="BR381" s="38">
        <f t="shared" si="638"/>
        <v>0</v>
      </c>
      <c r="BS381" s="38">
        <f t="shared" si="638"/>
        <v>0</v>
      </c>
      <c r="BT381" s="38">
        <f t="shared" si="638"/>
        <v>0</v>
      </c>
      <c r="BU381" s="38">
        <f t="shared" si="638"/>
        <v>0</v>
      </c>
      <c r="BV381" s="38">
        <f t="shared" si="638"/>
        <v>0</v>
      </c>
      <c r="BW381" s="38">
        <f t="shared" si="638"/>
        <v>0</v>
      </c>
      <c r="BX381" s="38">
        <f t="shared" si="638"/>
        <v>0</v>
      </c>
      <c r="BY381" s="38">
        <f t="shared" si="638"/>
        <v>0</v>
      </c>
      <c r="BZ381" s="38">
        <f t="shared" si="638"/>
        <v>0</v>
      </c>
      <c r="CA381" s="38">
        <f t="shared" si="638"/>
        <v>0</v>
      </c>
      <c r="CB381" s="38">
        <f t="shared" si="638"/>
        <v>0</v>
      </c>
      <c r="CC381" s="38">
        <f t="shared" si="638"/>
        <v>0</v>
      </c>
      <c r="CD381" s="38">
        <f t="shared" si="638"/>
        <v>0</v>
      </c>
      <c r="CE381" s="38">
        <f t="shared" si="638"/>
        <v>0</v>
      </c>
      <c r="CF381" s="38">
        <f t="shared" si="638"/>
        <v>0</v>
      </c>
      <c r="CG381" s="38">
        <f t="shared" si="638"/>
        <v>0</v>
      </c>
      <c r="CH381" s="38">
        <f t="shared" si="638"/>
        <v>0</v>
      </c>
      <c r="CI381" s="38">
        <f t="shared" si="638"/>
        <v>0</v>
      </c>
      <c r="CJ381" s="38">
        <f t="shared" si="638"/>
        <v>0</v>
      </c>
      <c r="CK381" s="38">
        <f t="shared" si="638"/>
        <v>0</v>
      </c>
      <c r="CL381" s="38">
        <f t="shared" si="638"/>
        <v>0</v>
      </c>
      <c r="CM381" s="38">
        <f t="shared" si="638"/>
        <v>0</v>
      </c>
      <c r="CN381" s="38">
        <f t="shared" si="638"/>
        <v>0</v>
      </c>
      <c r="CO381" s="38">
        <f t="shared" si="638"/>
        <v>0</v>
      </c>
      <c r="CP381" s="38">
        <f t="shared" si="638"/>
        <v>0</v>
      </c>
      <c r="CQ381" s="38">
        <f t="shared" si="638"/>
        <v>0</v>
      </c>
      <c r="CR381" s="38">
        <f t="shared" si="638"/>
        <v>0</v>
      </c>
      <c r="CS381" s="38">
        <f t="shared" si="638"/>
        <v>0</v>
      </c>
      <c r="CT381" s="38">
        <f t="shared" si="638"/>
        <v>0</v>
      </c>
      <c r="CU381" s="17">
        <f t="shared" si="574"/>
        <v>4125</v>
      </c>
      <c r="CV381" s="25">
        <f t="shared" si="575"/>
        <v>0</v>
      </c>
    </row>
    <row r="382" spans="1:100" x14ac:dyDescent="0.2">
      <c r="A382" s="2">
        <v>45885</v>
      </c>
      <c r="B382" s="3" t="s">
        <v>747</v>
      </c>
      <c r="C382" s="4" t="s">
        <v>870</v>
      </c>
      <c r="D382" s="5" t="s">
        <v>748</v>
      </c>
      <c r="E382" s="6" t="s">
        <v>134</v>
      </c>
      <c r="F382" s="7"/>
      <c r="G382" s="8"/>
      <c r="H382" s="9"/>
      <c r="I382" s="10"/>
      <c r="J382" s="11" t="s">
        <v>135</v>
      </c>
      <c r="K382" s="12">
        <v>1</v>
      </c>
      <c r="L382" s="13">
        <v>53</v>
      </c>
      <c r="M382" s="14">
        <f t="shared" ref="M382" si="639">L382*K382</f>
        <v>53</v>
      </c>
      <c r="N382" s="15"/>
      <c r="O382" s="16" t="s">
        <v>137</v>
      </c>
      <c r="P382" s="17"/>
      <c r="Q382" s="18"/>
      <c r="R382" s="5"/>
      <c r="S382" s="19"/>
      <c r="T382" s="19"/>
      <c r="U382" s="19"/>
      <c r="V382" s="19"/>
      <c r="W382" s="17"/>
      <c r="X382" s="20"/>
      <c r="Y382" s="19"/>
      <c r="Z382" s="19"/>
      <c r="AA382" s="19"/>
      <c r="AB382" s="19"/>
      <c r="AC382" s="19"/>
      <c r="AD382" s="19"/>
      <c r="AE382" s="5"/>
      <c r="AF382" s="19"/>
      <c r="AG382" s="5"/>
      <c r="AH382" s="17"/>
      <c r="AI382" s="19"/>
      <c r="AJ382" s="19"/>
      <c r="AK382" s="19"/>
      <c r="AL382" s="19"/>
      <c r="AM382" s="17"/>
      <c r="AN382" s="19"/>
      <c r="AO382" s="19"/>
      <c r="AP382" s="19"/>
      <c r="AQ382" s="19"/>
      <c r="AR382" s="19"/>
      <c r="AS382" s="21"/>
      <c r="AT382" s="5"/>
      <c r="AU382" s="19"/>
      <c r="AV382" s="5"/>
      <c r="AW382" s="22"/>
      <c r="AX382" s="19"/>
      <c r="AY382" s="5"/>
      <c r="AZ382" s="19"/>
      <c r="BA382" s="5"/>
      <c r="BB382" s="5"/>
      <c r="BC382" s="19"/>
      <c r="BD382" s="19"/>
      <c r="BE382" s="19"/>
      <c r="BF382" s="19"/>
      <c r="BG382" s="19"/>
      <c r="BH382" s="19"/>
      <c r="BI382" s="19"/>
      <c r="BJ382" s="19"/>
      <c r="BK382" s="13"/>
      <c r="BL382" s="5"/>
      <c r="BM382" s="5"/>
      <c r="BN382" s="19"/>
      <c r="BO382" s="17">
        <f>M382+P382-Q382</f>
        <v>53</v>
      </c>
      <c r="BP382" s="19"/>
      <c r="BQ382" s="17"/>
      <c r="BR382" s="19"/>
      <c r="BS382" s="13"/>
      <c r="BT382" s="5"/>
      <c r="BU382" s="23"/>
      <c r="BV382" s="23"/>
      <c r="BW382" s="24"/>
      <c r="BX382" s="5"/>
      <c r="BY382" s="5"/>
      <c r="BZ382" s="5"/>
      <c r="CA382" s="24"/>
      <c r="CB382" s="24"/>
      <c r="CC382" s="24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>
        <f t="shared" si="574"/>
        <v>53</v>
      </c>
      <c r="CV382" s="25">
        <f t="shared" si="575"/>
        <v>0</v>
      </c>
    </row>
    <row r="383" spans="1:100" s="205" customFormat="1" x14ac:dyDescent="0.2">
      <c r="A383" s="192"/>
      <c r="B383" s="193"/>
      <c r="C383" s="194"/>
      <c r="D383" s="195"/>
      <c r="E383" s="196"/>
      <c r="F383" s="197"/>
      <c r="G383" s="198"/>
      <c r="H383" s="199"/>
      <c r="I383" s="199"/>
      <c r="J383" s="200"/>
      <c r="K383" s="201"/>
      <c r="L383" s="202"/>
      <c r="M383" s="203">
        <f>SUM(M382:M382)</f>
        <v>53</v>
      </c>
      <c r="N383" s="203">
        <f>M383+M381+M379+M372+M370</f>
        <v>6517.92</v>
      </c>
      <c r="O383" s="204" t="s">
        <v>137</v>
      </c>
      <c r="P383" s="203"/>
      <c r="Q383" s="203"/>
      <c r="R383" s="195"/>
      <c r="S383" s="203">
        <f t="shared" ref="S383:AD383" si="640">SUM(S382:S382)</f>
        <v>0</v>
      </c>
      <c r="T383" s="203">
        <f t="shared" si="640"/>
        <v>0</v>
      </c>
      <c r="U383" s="203">
        <f t="shared" si="640"/>
        <v>0</v>
      </c>
      <c r="V383" s="203">
        <f t="shared" si="640"/>
        <v>0</v>
      </c>
      <c r="W383" s="203">
        <f t="shared" si="640"/>
        <v>0</v>
      </c>
      <c r="X383" s="203">
        <f t="shared" si="640"/>
        <v>0</v>
      </c>
      <c r="Y383" s="203">
        <f t="shared" si="640"/>
        <v>0</v>
      </c>
      <c r="Z383" s="203">
        <f t="shared" si="640"/>
        <v>0</v>
      </c>
      <c r="AA383" s="203">
        <f t="shared" si="640"/>
        <v>0</v>
      </c>
      <c r="AB383" s="203">
        <f t="shared" si="640"/>
        <v>0</v>
      </c>
      <c r="AC383" s="203">
        <f t="shared" si="640"/>
        <v>0</v>
      </c>
      <c r="AD383" s="203">
        <f t="shared" si="640"/>
        <v>0</v>
      </c>
      <c r="AE383" s="195"/>
      <c r="AF383" s="203">
        <f>SUM(AF382:AF382)</f>
        <v>0</v>
      </c>
      <c r="AG383" s="195"/>
      <c r="AH383" s="203">
        <f t="shared" ref="AH383:AZ383" si="641">SUM(AH382:AH382)</f>
        <v>0</v>
      </c>
      <c r="AI383" s="203">
        <f t="shared" si="641"/>
        <v>0</v>
      </c>
      <c r="AJ383" s="203">
        <f t="shared" si="641"/>
        <v>0</v>
      </c>
      <c r="AK383" s="203">
        <f t="shared" si="641"/>
        <v>0</v>
      </c>
      <c r="AL383" s="203">
        <f t="shared" si="641"/>
        <v>0</v>
      </c>
      <c r="AM383" s="203">
        <f t="shared" si="641"/>
        <v>0</v>
      </c>
      <c r="AN383" s="203">
        <f t="shared" si="641"/>
        <v>0</v>
      </c>
      <c r="AO383" s="203">
        <f t="shared" si="641"/>
        <v>0</v>
      </c>
      <c r="AP383" s="203">
        <f t="shared" si="641"/>
        <v>0</v>
      </c>
      <c r="AQ383" s="203">
        <f t="shared" si="641"/>
        <v>0</v>
      </c>
      <c r="AR383" s="203">
        <f t="shared" si="641"/>
        <v>0</v>
      </c>
      <c r="AS383" s="203">
        <f t="shared" si="641"/>
        <v>0</v>
      </c>
      <c r="AT383" s="203">
        <f t="shared" si="641"/>
        <v>0</v>
      </c>
      <c r="AU383" s="203">
        <f t="shared" si="641"/>
        <v>0</v>
      </c>
      <c r="AV383" s="203">
        <f t="shared" si="641"/>
        <v>0</v>
      </c>
      <c r="AW383" s="203">
        <f t="shared" si="641"/>
        <v>0</v>
      </c>
      <c r="AX383" s="203">
        <f t="shared" si="641"/>
        <v>0</v>
      </c>
      <c r="AY383" s="203">
        <f t="shared" si="641"/>
        <v>0</v>
      </c>
      <c r="AZ383" s="203">
        <f t="shared" si="641"/>
        <v>0</v>
      </c>
      <c r="BA383" s="195"/>
      <c r="BB383" s="203">
        <f t="shared" ref="BB383:CT383" si="642">SUM(BB382:BB382)</f>
        <v>0</v>
      </c>
      <c r="BC383" s="203">
        <f t="shared" si="642"/>
        <v>0</v>
      </c>
      <c r="BD383" s="203">
        <f t="shared" si="642"/>
        <v>0</v>
      </c>
      <c r="BE383" s="203">
        <f t="shared" si="642"/>
        <v>0</v>
      </c>
      <c r="BF383" s="203">
        <f t="shared" si="642"/>
        <v>0</v>
      </c>
      <c r="BG383" s="203">
        <f t="shared" si="642"/>
        <v>0</v>
      </c>
      <c r="BH383" s="203">
        <f t="shared" si="642"/>
        <v>0</v>
      </c>
      <c r="BI383" s="203">
        <f t="shared" si="642"/>
        <v>0</v>
      </c>
      <c r="BJ383" s="203">
        <f t="shared" si="642"/>
        <v>0</v>
      </c>
      <c r="BK383" s="203">
        <f t="shared" si="642"/>
        <v>0</v>
      </c>
      <c r="BL383" s="203">
        <f t="shared" si="642"/>
        <v>0</v>
      </c>
      <c r="BM383" s="203">
        <f t="shared" si="642"/>
        <v>0</v>
      </c>
      <c r="BN383" s="203">
        <f t="shared" si="642"/>
        <v>0</v>
      </c>
      <c r="BO383" s="203">
        <f>SUM(BO382:BO382)</f>
        <v>53</v>
      </c>
      <c r="BP383" s="203">
        <f t="shared" si="642"/>
        <v>0</v>
      </c>
      <c r="BQ383" s="203">
        <f t="shared" si="642"/>
        <v>0</v>
      </c>
      <c r="BR383" s="203">
        <f t="shared" si="642"/>
        <v>0</v>
      </c>
      <c r="BS383" s="203">
        <f t="shared" si="642"/>
        <v>0</v>
      </c>
      <c r="BT383" s="203">
        <f t="shared" si="642"/>
        <v>0</v>
      </c>
      <c r="BU383" s="203">
        <f t="shared" si="642"/>
        <v>0</v>
      </c>
      <c r="BV383" s="203">
        <f t="shared" si="642"/>
        <v>0</v>
      </c>
      <c r="BW383" s="203">
        <f t="shared" si="642"/>
        <v>0</v>
      </c>
      <c r="BX383" s="203">
        <f t="shared" si="642"/>
        <v>0</v>
      </c>
      <c r="BY383" s="203">
        <f t="shared" si="642"/>
        <v>0</v>
      </c>
      <c r="BZ383" s="203">
        <f t="shared" si="642"/>
        <v>0</v>
      </c>
      <c r="CA383" s="203">
        <f t="shared" si="642"/>
        <v>0</v>
      </c>
      <c r="CB383" s="203">
        <f t="shared" si="642"/>
        <v>0</v>
      </c>
      <c r="CC383" s="203">
        <f t="shared" si="642"/>
        <v>0</v>
      </c>
      <c r="CD383" s="203">
        <f t="shared" si="642"/>
        <v>0</v>
      </c>
      <c r="CE383" s="203">
        <f t="shared" si="642"/>
        <v>0</v>
      </c>
      <c r="CF383" s="203">
        <f t="shared" si="642"/>
        <v>0</v>
      </c>
      <c r="CG383" s="203">
        <f t="shared" si="642"/>
        <v>0</v>
      </c>
      <c r="CH383" s="203">
        <f t="shared" si="642"/>
        <v>0</v>
      </c>
      <c r="CI383" s="203">
        <f t="shared" si="642"/>
        <v>0</v>
      </c>
      <c r="CJ383" s="203">
        <f t="shared" si="642"/>
        <v>0</v>
      </c>
      <c r="CK383" s="203">
        <f t="shared" si="642"/>
        <v>0</v>
      </c>
      <c r="CL383" s="203">
        <f t="shared" si="642"/>
        <v>0</v>
      </c>
      <c r="CM383" s="203">
        <f t="shared" si="642"/>
        <v>0</v>
      </c>
      <c r="CN383" s="203">
        <f t="shared" si="642"/>
        <v>0</v>
      </c>
      <c r="CO383" s="203">
        <f t="shared" si="642"/>
        <v>0</v>
      </c>
      <c r="CP383" s="203">
        <f t="shared" si="642"/>
        <v>0</v>
      </c>
      <c r="CQ383" s="203">
        <f t="shared" si="642"/>
        <v>0</v>
      </c>
      <c r="CR383" s="203">
        <f t="shared" si="642"/>
        <v>0</v>
      </c>
      <c r="CS383" s="203">
        <f t="shared" si="642"/>
        <v>0</v>
      </c>
      <c r="CT383" s="203">
        <f t="shared" si="642"/>
        <v>0</v>
      </c>
      <c r="CU383" s="17">
        <f t="shared" si="574"/>
        <v>53</v>
      </c>
      <c r="CV383" s="25">
        <f t="shared" si="575"/>
        <v>0</v>
      </c>
    </row>
    <row r="384" spans="1:100" x14ac:dyDescent="0.2">
      <c r="A384" s="2">
        <v>45879</v>
      </c>
      <c r="B384" s="3" t="s">
        <v>657</v>
      </c>
      <c r="C384" s="4" t="s">
        <v>871</v>
      </c>
      <c r="D384" s="5" t="s">
        <v>570</v>
      </c>
      <c r="E384" s="6" t="s">
        <v>370</v>
      </c>
      <c r="F384" s="7" t="s">
        <v>336</v>
      </c>
      <c r="G384" s="8" t="s">
        <v>199</v>
      </c>
      <c r="H384" s="9" t="s">
        <v>661</v>
      </c>
      <c r="I384" s="10"/>
      <c r="J384" s="11" t="s">
        <v>658</v>
      </c>
      <c r="K384" s="12">
        <v>5</v>
      </c>
      <c r="L384" s="13">
        <v>112</v>
      </c>
      <c r="M384" s="14">
        <f t="shared" ref="M384:M404" si="643">L384*K384</f>
        <v>560</v>
      </c>
      <c r="N384" s="15"/>
      <c r="O384" s="16" t="s">
        <v>137</v>
      </c>
      <c r="P384" s="17">
        <f>M384*0.01</f>
        <v>5.6000000000000005</v>
      </c>
      <c r="Q384" s="18"/>
      <c r="R384" s="17">
        <f>M384+P384-Q384</f>
        <v>565.6</v>
      </c>
      <c r="S384" s="19"/>
      <c r="T384" s="19"/>
      <c r="U384" s="19"/>
      <c r="V384" s="19"/>
      <c r="W384" s="17"/>
      <c r="X384" s="20"/>
      <c r="Y384" s="19"/>
      <c r="Z384" s="19"/>
      <c r="AA384" s="19"/>
      <c r="AB384" s="19"/>
      <c r="AC384" s="19"/>
      <c r="AD384" s="19"/>
      <c r="AE384" s="5"/>
      <c r="AF384" s="19"/>
      <c r="AG384" s="5"/>
      <c r="AH384" s="17"/>
      <c r="AI384" s="19"/>
      <c r="AJ384" s="19"/>
      <c r="AK384" s="19"/>
      <c r="AL384" s="19"/>
      <c r="AM384" s="17"/>
      <c r="AN384" s="19"/>
      <c r="AO384" s="19"/>
      <c r="AP384" s="19"/>
      <c r="AQ384" s="19"/>
      <c r="AR384" s="19"/>
      <c r="AS384" s="21"/>
      <c r="AT384" s="5"/>
      <c r="AU384" s="19"/>
      <c r="AV384" s="5"/>
      <c r="AW384" s="22"/>
      <c r="AX384" s="19"/>
      <c r="AY384" s="5"/>
      <c r="AZ384" s="19"/>
      <c r="BA384" s="5"/>
      <c r="BB384" s="5"/>
      <c r="BC384" s="19"/>
      <c r="BD384" s="19"/>
      <c r="BE384" s="19"/>
      <c r="BF384" s="19"/>
      <c r="BG384" s="19"/>
      <c r="BH384" s="19"/>
      <c r="BI384" s="19"/>
      <c r="BJ384" s="19"/>
      <c r="BK384" s="13"/>
      <c r="BL384" s="5"/>
      <c r="BM384" s="5"/>
      <c r="BN384" s="19"/>
      <c r="BO384" s="17"/>
      <c r="BP384" s="19"/>
      <c r="BQ384" s="17"/>
      <c r="BR384" s="19"/>
      <c r="BS384" s="13"/>
      <c r="BT384" s="5"/>
      <c r="BU384" s="23"/>
      <c r="BV384" s="23"/>
      <c r="BW384" s="24"/>
      <c r="BX384" s="5"/>
      <c r="BY384" s="5"/>
      <c r="BZ384" s="5"/>
      <c r="CA384" s="24"/>
      <c r="CB384" s="24"/>
      <c r="CC384" s="24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>
        <f t="shared" si="574"/>
        <v>560</v>
      </c>
      <c r="CV384" s="25">
        <f t="shared" si="575"/>
        <v>0</v>
      </c>
    </row>
    <row r="385" spans="1:100" x14ac:dyDescent="0.2">
      <c r="A385" s="2"/>
      <c r="B385" s="3"/>
      <c r="C385" s="4"/>
      <c r="D385" s="5"/>
      <c r="E385" s="6"/>
      <c r="F385" s="7"/>
      <c r="G385" s="8"/>
      <c r="H385" s="9"/>
      <c r="I385" s="10"/>
      <c r="J385" s="11" t="s">
        <v>337</v>
      </c>
      <c r="K385" s="12">
        <v>6.45</v>
      </c>
      <c r="L385" s="13">
        <v>44</v>
      </c>
      <c r="M385" s="14">
        <f t="shared" si="643"/>
        <v>283.8</v>
      </c>
      <c r="N385" s="15"/>
      <c r="O385" s="16" t="s">
        <v>137</v>
      </c>
      <c r="P385" s="17">
        <f>M385*0.01</f>
        <v>2.8380000000000001</v>
      </c>
      <c r="Q385" s="18"/>
      <c r="R385" s="17">
        <f t="shared" ref="R385:R404" si="644">M385+P385-Q385</f>
        <v>286.63800000000003</v>
      </c>
      <c r="S385" s="19"/>
      <c r="T385" s="19"/>
      <c r="U385" s="19"/>
      <c r="V385" s="19"/>
      <c r="W385" s="17"/>
      <c r="X385" s="20"/>
      <c r="Y385" s="19"/>
      <c r="Z385" s="19"/>
      <c r="AA385" s="19"/>
      <c r="AB385" s="19"/>
      <c r="AC385" s="19"/>
      <c r="AD385" s="19"/>
      <c r="AE385" s="5"/>
      <c r="AF385" s="19"/>
      <c r="AG385" s="5"/>
      <c r="AH385" s="17"/>
      <c r="AI385" s="19"/>
      <c r="AJ385" s="19"/>
      <c r="AK385" s="19"/>
      <c r="AL385" s="19"/>
      <c r="AM385" s="17"/>
      <c r="AN385" s="19"/>
      <c r="AO385" s="19"/>
      <c r="AP385" s="19"/>
      <c r="AQ385" s="19"/>
      <c r="AR385" s="19"/>
      <c r="AS385" s="21"/>
      <c r="AT385" s="5"/>
      <c r="AU385" s="19"/>
      <c r="AV385" s="5"/>
      <c r="AW385" s="22"/>
      <c r="AX385" s="19"/>
      <c r="AY385" s="5"/>
      <c r="AZ385" s="19"/>
      <c r="BA385" s="5"/>
      <c r="BB385" s="5"/>
      <c r="BC385" s="19"/>
      <c r="BD385" s="19"/>
      <c r="BE385" s="19"/>
      <c r="BF385" s="19"/>
      <c r="BG385" s="19"/>
      <c r="BH385" s="19"/>
      <c r="BI385" s="19"/>
      <c r="BJ385" s="19"/>
      <c r="BK385" s="13"/>
      <c r="BL385" s="5"/>
      <c r="BM385" s="5"/>
      <c r="BN385" s="19"/>
      <c r="BO385" s="17"/>
      <c r="BP385" s="19"/>
      <c r="BQ385" s="17"/>
      <c r="BR385" s="19"/>
      <c r="BS385" s="13"/>
      <c r="BT385" s="5"/>
      <c r="BU385" s="23"/>
      <c r="BV385" s="23"/>
      <c r="BW385" s="24"/>
      <c r="BX385" s="5"/>
      <c r="BY385" s="5"/>
      <c r="BZ385" s="5"/>
      <c r="CA385" s="24"/>
      <c r="CB385" s="24"/>
      <c r="CC385" s="24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>
        <f t="shared" si="574"/>
        <v>283.8</v>
      </c>
      <c r="CV385" s="25">
        <f t="shared" si="575"/>
        <v>0</v>
      </c>
    </row>
    <row r="386" spans="1:100" x14ac:dyDescent="0.2">
      <c r="A386" s="2"/>
      <c r="B386" s="3"/>
      <c r="C386" s="4"/>
      <c r="D386" s="5"/>
      <c r="E386" s="6"/>
      <c r="F386" s="7"/>
      <c r="G386" s="8"/>
      <c r="H386" s="9"/>
      <c r="I386" s="10"/>
      <c r="J386" s="11" t="s">
        <v>659</v>
      </c>
      <c r="K386" s="12">
        <v>4.585</v>
      </c>
      <c r="L386" s="13">
        <v>44</v>
      </c>
      <c r="M386" s="14">
        <f t="shared" si="643"/>
        <v>201.74</v>
      </c>
      <c r="N386" s="15"/>
      <c r="O386" s="16" t="s">
        <v>137</v>
      </c>
      <c r="P386" s="17">
        <f>M386*0.01</f>
        <v>2.0174000000000003</v>
      </c>
      <c r="Q386" s="18"/>
      <c r="R386" s="17">
        <f t="shared" si="644"/>
        <v>203.75740000000002</v>
      </c>
      <c r="S386" s="19"/>
      <c r="T386" s="19"/>
      <c r="U386" s="19"/>
      <c r="V386" s="19"/>
      <c r="W386" s="17"/>
      <c r="X386" s="20"/>
      <c r="Y386" s="19"/>
      <c r="Z386" s="19"/>
      <c r="AA386" s="19"/>
      <c r="AB386" s="19"/>
      <c r="AC386" s="19"/>
      <c r="AD386" s="19"/>
      <c r="AE386" s="5"/>
      <c r="AF386" s="19"/>
      <c r="AG386" s="5"/>
      <c r="AH386" s="17"/>
      <c r="AI386" s="19"/>
      <c r="AJ386" s="19"/>
      <c r="AK386" s="19"/>
      <c r="AL386" s="19"/>
      <c r="AM386" s="17"/>
      <c r="AN386" s="19"/>
      <c r="AO386" s="19"/>
      <c r="AP386" s="19"/>
      <c r="AQ386" s="19"/>
      <c r="AR386" s="19"/>
      <c r="AS386" s="21"/>
      <c r="AT386" s="5"/>
      <c r="AU386" s="19"/>
      <c r="AV386" s="5"/>
      <c r="AW386" s="22"/>
      <c r="AX386" s="19"/>
      <c r="AY386" s="5"/>
      <c r="AZ386" s="19"/>
      <c r="BA386" s="5"/>
      <c r="BB386" s="5"/>
      <c r="BC386" s="19"/>
      <c r="BD386" s="19"/>
      <c r="BE386" s="19"/>
      <c r="BF386" s="19"/>
      <c r="BG386" s="19"/>
      <c r="BH386" s="19"/>
      <c r="BI386" s="19"/>
      <c r="BJ386" s="19"/>
      <c r="BK386" s="13"/>
      <c r="BL386" s="5"/>
      <c r="BM386" s="5"/>
      <c r="BN386" s="19"/>
      <c r="BO386" s="17"/>
      <c r="BP386" s="19"/>
      <c r="BQ386" s="17"/>
      <c r="BR386" s="19"/>
      <c r="BS386" s="13"/>
      <c r="BT386" s="5"/>
      <c r="BU386" s="23"/>
      <c r="BV386" s="23"/>
      <c r="BW386" s="24"/>
      <c r="BX386" s="5"/>
      <c r="BY386" s="5"/>
      <c r="BZ386" s="5"/>
      <c r="CA386" s="24"/>
      <c r="CB386" s="24"/>
      <c r="CC386" s="24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>
        <f t="shared" si="574"/>
        <v>201.74</v>
      </c>
      <c r="CV386" s="25">
        <f t="shared" si="575"/>
        <v>0</v>
      </c>
    </row>
    <row r="387" spans="1:100" x14ac:dyDescent="0.2">
      <c r="A387" s="2"/>
      <c r="B387" s="3"/>
      <c r="C387" s="4"/>
      <c r="D387" s="5"/>
      <c r="E387" s="6"/>
      <c r="F387" s="7"/>
      <c r="G387" s="8"/>
      <c r="H387" s="9"/>
      <c r="I387" s="10"/>
      <c r="J387" s="11" t="s">
        <v>660</v>
      </c>
      <c r="K387" s="12">
        <v>14</v>
      </c>
      <c r="L387" s="13">
        <v>35.5</v>
      </c>
      <c r="M387" s="14">
        <f t="shared" si="643"/>
        <v>497</v>
      </c>
      <c r="N387" s="15"/>
      <c r="O387" s="16" t="s">
        <v>111</v>
      </c>
      <c r="P387" s="17">
        <f t="shared" ref="P387:P401" si="645">M387/1.12*0.01</f>
        <v>4.4374999999999991</v>
      </c>
      <c r="Q387" s="18">
        <f t="shared" ref="Q387:Q401" si="646">M387/1.12*0.12</f>
        <v>53.249999999999993</v>
      </c>
      <c r="R387" s="17">
        <f t="shared" si="644"/>
        <v>448.1875</v>
      </c>
      <c r="S387" s="19"/>
      <c r="T387" s="19"/>
      <c r="U387" s="19"/>
      <c r="V387" s="19"/>
      <c r="W387" s="17"/>
      <c r="X387" s="20"/>
      <c r="Y387" s="19"/>
      <c r="Z387" s="19"/>
      <c r="AA387" s="19"/>
      <c r="AB387" s="19"/>
      <c r="AC387" s="19"/>
      <c r="AD387" s="19"/>
      <c r="AE387" s="5"/>
      <c r="AF387" s="19"/>
      <c r="AG387" s="5"/>
      <c r="AH387" s="17"/>
      <c r="AI387" s="19"/>
      <c r="AJ387" s="19"/>
      <c r="AK387" s="19"/>
      <c r="AL387" s="19"/>
      <c r="AM387" s="17"/>
      <c r="AN387" s="19"/>
      <c r="AO387" s="19"/>
      <c r="AP387" s="19"/>
      <c r="AQ387" s="19"/>
      <c r="AR387" s="19"/>
      <c r="AS387" s="21"/>
      <c r="AT387" s="5"/>
      <c r="AU387" s="19"/>
      <c r="AV387" s="5"/>
      <c r="AW387" s="22"/>
      <c r="AX387" s="19"/>
      <c r="AY387" s="5"/>
      <c r="AZ387" s="19"/>
      <c r="BA387" s="5"/>
      <c r="BB387" s="5"/>
      <c r="BC387" s="19"/>
      <c r="BD387" s="19"/>
      <c r="BE387" s="19"/>
      <c r="BF387" s="19"/>
      <c r="BG387" s="19"/>
      <c r="BH387" s="19"/>
      <c r="BI387" s="19"/>
      <c r="BJ387" s="19"/>
      <c r="BK387" s="13"/>
      <c r="BL387" s="5"/>
      <c r="BM387" s="5"/>
      <c r="BN387" s="19"/>
      <c r="BO387" s="17"/>
      <c r="BP387" s="19"/>
      <c r="BQ387" s="17"/>
      <c r="BR387" s="19"/>
      <c r="BS387" s="13"/>
      <c r="BT387" s="5"/>
      <c r="BU387" s="23"/>
      <c r="BV387" s="23"/>
      <c r="BW387" s="24"/>
      <c r="BX387" s="5"/>
      <c r="BY387" s="5"/>
      <c r="BZ387" s="5"/>
      <c r="CA387" s="24"/>
      <c r="CB387" s="24"/>
      <c r="CC387" s="24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>
        <f t="shared" si="574"/>
        <v>497</v>
      </c>
      <c r="CV387" s="25">
        <f t="shared" si="575"/>
        <v>0</v>
      </c>
    </row>
    <row r="388" spans="1:100" x14ac:dyDescent="0.2">
      <c r="A388" s="2"/>
      <c r="B388" s="3"/>
      <c r="C388" s="4"/>
      <c r="D388" s="5"/>
      <c r="E388" s="6"/>
      <c r="F388" s="7"/>
      <c r="G388" s="8"/>
      <c r="H388" s="9"/>
      <c r="I388" s="10"/>
      <c r="J388" s="11" t="s">
        <v>360</v>
      </c>
      <c r="K388" s="12">
        <v>1</v>
      </c>
      <c r="L388" s="13">
        <v>30.25</v>
      </c>
      <c r="M388" s="14">
        <f t="shared" si="643"/>
        <v>30.25</v>
      </c>
      <c r="N388" s="15"/>
      <c r="O388" s="16" t="s">
        <v>111</v>
      </c>
      <c r="P388" s="17">
        <f t="shared" si="645"/>
        <v>0.2700892857142857</v>
      </c>
      <c r="Q388" s="18">
        <f t="shared" si="646"/>
        <v>3.2410714285714284</v>
      </c>
      <c r="R388" s="17">
        <f t="shared" si="644"/>
        <v>27.279017857142858</v>
      </c>
      <c r="S388" s="19"/>
      <c r="T388" s="19"/>
      <c r="U388" s="19"/>
      <c r="V388" s="19"/>
      <c r="W388" s="17"/>
      <c r="X388" s="20"/>
      <c r="Y388" s="19"/>
      <c r="Z388" s="19"/>
      <c r="AA388" s="19"/>
      <c r="AB388" s="19"/>
      <c r="AC388" s="19"/>
      <c r="AD388" s="19"/>
      <c r="AE388" s="5"/>
      <c r="AF388" s="19"/>
      <c r="AG388" s="5"/>
      <c r="AH388" s="17"/>
      <c r="AI388" s="19"/>
      <c r="AJ388" s="19"/>
      <c r="AK388" s="19"/>
      <c r="AL388" s="19"/>
      <c r="AM388" s="17"/>
      <c r="AN388" s="19"/>
      <c r="AO388" s="19"/>
      <c r="AP388" s="19"/>
      <c r="AQ388" s="19"/>
      <c r="AR388" s="19"/>
      <c r="AS388" s="21"/>
      <c r="AT388" s="5"/>
      <c r="AU388" s="19"/>
      <c r="AV388" s="5"/>
      <c r="AW388" s="22"/>
      <c r="AX388" s="19"/>
      <c r="AY388" s="5"/>
      <c r="AZ388" s="19"/>
      <c r="BA388" s="5"/>
      <c r="BB388" s="5"/>
      <c r="BC388" s="19"/>
      <c r="BD388" s="19"/>
      <c r="BE388" s="19"/>
      <c r="BF388" s="19"/>
      <c r="BG388" s="19"/>
      <c r="BH388" s="19"/>
      <c r="BI388" s="19"/>
      <c r="BJ388" s="19"/>
      <c r="BK388" s="13"/>
      <c r="BL388" s="5"/>
      <c r="BM388" s="5"/>
      <c r="BN388" s="19"/>
      <c r="BO388" s="17"/>
      <c r="BP388" s="19"/>
      <c r="BQ388" s="17"/>
      <c r="BR388" s="19"/>
      <c r="BS388" s="13"/>
      <c r="BT388" s="5"/>
      <c r="BU388" s="23"/>
      <c r="BV388" s="23"/>
      <c r="BW388" s="24"/>
      <c r="BX388" s="5"/>
      <c r="BY388" s="5"/>
      <c r="BZ388" s="5"/>
      <c r="CA388" s="24"/>
      <c r="CB388" s="24"/>
      <c r="CC388" s="24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>
        <f t="shared" si="574"/>
        <v>30.25</v>
      </c>
      <c r="CV388" s="25">
        <f t="shared" si="575"/>
        <v>0</v>
      </c>
    </row>
    <row r="389" spans="1:100" x14ac:dyDescent="0.2">
      <c r="A389" s="2"/>
      <c r="B389" s="3"/>
      <c r="C389" s="4"/>
      <c r="D389" s="5"/>
      <c r="E389" s="6"/>
      <c r="F389" s="7"/>
      <c r="G389" s="8"/>
      <c r="H389" s="9"/>
      <c r="I389" s="10"/>
      <c r="J389" s="11" t="s">
        <v>662</v>
      </c>
      <c r="K389" s="12">
        <v>0.63</v>
      </c>
      <c r="L389" s="13">
        <v>90</v>
      </c>
      <c r="M389" s="14">
        <f t="shared" si="643"/>
        <v>56.7</v>
      </c>
      <c r="N389" s="15"/>
      <c r="O389" s="16" t="s">
        <v>137</v>
      </c>
      <c r="P389" s="17">
        <f>M389*0.01</f>
        <v>0.56700000000000006</v>
      </c>
      <c r="Q389" s="18"/>
      <c r="R389" s="17">
        <f t="shared" si="644"/>
        <v>57.267000000000003</v>
      </c>
      <c r="S389" s="19"/>
      <c r="T389" s="19"/>
      <c r="U389" s="19"/>
      <c r="V389" s="19"/>
      <c r="W389" s="17"/>
      <c r="X389" s="20"/>
      <c r="Y389" s="19"/>
      <c r="Z389" s="19"/>
      <c r="AA389" s="19"/>
      <c r="AB389" s="19"/>
      <c r="AC389" s="19"/>
      <c r="AD389" s="19"/>
      <c r="AE389" s="5"/>
      <c r="AF389" s="19"/>
      <c r="AG389" s="5"/>
      <c r="AH389" s="17"/>
      <c r="AI389" s="19"/>
      <c r="AJ389" s="19"/>
      <c r="AK389" s="19"/>
      <c r="AL389" s="19"/>
      <c r="AM389" s="17"/>
      <c r="AN389" s="19"/>
      <c r="AO389" s="19"/>
      <c r="AP389" s="19"/>
      <c r="AQ389" s="19"/>
      <c r="AR389" s="19"/>
      <c r="AS389" s="21"/>
      <c r="AT389" s="5"/>
      <c r="AU389" s="19"/>
      <c r="AV389" s="5"/>
      <c r="AW389" s="22"/>
      <c r="AX389" s="19"/>
      <c r="AY389" s="5"/>
      <c r="AZ389" s="19"/>
      <c r="BA389" s="5"/>
      <c r="BB389" s="5"/>
      <c r="BC389" s="19"/>
      <c r="BD389" s="19"/>
      <c r="BE389" s="19"/>
      <c r="BF389" s="19"/>
      <c r="BG389" s="19"/>
      <c r="BH389" s="19"/>
      <c r="BI389" s="19"/>
      <c r="BJ389" s="19"/>
      <c r="BK389" s="13"/>
      <c r="BL389" s="5"/>
      <c r="BM389" s="5"/>
      <c r="BN389" s="19"/>
      <c r="BO389" s="17"/>
      <c r="BP389" s="19"/>
      <c r="BQ389" s="17"/>
      <c r="BR389" s="19"/>
      <c r="BS389" s="13"/>
      <c r="BT389" s="5"/>
      <c r="BU389" s="23"/>
      <c r="BV389" s="23"/>
      <c r="BW389" s="24"/>
      <c r="BX389" s="5"/>
      <c r="BY389" s="5"/>
      <c r="BZ389" s="5"/>
      <c r="CA389" s="24"/>
      <c r="CB389" s="24"/>
      <c r="CC389" s="24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>
        <f t="shared" si="574"/>
        <v>56.7</v>
      </c>
      <c r="CV389" s="25">
        <f t="shared" si="575"/>
        <v>0</v>
      </c>
    </row>
    <row r="390" spans="1:100" x14ac:dyDescent="0.2">
      <c r="A390" s="2"/>
      <c r="B390" s="3"/>
      <c r="C390" s="4"/>
      <c r="D390" s="5"/>
      <c r="E390" s="6"/>
      <c r="F390" s="7"/>
      <c r="G390" s="8"/>
      <c r="H390" s="9"/>
      <c r="I390" s="10"/>
      <c r="J390" s="11" t="s">
        <v>662</v>
      </c>
      <c r="K390" s="12">
        <v>0.59499999999999997</v>
      </c>
      <c r="L390" s="13">
        <v>90</v>
      </c>
      <c r="M390" s="14">
        <f t="shared" si="643"/>
        <v>53.55</v>
      </c>
      <c r="N390" s="15"/>
      <c r="O390" s="16" t="s">
        <v>137</v>
      </c>
      <c r="P390" s="17">
        <f>M390*0.01</f>
        <v>0.53549999999999998</v>
      </c>
      <c r="Q390" s="18"/>
      <c r="R390" s="17">
        <f t="shared" si="644"/>
        <v>54.085499999999996</v>
      </c>
      <c r="S390" s="19"/>
      <c r="T390" s="19"/>
      <c r="U390" s="19"/>
      <c r="V390" s="19"/>
      <c r="W390" s="17"/>
      <c r="X390" s="20"/>
      <c r="Y390" s="19"/>
      <c r="Z390" s="19"/>
      <c r="AA390" s="19"/>
      <c r="AB390" s="19"/>
      <c r="AC390" s="19"/>
      <c r="AD390" s="19"/>
      <c r="AE390" s="5"/>
      <c r="AF390" s="19"/>
      <c r="AG390" s="5"/>
      <c r="AH390" s="17"/>
      <c r="AI390" s="19"/>
      <c r="AJ390" s="19"/>
      <c r="AK390" s="19"/>
      <c r="AL390" s="19"/>
      <c r="AM390" s="17"/>
      <c r="AN390" s="19"/>
      <c r="AO390" s="19"/>
      <c r="AP390" s="19"/>
      <c r="AQ390" s="19"/>
      <c r="AR390" s="19"/>
      <c r="AS390" s="21"/>
      <c r="AT390" s="5"/>
      <c r="AU390" s="19"/>
      <c r="AV390" s="5"/>
      <c r="AW390" s="22"/>
      <c r="AX390" s="19"/>
      <c r="AY390" s="5"/>
      <c r="AZ390" s="19"/>
      <c r="BA390" s="5"/>
      <c r="BB390" s="5"/>
      <c r="BC390" s="19"/>
      <c r="BD390" s="19"/>
      <c r="BE390" s="19"/>
      <c r="BF390" s="19"/>
      <c r="BG390" s="19"/>
      <c r="BH390" s="19"/>
      <c r="BI390" s="19"/>
      <c r="BJ390" s="19"/>
      <c r="BK390" s="13"/>
      <c r="BL390" s="5"/>
      <c r="BM390" s="5"/>
      <c r="BN390" s="19"/>
      <c r="BO390" s="17"/>
      <c r="BP390" s="19"/>
      <c r="BQ390" s="17"/>
      <c r="BR390" s="19"/>
      <c r="BS390" s="13"/>
      <c r="BT390" s="5"/>
      <c r="BU390" s="23"/>
      <c r="BV390" s="23"/>
      <c r="BW390" s="24"/>
      <c r="BX390" s="5"/>
      <c r="BY390" s="5"/>
      <c r="BZ390" s="5"/>
      <c r="CA390" s="24"/>
      <c r="CB390" s="24"/>
      <c r="CC390" s="24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>
        <f t="shared" si="574"/>
        <v>53.55</v>
      </c>
      <c r="CV390" s="25">
        <f t="shared" si="575"/>
        <v>0</v>
      </c>
    </row>
    <row r="391" spans="1:100" x14ac:dyDescent="0.2">
      <c r="A391" s="2"/>
      <c r="B391" s="3"/>
      <c r="C391" s="4"/>
      <c r="D391" s="5"/>
      <c r="E391" s="6"/>
      <c r="F391" s="7"/>
      <c r="G391" s="8"/>
      <c r="H391" s="9"/>
      <c r="I391" s="10"/>
      <c r="J391" s="11" t="s">
        <v>662</v>
      </c>
      <c r="K391" s="12">
        <v>0.5</v>
      </c>
      <c r="L391" s="13">
        <v>90</v>
      </c>
      <c r="M391" s="14">
        <f t="shared" si="643"/>
        <v>45</v>
      </c>
      <c r="N391" s="15"/>
      <c r="O391" s="16" t="s">
        <v>137</v>
      </c>
      <c r="P391" s="17">
        <f>M391*0.01</f>
        <v>0.45</v>
      </c>
      <c r="Q391" s="18"/>
      <c r="R391" s="17">
        <f t="shared" si="644"/>
        <v>45.45</v>
      </c>
      <c r="S391" s="19"/>
      <c r="T391" s="19"/>
      <c r="U391" s="19"/>
      <c r="V391" s="19"/>
      <c r="W391" s="17"/>
      <c r="X391" s="20"/>
      <c r="Y391" s="19"/>
      <c r="Z391" s="19"/>
      <c r="AA391" s="19"/>
      <c r="AB391" s="19"/>
      <c r="AC391" s="19"/>
      <c r="AD391" s="19"/>
      <c r="AE391" s="5"/>
      <c r="AF391" s="19"/>
      <c r="AG391" s="5"/>
      <c r="AH391" s="17"/>
      <c r="AI391" s="19"/>
      <c r="AJ391" s="19"/>
      <c r="AK391" s="19"/>
      <c r="AL391" s="19"/>
      <c r="AM391" s="17"/>
      <c r="AN391" s="19"/>
      <c r="AO391" s="19"/>
      <c r="AP391" s="19"/>
      <c r="AQ391" s="19"/>
      <c r="AR391" s="19"/>
      <c r="AS391" s="21"/>
      <c r="AT391" s="5"/>
      <c r="AU391" s="19"/>
      <c r="AV391" s="5"/>
      <c r="AW391" s="22"/>
      <c r="AX391" s="19"/>
      <c r="AY391" s="5"/>
      <c r="AZ391" s="19"/>
      <c r="BA391" s="5"/>
      <c r="BB391" s="5"/>
      <c r="BC391" s="19"/>
      <c r="BD391" s="19"/>
      <c r="BE391" s="19"/>
      <c r="BF391" s="19"/>
      <c r="BG391" s="19"/>
      <c r="BH391" s="19"/>
      <c r="BI391" s="19"/>
      <c r="BJ391" s="19"/>
      <c r="BK391" s="13"/>
      <c r="BL391" s="5"/>
      <c r="BM391" s="5"/>
      <c r="BN391" s="19"/>
      <c r="BO391" s="17"/>
      <c r="BP391" s="19"/>
      <c r="BQ391" s="17"/>
      <c r="BR391" s="19"/>
      <c r="BS391" s="13"/>
      <c r="BT391" s="5"/>
      <c r="BU391" s="23"/>
      <c r="BV391" s="23"/>
      <c r="BW391" s="24"/>
      <c r="BX391" s="5"/>
      <c r="BY391" s="5"/>
      <c r="BZ391" s="5"/>
      <c r="CA391" s="24"/>
      <c r="CB391" s="24"/>
      <c r="CC391" s="24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>
        <f t="shared" si="574"/>
        <v>45</v>
      </c>
      <c r="CV391" s="25">
        <f t="shared" si="575"/>
        <v>0</v>
      </c>
    </row>
    <row r="392" spans="1:100" x14ac:dyDescent="0.2">
      <c r="A392" s="2"/>
      <c r="B392" s="3"/>
      <c r="C392" s="4"/>
      <c r="D392" s="5"/>
      <c r="E392" s="6"/>
      <c r="F392" s="7"/>
      <c r="G392" s="8"/>
      <c r="H392" s="9"/>
      <c r="I392" s="10"/>
      <c r="J392" s="11" t="s">
        <v>662</v>
      </c>
      <c r="K392" s="12">
        <v>0.57499999999999996</v>
      </c>
      <c r="L392" s="13">
        <v>90</v>
      </c>
      <c r="M392" s="14">
        <f t="shared" si="643"/>
        <v>51.749999999999993</v>
      </c>
      <c r="N392" s="15"/>
      <c r="O392" s="16" t="s">
        <v>137</v>
      </c>
      <c r="P392" s="17">
        <f t="shared" si="645"/>
        <v>0.46205357142857134</v>
      </c>
      <c r="Q392" s="18"/>
      <c r="R392" s="17">
        <f t="shared" si="644"/>
        <v>52.212053571428562</v>
      </c>
      <c r="S392" s="19"/>
      <c r="T392" s="19"/>
      <c r="U392" s="19"/>
      <c r="V392" s="19"/>
      <c r="W392" s="17"/>
      <c r="X392" s="20"/>
      <c r="Y392" s="19"/>
      <c r="Z392" s="19"/>
      <c r="AA392" s="19"/>
      <c r="AB392" s="19"/>
      <c r="AC392" s="19"/>
      <c r="AD392" s="19"/>
      <c r="AE392" s="5"/>
      <c r="AF392" s="19"/>
      <c r="AG392" s="5"/>
      <c r="AH392" s="17"/>
      <c r="AI392" s="19"/>
      <c r="AJ392" s="19"/>
      <c r="AK392" s="19"/>
      <c r="AL392" s="19"/>
      <c r="AM392" s="17"/>
      <c r="AN392" s="19"/>
      <c r="AO392" s="19"/>
      <c r="AP392" s="19"/>
      <c r="AQ392" s="19"/>
      <c r="AR392" s="19"/>
      <c r="AS392" s="21"/>
      <c r="AT392" s="5"/>
      <c r="AU392" s="19"/>
      <c r="AV392" s="5"/>
      <c r="AW392" s="22"/>
      <c r="AX392" s="19"/>
      <c r="AY392" s="5"/>
      <c r="AZ392" s="19"/>
      <c r="BA392" s="5"/>
      <c r="BB392" s="5"/>
      <c r="BC392" s="19"/>
      <c r="BD392" s="19"/>
      <c r="BE392" s="19"/>
      <c r="BF392" s="19"/>
      <c r="BG392" s="19"/>
      <c r="BH392" s="19"/>
      <c r="BI392" s="19"/>
      <c r="BJ392" s="19"/>
      <c r="BK392" s="13"/>
      <c r="BL392" s="5"/>
      <c r="BM392" s="5"/>
      <c r="BN392" s="19"/>
      <c r="BO392" s="17"/>
      <c r="BP392" s="19"/>
      <c r="BQ392" s="17"/>
      <c r="BR392" s="19"/>
      <c r="BS392" s="13"/>
      <c r="BT392" s="5"/>
      <c r="BU392" s="23"/>
      <c r="BV392" s="23"/>
      <c r="BW392" s="24"/>
      <c r="BX392" s="5"/>
      <c r="BY392" s="5"/>
      <c r="BZ392" s="5"/>
      <c r="CA392" s="24"/>
      <c r="CB392" s="24"/>
      <c r="CC392" s="24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>
        <f t="shared" si="574"/>
        <v>51.749999999999993</v>
      </c>
      <c r="CV392" s="25">
        <f t="shared" si="575"/>
        <v>0</v>
      </c>
    </row>
    <row r="393" spans="1:100" x14ac:dyDescent="0.2">
      <c r="A393" s="2"/>
      <c r="B393" s="3"/>
      <c r="C393" s="4"/>
      <c r="D393" s="5"/>
      <c r="E393" s="6"/>
      <c r="F393" s="7"/>
      <c r="G393" s="8"/>
      <c r="H393" s="9"/>
      <c r="I393" s="10"/>
      <c r="J393" s="11" t="s">
        <v>662</v>
      </c>
      <c r="K393" s="12">
        <v>0.59499999999999997</v>
      </c>
      <c r="L393" s="13">
        <v>90</v>
      </c>
      <c r="M393" s="14">
        <f t="shared" si="643"/>
        <v>53.55</v>
      </c>
      <c r="N393" s="15"/>
      <c r="O393" s="16" t="s">
        <v>137</v>
      </c>
      <c r="P393" s="17">
        <f t="shared" ref="P393:P398" si="647">M393*0.01</f>
        <v>0.53549999999999998</v>
      </c>
      <c r="Q393" s="18"/>
      <c r="R393" s="17">
        <f t="shared" si="644"/>
        <v>54.085499999999996</v>
      </c>
      <c r="S393" s="19"/>
      <c r="T393" s="19"/>
      <c r="U393" s="19"/>
      <c r="V393" s="19"/>
      <c r="W393" s="17"/>
      <c r="X393" s="20"/>
      <c r="Y393" s="19"/>
      <c r="Z393" s="19"/>
      <c r="AA393" s="19"/>
      <c r="AB393" s="19"/>
      <c r="AC393" s="19"/>
      <c r="AD393" s="19"/>
      <c r="AE393" s="5"/>
      <c r="AF393" s="19"/>
      <c r="AG393" s="5"/>
      <c r="AH393" s="17"/>
      <c r="AI393" s="19"/>
      <c r="AJ393" s="19"/>
      <c r="AK393" s="19"/>
      <c r="AL393" s="19"/>
      <c r="AM393" s="17"/>
      <c r="AN393" s="19"/>
      <c r="AO393" s="19"/>
      <c r="AP393" s="19"/>
      <c r="AQ393" s="19"/>
      <c r="AR393" s="19"/>
      <c r="AS393" s="21"/>
      <c r="AT393" s="5"/>
      <c r="AU393" s="19"/>
      <c r="AV393" s="5"/>
      <c r="AW393" s="22"/>
      <c r="AX393" s="19"/>
      <c r="AY393" s="5"/>
      <c r="AZ393" s="19"/>
      <c r="BA393" s="5"/>
      <c r="BB393" s="5"/>
      <c r="BC393" s="19"/>
      <c r="BD393" s="19"/>
      <c r="BE393" s="19"/>
      <c r="BF393" s="19"/>
      <c r="BG393" s="19"/>
      <c r="BH393" s="19"/>
      <c r="BI393" s="19"/>
      <c r="BJ393" s="19"/>
      <c r="BK393" s="13"/>
      <c r="BL393" s="5"/>
      <c r="BM393" s="5"/>
      <c r="BN393" s="19"/>
      <c r="BO393" s="17"/>
      <c r="BP393" s="19"/>
      <c r="BQ393" s="17"/>
      <c r="BR393" s="19"/>
      <c r="BS393" s="13"/>
      <c r="BT393" s="5"/>
      <c r="BU393" s="23"/>
      <c r="BV393" s="23"/>
      <c r="BW393" s="24"/>
      <c r="BX393" s="5"/>
      <c r="BY393" s="5"/>
      <c r="BZ393" s="5"/>
      <c r="CA393" s="24"/>
      <c r="CB393" s="24"/>
      <c r="CC393" s="24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>
        <f t="shared" si="574"/>
        <v>53.55</v>
      </c>
      <c r="CV393" s="25">
        <f t="shared" si="575"/>
        <v>0</v>
      </c>
    </row>
    <row r="394" spans="1:100" x14ac:dyDescent="0.2">
      <c r="A394" s="2"/>
      <c r="B394" s="3"/>
      <c r="C394" s="4"/>
      <c r="D394" s="5"/>
      <c r="E394" s="6"/>
      <c r="F394" s="7"/>
      <c r="G394" s="8"/>
      <c r="H394" s="9"/>
      <c r="I394" s="10"/>
      <c r="J394" s="11" t="s">
        <v>662</v>
      </c>
      <c r="K394" s="12">
        <v>0.58499999999999996</v>
      </c>
      <c r="L394" s="13">
        <v>90</v>
      </c>
      <c r="M394" s="14">
        <f t="shared" si="643"/>
        <v>52.65</v>
      </c>
      <c r="N394" s="15"/>
      <c r="O394" s="16" t="s">
        <v>137</v>
      </c>
      <c r="P394" s="17">
        <f t="shared" si="647"/>
        <v>0.52649999999999997</v>
      </c>
      <c r="Q394" s="18"/>
      <c r="R394" s="17">
        <f t="shared" si="644"/>
        <v>53.176499999999997</v>
      </c>
      <c r="S394" s="19"/>
      <c r="T394" s="19"/>
      <c r="U394" s="19"/>
      <c r="V394" s="19"/>
      <c r="W394" s="17"/>
      <c r="X394" s="20"/>
      <c r="Y394" s="19"/>
      <c r="Z394" s="19"/>
      <c r="AA394" s="19"/>
      <c r="AB394" s="19"/>
      <c r="AC394" s="19"/>
      <c r="AD394" s="19"/>
      <c r="AE394" s="5"/>
      <c r="AF394" s="19"/>
      <c r="AG394" s="5"/>
      <c r="AH394" s="17"/>
      <c r="AI394" s="19"/>
      <c r="AJ394" s="19"/>
      <c r="AK394" s="19"/>
      <c r="AL394" s="19"/>
      <c r="AM394" s="17"/>
      <c r="AN394" s="19"/>
      <c r="AO394" s="19"/>
      <c r="AP394" s="19"/>
      <c r="AQ394" s="19"/>
      <c r="AR394" s="19"/>
      <c r="AS394" s="21"/>
      <c r="AT394" s="5"/>
      <c r="AU394" s="19"/>
      <c r="AV394" s="5"/>
      <c r="AW394" s="22"/>
      <c r="AX394" s="19"/>
      <c r="AY394" s="5"/>
      <c r="AZ394" s="19"/>
      <c r="BA394" s="5"/>
      <c r="BB394" s="5"/>
      <c r="BC394" s="19"/>
      <c r="BD394" s="19"/>
      <c r="BE394" s="19"/>
      <c r="BF394" s="19"/>
      <c r="BG394" s="19"/>
      <c r="BH394" s="19"/>
      <c r="BI394" s="19"/>
      <c r="BJ394" s="19"/>
      <c r="BK394" s="13"/>
      <c r="BL394" s="5"/>
      <c r="BM394" s="5"/>
      <c r="BN394" s="19"/>
      <c r="BO394" s="17"/>
      <c r="BP394" s="19"/>
      <c r="BQ394" s="17"/>
      <c r="BR394" s="19"/>
      <c r="BS394" s="13"/>
      <c r="BT394" s="5"/>
      <c r="BU394" s="23"/>
      <c r="BV394" s="23"/>
      <c r="BW394" s="24"/>
      <c r="BX394" s="5"/>
      <c r="BY394" s="5"/>
      <c r="BZ394" s="5"/>
      <c r="CA394" s="24"/>
      <c r="CB394" s="24"/>
      <c r="CC394" s="24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>
        <f t="shared" si="574"/>
        <v>52.65</v>
      </c>
      <c r="CV394" s="25">
        <f t="shared" si="575"/>
        <v>0</v>
      </c>
    </row>
    <row r="395" spans="1:100" x14ac:dyDescent="0.2">
      <c r="A395" s="2"/>
      <c r="B395" s="3"/>
      <c r="C395" s="4"/>
      <c r="D395" s="5"/>
      <c r="E395" s="6"/>
      <c r="F395" s="7"/>
      <c r="G395" s="8"/>
      <c r="H395" s="9"/>
      <c r="I395" s="10"/>
      <c r="J395" s="11" t="s">
        <v>663</v>
      </c>
      <c r="K395" s="12">
        <v>3.15</v>
      </c>
      <c r="L395" s="13">
        <v>159</v>
      </c>
      <c r="M395" s="14">
        <f t="shared" si="643"/>
        <v>500.84999999999997</v>
      </c>
      <c r="N395" s="15"/>
      <c r="O395" s="16" t="s">
        <v>137</v>
      </c>
      <c r="P395" s="17">
        <f t="shared" si="647"/>
        <v>5.0084999999999997</v>
      </c>
      <c r="Q395" s="18"/>
      <c r="R395" s="17">
        <f t="shared" si="644"/>
        <v>505.85849999999999</v>
      </c>
      <c r="S395" s="19"/>
      <c r="T395" s="19"/>
      <c r="U395" s="19"/>
      <c r="V395" s="19"/>
      <c r="W395" s="17"/>
      <c r="X395" s="20"/>
      <c r="Y395" s="19"/>
      <c r="Z395" s="19"/>
      <c r="AA395" s="19"/>
      <c r="AB395" s="19"/>
      <c r="AC395" s="19"/>
      <c r="AD395" s="19"/>
      <c r="AE395" s="5"/>
      <c r="AF395" s="19"/>
      <c r="AG395" s="5"/>
      <c r="AH395" s="17"/>
      <c r="AI395" s="19"/>
      <c r="AJ395" s="19"/>
      <c r="AK395" s="19"/>
      <c r="AL395" s="19"/>
      <c r="AM395" s="17"/>
      <c r="AN395" s="19"/>
      <c r="AO395" s="19"/>
      <c r="AP395" s="19"/>
      <c r="AQ395" s="19"/>
      <c r="AR395" s="19"/>
      <c r="AS395" s="21"/>
      <c r="AT395" s="5"/>
      <c r="AU395" s="19"/>
      <c r="AV395" s="5"/>
      <c r="AW395" s="22"/>
      <c r="AX395" s="19"/>
      <c r="AY395" s="5"/>
      <c r="AZ395" s="19"/>
      <c r="BA395" s="5"/>
      <c r="BB395" s="5"/>
      <c r="BC395" s="19"/>
      <c r="BD395" s="19"/>
      <c r="BE395" s="19"/>
      <c r="BF395" s="19"/>
      <c r="BG395" s="19"/>
      <c r="BH395" s="19"/>
      <c r="BI395" s="19"/>
      <c r="BJ395" s="19"/>
      <c r="BK395" s="13"/>
      <c r="BL395" s="5"/>
      <c r="BM395" s="5"/>
      <c r="BN395" s="19"/>
      <c r="BO395" s="17"/>
      <c r="BP395" s="19"/>
      <c r="BQ395" s="17"/>
      <c r="BR395" s="19"/>
      <c r="BS395" s="13"/>
      <c r="BT395" s="5"/>
      <c r="BU395" s="23"/>
      <c r="BV395" s="23"/>
      <c r="BW395" s="24"/>
      <c r="BX395" s="5"/>
      <c r="BY395" s="5"/>
      <c r="BZ395" s="5"/>
      <c r="CA395" s="24"/>
      <c r="CB395" s="24"/>
      <c r="CC395" s="24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>
        <f t="shared" si="574"/>
        <v>500.84999999999997</v>
      </c>
      <c r="CV395" s="25">
        <f t="shared" si="575"/>
        <v>0</v>
      </c>
    </row>
    <row r="396" spans="1:100" x14ac:dyDescent="0.2">
      <c r="A396" s="2"/>
      <c r="B396" s="3"/>
      <c r="C396" s="4"/>
      <c r="D396" s="5"/>
      <c r="E396" s="6"/>
      <c r="F396" s="7"/>
      <c r="G396" s="8"/>
      <c r="H396" s="9"/>
      <c r="I396" s="10"/>
      <c r="J396" s="11" t="s">
        <v>663</v>
      </c>
      <c r="K396" s="12">
        <v>2.71</v>
      </c>
      <c r="L396" s="13">
        <v>159</v>
      </c>
      <c r="M396" s="14">
        <f t="shared" si="643"/>
        <v>430.89</v>
      </c>
      <c r="N396" s="15"/>
      <c r="O396" s="16" t="s">
        <v>137</v>
      </c>
      <c r="P396" s="17">
        <f t="shared" si="647"/>
        <v>4.3089000000000004</v>
      </c>
      <c r="Q396" s="18"/>
      <c r="R396" s="17">
        <f t="shared" si="644"/>
        <v>435.19889999999998</v>
      </c>
      <c r="S396" s="19"/>
      <c r="T396" s="19"/>
      <c r="U396" s="19"/>
      <c r="V396" s="19"/>
      <c r="W396" s="17"/>
      <c r="X396" s="20"/>
      <c r="Y396" s="19"/>
      <c r="Z396" s="19"/>
      <c r="AA396" s="19"/>
      <c r="AB396" s="19"/>
      <c r="AC396" s="19"/>
      <c r="AD396" s="19"/>
      <c r="AE396" s="5"/>
      <c r="AF396" s="19"/>
      <c r="AG396" s="5"/>
      <c r="AH396" s="17"/>
      <c r="AI396" s="19"/>
      <c r="AJ396" s="19"/>
      <c r="AK396" s="19"/>
      <c r="AL396" s="19"/>
      <c r="AM396" s="17"/>
      <c r="AN396" s="19"/>
      <c r="AO396" s="19"/>
      <c r="AP396" s="19"/>
      <c r="AQ396" s="19"/>
      <c r="AR396" s="19"/>
      <c r="AS396" s="21"/>
      <c r="AT396" s="5"/>
      <c r="AU396" s="19"/>
      <c r="AV396" s="5"/>
      <c r="AW396" s="22"/>
      <c r="AX396" s="19"/>
      <c r="AY396" s="5"/>
      <c r="AZ396" s="19"/>
      <c r="BA396" s="5"/>
      <c r="BB396" s="5"/>
      <c r="BC396" s="19"/>
      <c r="BD396" s="19"/>
      <c r="BE396" s="19"/>
      <c r="BF396" s="19"/>
      <c r="BG396" s="19"/>
      <c r="BH396" s="19"/>
      <c r="BI396" s="19"/>
      <c r="BJ396" s="19"/>
      <c r="BK396" s="13"/>
      <c r="BL396" s="5"/>
      <c r="BM396" s="5"/>
      <c r="BN396" s="19"/>
      <c r="BO396" s="17"/>
      <c r="BP396" s="19"/>
      <c r="BQ396" s="17"/>
      <c r="BR396" s="19"/>
      <c r="BS396" s="13"/>
      <c r="BT396" s="5"/>
      <c r="BU396" s="23"/>
      <c r="BV396" s="23"/>
      <c r="BW396" s="24"/>
      <c r="BX396" s="5"/>
      <c r="BY396" s="5"/>
      <c r="BZ396" s="5"/>
      <c r="CA396" s="24"/>
      <c r="CB396" s="24"/>
      <c r="CC396" s="24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>
        <f t="shared" si="574"/>
        <v>430.89</v>
      </c>
      <c r="CV396" s="25">
        <f t="shared" si="575"/>
        <v>0</v>
      </c>
    </row>
    <row r="397" spans="1:100" x14ac:dyDescent="0.2">
      <c r="A397" s="2"/>
      <c r="B397" s="3"/>
      <c r="C397" s="4"/>
      <c r="D397" s="5"/>
      <c r="E397" s="6"/>
      <c r="F397" s="7"/>
      <c r="G397" s="8"/>
      <c r="H397" s="9"/>
      <c r="I397" s="10"/>
      <c r="J397" s="11" t="s">
        <v>664</v>
      </c>
      <c r="K397" s="12">
        <v>0.32</v>
      </c>
      <c r="L397" s="13">
        <v>245</v>
      </c>
      <c r="M397" s="14">
        <f t="shared" si="643"/>
        <v>78.400000000000006</v>
      </c>
      <c r="N397" s="15"/>
      <c r="O397" s="16" t="s">
        <v>137</v>
      </c>
      <c r="P397" s="17">
        <f t="shared" si="647"/>
        <v>0.78400000000000003</v>
      </c>
      <c r="Q397" s="18"/>
      <c r="R397" s="17">
        <f t="shared" si="644"/>
        <v>79.184000000000012</v>
      </c>
      <c r="S397" s="19"/>
      <c r="T397" s="19"/>
      <c r="U397" s="19"/>
      <c r="V397" s="19"/>
      <c r="W397" s="17"/>
      <c r="X397" s="20"/>
      <c r="Y397" s="19"/>
      <c r="Z397" s="19"/>
      <c r="AA397" s="19"/>
      <c r="AB397" s="19"/>
      <c r="AC397" s="19"/>
      <c r="AD397" s="19"/>
      <c r="AE397" s="5"/>
      <c r="AF397" s="19"/>
      <c r="AG397" s="5"/>
      <c r="AH397" s="17"/>
      <c r="AI397" s="19"/>
      <c r="AJ397" s="19"/>
      <c r="AK397" s="19"/>
      <c r="AL397" s="19"/>
      <c r="AM397" s="17"/>
      <c r="AN397" s="19"/>
      <c r="AO397" s="19"/>
      <c r="AP397" s="19"/>
      <c r="AQ397" s="19"/>
      <c r="AR397" s="19"/>
      <c r="AS397" s="21"/>
      <c r="AT397" s="5"/>
      <c r="AU397" s="19"/>
      <c r="AV397" s="5"/>
      <c r="AW397" s="22"/>
      <c r="AX397" s="19"/>
      <c r="AY397" s="5"/>
      <c r="AZ397" s="19"/>
      <c r="BA397" s="5"/>
      <c r="BB397" s="5"/>
      <c r="BC397" s="19"/>
      <c r="BD397" s="19"/>
      <c r="BE397" s="19"/>
      <c r="BF397" s="19"/>
      <c r="BG397" s="19"/>
      <c r="BH397" s="19"/>
      <c r="BI397" s="19"/>
      <c r="BJ397" s="19"/>
      <c r="BK397" s="13"/>
      <c r="BL397" s="5"/>
      <c r="BM397" s="5"/>
      <c r="BN397" s="19"/>
      <c r="BO397" s="17"/>
      <c r="BP397" s="19"/>
      <c r="BQ397" s="17"/>
      <c r="BR397" s="19"/>
      <c r="BS397" s="13"/>
      <c r="BT397" s="5"/>
      <c r="BU397" s="23"/>
      <c r="BV397" s="23"/>
      <c r="BW397" s="24"/>
      <c r="BX397" s="5"/>
      <c r="BY397" s="5"/>
      <c r="BZ397" s="5"/>
      <c r="CA397" s="24"/>
      <c r="CB397" s="24"/>
      <c r="CC397" s="24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>
        <f t="shared" si="574"/>
        <v>78.400000000000006</v>
      </c>
      <c r="CV397" s="25">
        <f t="shared" si="575"/>
        <v>0</v>
      </c>
    </row>
    <row r="398" spans="1:100" x14ac:dyDescent="0.2">
      <c r="A398" s="2"/>
      <c r="B398" s="3"/>
      <c r="C398" s="4"/>
      <c r="D398" s="5"/>
      <c r="E398" s="6"/>
      <c r="F398" s="7"/>
      <c r="G398" s="8"/>
      <c r="H398" s="9"/>
      <c r="I398" s="10"/>
      <c r="J398" s="11" t="s">
        <v>664</v>
      </c>
      <c r="K398" s="12">
        <v>0.33500000000000002</v>
      </c>
      <c r="L398" s="13">
        <v>245</v>
      </c>
      <c r="M398" s="14">
        <f t="shared" si="643"/>
        <v>82.075000000000003</v>
      </c>
      <c r="N398" s="15"/>
      <c r="O398" s="16" t="s">
        <v>137</v>
      </c>
      <c r="P398" s="17">
        <f t="shared" si="647"/>
        <v>0.82075000000000009</v>
      </c>
      <c r="Q398" s="18"/>
      <c r="R398" s="17">
        <f t="shared" si="644"/>
        <v>82.895750000000007</v>
      </c>
      <c r="S398" s="19"/>
      <c r="T398" s="19"/>
      <c r="U398" s="19"/>
      <c r="V398" s="19"/>
      <c r="W398" s="17"/>
      <c r="X398" s="20"/>
      <c r="Y398" s="19"/>
      <c r="Z398" s="19"/>
      <c r="AA398" s="19"/>
      <c r="AB398" s="19"/>
      <c r="AC398" s="19"/>
      <c r="AD398" s="19"/>
      <c r="AE398" s="5"/>
      <c r="AF398" s="19"/>
      <c r="AG398" s="5"/>
      <c r="AH398" s="17"/>
      <c r="AI398" s="19"/>
      <c r="AJ398" s="19"/>
      <c r="AK398" s="19"/>
      <c r="AL398" s="19"/>
      <c r="AM398" s="17"/>
      <c r="AN398" s="19"/>
      <c r="AO398" s="19"/>
      <c r="AP398" s="19"/>
      <c r="AQ398" s="19"/>
      <c r="AR398" s="19"/>
      <c r="AS398" s="21"/>
      <c r="AT398" s="5"/>
      <c r="AU398" s="19"/>
      <c r="AV398" s="5"/>
      <c r="AW398" s="22"/>
      <c r="AX398" s="19"/>
      <c r="AY398" s="5"/>
      <c r="AZ398" s="19"/>
      <c r="BA398" s="5"/>
      <c r="BB398" s="5"/>
      <c r="BC398" s="19"/>
      <c r="BD398" s="19"/>
      <c r="BE398" s="19"/>
      <c r="BF398" s="19"/>
      <c r="BG398" s="19"/>
      <c r="BH398" s="19"/>
      <c r="BI398" s="19"/>
      <c r="BJ398" s="19"/>
      <c r="BK398" s="13"/>
      <c r="BL398" s="5"/>
      <c r="BM398" s="5"/>
      <c r="BN398" s="19"/>
      <c r="BO398" s="17"/>
      <c r="BP398" s="19"/>
      <c r="BQ398" s="17"/>
      <c r="BR398" s="19"/>
      <c r="BS398" s="13"/>
      <c r="BT398" s="5"/>
      <c r="BU398" s="23"/>
      <c r="BV398" s="23"/>
      <c r="BW398" s="24"/>
      <c r="BX398" s="5"/>
      <c r="BY398" s="5"/>
      <c r="BZ398" s="5"/>
      <c r="CA398" s="24"/>
      <c r="CB398" s="24"/>
      <c r="CC398" s="24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>
        <f t="shared" si="574"/>
        <v>82.075000000000003</v>
      </c>
      <c r="CV398" s="25">
        <f t="shared" si="575"/>
        <v>0</v>
      </c>
    </row>
    <row r="399" spans="1:100" x14ac:dyDescent="0.2">
      <c r="A399" s="2"/>
      <c r="B399" s="3"/>
      <c r="C399" s="4"/>
      <c r="D399" s="5"/>
      <c r="E399" s="6"/>
      <c r="F399" s="7"/>
      <c r="G399" s="8"/>
      <c r="H399" s="9"/>
      <c r="I399" s="10"/>
      <c r="J399" s="11" t="s">
        <v>665</v>
      </c>
      <c r="K399" s="12">
        <v>10</v>
      </c>
      <c r="L399" s="13">
        <v>52</v>
      </c>
      <c r="M399" s="14">
        <f t="shared" si="643"/>
        <v>520</v>
      </c>
      <c r="N399" s="15"/>
      <c r="O399" s="16" t="s">
        <v>111</v>
      </c>
      <c r="P399" s="17">
        <f t="shared" si="645"/>
        <v>4.6428571428571423</v>
      </c>
      <c r="Q399" s="18">
        <f t="shared" si="646"/>
        <v>55.714285714285701</v>
      </c>
      <c r="R399" s="17">
        <f t="shared" si="644"/>
        <v>468.92857142857139</v>
      </c>
      <c r="S399" s="19"/>
      <c r="T399" s="19"/>
      <c r="U399" s="19"/>
      <c r="V399" s="19"/>
      <c r="W399" s="17"/>
      <c r="X399" s="20"/>
      <c r="Y399" s="19"/>
      <c r="Z399" s="19"/>
      <c r="AA399" s="19"/>
      <c r="AB399" s="19"/>
      <c r="AC399" s="19"/>
      <c r="AD399" s="19"/>
      <c r="AE399" s="5"/>
      <c r="AF399" s="19"/>
      <c r="AG399" s="5"/>
      <c r="AH399" s="17"/>
      <c r="AI399" s="19"/>
      <c r="AJ399" s="19"/>
      <c r="AK399" s="19"/>
      <c r="AL399" s="19"/>
      <c r="AM399" s="17"/>
      <c r="AN399" s="19"/>
      <c r="AO399" s="19"/>
      <c r="AP399" s="19"/>
      <c r="AQ399" s="19"/>
      <c r="AR399" s="19"/>
      <c r="AS399" s="21"/>
      <c r="AT399" s="5"/>
      <c r="AU399" s="19"/>
      <c r="AV399" s="5"/>
      <c r="AW399" s="22"/>
      <c r="AX399" s="19"/>
      <c r="AY399" s="5"/>
      <c r="AZ399" s="19"/>
      <c r="BA399" s="5"/>
      <c r="BB399" s="5"/>
      <c r="BC399" s="19"/>
      <c r="BD399" s="19"/>
      <c r="BE399" s="19"/>
      <c r="BF399" s="19"/>
      <c r="BG399" s="19"/>
      <c r="BH399" s="19"/>
      <c r="BI399" s="19"/>
      <c r="BJ399" s="19"/>
      <c r="BK399" s="13"/>
      <c r="BL399" s="5"/>
      <c r="BM399" s="5"/>
      <c r="BN399" s="19"/>
      <c r="BO399" s="17"/>
      <c r="BP399" s="19"/>
      <c r="BQ399" s="17"/>
      <c r="BR399" s="19"/>
      <c r="BS399" s="13"/>
      <c r="BT399" s="5"/>
      <c r="BU399" s="23"/>
      <c r="BV399" s="23"/>
      <c r="BW399" s="24"/>
      <c r="BX399" s="5"/>
      <c r="BY399" s="5"/>
      <c r="BZ399" s="5"/>
      <c r="CA399" s="24"/>
      <c r="CB399" s="24"/>
      <c r="CC399" s="24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>
        <f t="shared" si="574"/>
        <v>520</v>
      </c>
      <c r="CV399" s="25">
        <f t="shared" si="575"/>
        <v>0</v>
      </c>
    </row>
    <row r="400" spans="1:100" x14ac:dyDescent="0.2">
      <c r="A400" s="2"/>
      <c r="B400" s="3"/>
      <c r="C400" s="4"/>
      <c r="D400" s="5"/>
      <c r="E400" s="6"/>
      <c r="F400" s="7"/>
      <c r="G400" s="8"/>
      <c r="H400" s="9"/>
      <c r="I400" s="10"/>
      <c r="J400" s="11" t="s">
        <v>666</v>
      </c>
      <c r="K400" s="12">
        <v>4</v>
      </c>
      <c r="L400" s="13">
        <v>71.5</v>
      </c>
      <c r="M400" s="14">
        <f t="shared" si="643"/>
        <v>286</v>
      </c>
      <c r="N400" s="15"/>
      <c r="O400" s="16" t="s">
        <v>111</v>
      </c>
      <c r="P400" s="17">
        <f t="shared" si="645"/>
        <v>2.5535714285714284</v>
      </c>
      <c r="Q400" s="18">
        <f t="shared" si="646"/>
        <v>30.642857142857139</v>
      </c>
      <c r="R400" s="17">
        <f t="shared" si="644"/>
        <v>257.91071428571433</v>
      </c>
      <c r="S400" s="19"/>
      <c r="T400" s="19"/>
      <c r="U400" s="19"/>
      <c r="V400" s="19"/>
      <c r="W400" s="17"/>
      <c r="X400" s="20"/>
      <c r="Y400" s="19"/>
      <c r="Z400" s="19"/>
      <c r="AA400" s="19"/>
      <c r="AB400" s="19"/>
      <c r="AC400" s="19"/>
      <c r="AD400" s="19"/>
      <c r="AE400" s="5"/>
      <c r="AF400" s="19"/>
      <c r="AG400" s="5"/>
      <c r="AH400" s="17"/>
      <c r="AI400" s="19"/>
      <c r="AJ400" s="19"/>
      <c r="AK400" s="19"/>
      <c r="AL400" s="19"/>
      <c r="AM400" s="17"/>
      <c r="AN400" s="19"/>
      <c r="AO400" s="19"/>
      <c r="AP400" s="19"/>
      <c r="AQ400" s="19"/>
      <c r="AR400" s="19"/>
      <c r="AS400" s="21"/>
      <c r="AT400" s="5"/>
      <c r="AU400" s="19"/>
      <c r="AV400" s="5"/>
      <c r="AW400" s="22"/>
      <c r="AX400" s="19"/>
      <c r="AY400" s="5"/>
      <c r="AZ400" s="19"/>
      <c r="BA400" s="5"/>
      <c r="BB400" s="5"/>
      <c r="BC400" s="19"/>
      <c r="BD400" s="19"/>
      <c r="BE400" s="19"/>
      <c r="BF400" s="19"/>
      <c r="BG400" s="19"/>
      <c r="BH400" s="19"/>
      <c r="BI400" s="19"/>
      <c r="BJ400" s="19"/>
      <c r="BK400" s="13"/>
      <c r="BL400" s="5"/>
      <c r="BM400" s="5"/>
      <c r="BN400" s="19"/>
      <c r="BO400" s="17"/>
      <c r="BP400" s="19"/>
      <c r="BQ400" s="17"/>
      <c r="BR400" s="19"/>
      <c r="BS400" s="13"/>
      <c r="BT400" s="5"/>
      <c r="BU400" s="23"/>
      <c r="BV400" s="23"/>
      <c r="BW400" s="24"/>
      <c r="BX400" s="5"/>
      <c r="BY400" s="5"/>
      <c r="BZ400" s="5"/>
      <c r="CA400" s="24"/>
      <c r="CB400" s="24"/>
      <c r="CC400" s="24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>
        <f t="shared" si="574"/>
        <v>286</v>
      </c>
      <c r="CV400" s="25">
        <f t="shared" si="575"/>
        <v>0</v>
      </c>
    </row>
    <row r="401" spans="1:100" x14ac:dyDescent="0.2">
      <c r="A401" s="2"/>
      <c r="B401" s="3"/>
      <c r="C401" s="4"/>
      <c r="D401" s="5"/>
      <c r="E401" s="6"/>
      <c r="F401" s="7"/>
      <c r="G401" s="8"/>
      <c r="H401" s="9"/>
      <c r="I401" s="10"/>
      <c r="J401" s="11" t="s">
        <v>667</v>
      </c>
      <c r="K401" s="12">
        <v>4</v>
      </c>
      <c r="L401" s="13">
        <v>80.5</v>
      </c>
      <c r="M401" s="14">
        <f t="shared" si="643"/>
        <v>322</v>
      </c>
      <c r="N401" s="15"/>
      <c r="O401" s="16" t="s">
        <v>111</v>
      </c>
      <c r="P401" s="17">
        <f t="shared" si="645"/>
        <v>2.875</v>
      </c>
      <c r="Q401" s="18">
        <f t="shared" si="646"/>
        <v>34.5</v>
      </c>
      <c r="R401" s="17">
        <f t="shared" si="644"/>
        <v>290.375</v>
      </c>
      <c r="S401" s="19"/>
      <c r="T401" s="19"/>
      <c r="U401" s="19"/>
      <c r="V401" s="19"/>
      <c r="W401" s="17"/>
      <c r="X401" s="20"/>
      <c r="Y401" s="19"/>
      <c r="Z401" s="19"/>
      <c r="AA401" s="19"/>
      <c r="AB401" s="19"/>
      <c r="AC401" s="19"/>
      <c r="AD401" s="19"/>
      <c r="AE401" s="5"/>
      <c r="AF401" s="19"/>
      <c r="AG401" s="5"/>
      <c r="AH401" s="17"/>
      <c r="AI401" s="19"/>
      <c r="AJ401" s="19"/>
      <c r="AK401" s="19"/>
      <c r="AL401" s="19"/>
      <c r="AM401" s="17"/>
      <c r="AN401" s="19"/>
      <c r="AO401" s="19"/>
      <c r="AP401" s="19"/>
      <c r="AQ401" s="19"/>
      <c r="AR401" s="19"/>
      <c r="AS401" s="21"/>
      <c r="AT401" s="5"/>
      <c r="AU401" s="19"/>
      <c r="AV401" s="5"/>
      <c r="AW401" s="22"/>
      <c r="AX401" s="19"/>
      <c r="AY401" s="5"/>
      <c r="AZ401" s="19"/>
      <c r="BA401" s="5"/>
      <c r="BB401" s="5"/>
      <c r="BC401" s="19"/>
      <c r="BD401" s="19"/>
      <c r="BE401" s="19"/>
      <c r="BF401" s="19"/>
      <c r="BG401" s="19"/>
      <c r="BH401" s="19"/>
      <c r="BI401" s="19"/>
      <c r="BJ401" s="19"/>
      <c r="BK401" s="13"/>
      <c r="BL401" s="5"/>
      <c r="BM401" s="5"/>
      <c r="BN401" s="19"/>
      <c r="BO401" s="17"/>
      <c r="BP401" s="19"/>
      <c r="BQ401" s="17"/>
      <c r="BR401" s="19"/>
      <c r="BS401" s="13"/>
      <c r="BT401" s="5"/>
      <c r="BU401" s="23"/>
      <c r="BV401" s="23"/>
      <c r="BW401" s="24"/>
      <c r="BX401" s="5"/>
      <c r="BY401" s="5"/>
      <c r="BZ401" s="5"/>
      <c r="CA401" s="24"/>
      <c r="CB401" s="24"/>
      <c r="CC401" s="24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>
        <f t="shared" si="574"/>
        <v>322</v>
      </c>
      <c r="CV401" s="25">
        <f t="shared" si="575"/>
        <v>0</v>
      </c>
    </row>
    <row r="402" spans="1:100" x14ac:dyDescent="0.2">
      <c r="A402" s="2"/>
      <c r="B402" s="3"/>
      <c r="C402" s="4"/>
      <c r="D402" s="5"/>
      <c r="E402" s="6"/>
      <c r="F402" s="7"/>
      <c r="G402" s="8"/>
      <c r="H402" s="9"/>
      <c r="I402" s="10"/>
      <c r="J402" s="11" t="s">
        <v>668</v>
      </c>
      <c r="K402" s="12">
        <v>0.995</v>
      </c>
      <c r="L402" s="13">
        <v>60</v>
      </c>
      <c r="M402" s="14">
        <f t="shared" si="643"/>
        <v>59.7</v>
      </c>
      <c r="N402" s="15"/>
      <c r="O402" s="16" t="s">
        <v>137</v>
      </c>
      <c r="P402" s="17">
        <f>M402*0.01</f>
        <v>0.59700000000000009</v>
      </c>
      <c r="Q402" s="18"/>
      <c r="R402" s="17">
        <f t="shared" si="644"/>
        <v>60.297000000000004</v>
      </c>
      <c r="S402" s="19"/>
      <c r="T402" s="19"/>
      <c r="U402" s="19"/>
      <c r="V402" s="19"/>
      <c r="W402" s="17"/>
      <c r="X402" s="20"/>
      <c r="Y402" s="19"/>
      <c r="Z402" s="19"/>
      <c r="AA402" s="19"/>
      <c r="AB402" s="19"/>
      <c r="AC402" s="19"/>
      <c r="AD402" s="19"/>
      <c r="AE402" s="5"/>
      <c r="AF402" s="19"/>
      <c r="AG402" s="5"/>
      <c r="AH402" s="17"/>
      <c r="AI402" s="19"/>
      <c r="AJ402" s="19"/>
      <c r="AK402" s="19"/>
      <c r="AL402" s="19"/>
      <c r="AM402" s="17"/>
      <c r="AN402" s="19"/>
      <c r="AO402" s="19"/>
      <c r="AP402" s="19"/>
      <c r="AQ402" s="19"/>
      <c r="AR402" s="19"/>
      <c r="AS402" s="21"/>
      <c r="AT402" s="5"/>
      <c r="AU402" s="19"/>
      <c r="AV402" s="5"/>
      <c r="AW402" s="22"/>
      <c r="AX402" s="19"/>
      <c r="AY402" s="5"/>
      <c r="AZ402" s="19"/>
      <c r="BA402" s="5"/>
      <c r="BB402" s="5"/>
      <c r="BC402" s="19"/>
      <c r="BD402" s="19"/>
      <c r="BE402" s="19"/>
      <c r="BF402" s="19"/>
      <c r="BG402" s="19"/>
      <c r="BH402" s="19"/>
      <c r="BI402" s="19"/>
      <c r="BJ402" s="19"/>
      <c r="BK402" s="13"/>
      <c r="BL402" s="5"/>
      <c r="BM402" s="5"/>
      <c r="BN402" s="19"/>
      <c r="BO402" s="17"/>
      <c r="BP402" s="19"/>
      <c r="BQ402" s="17"/>
      <c r="BR402" s="19"/>
      <c r="BS402" s="13"/>
      <c r="BT402" s="5"/>
      <c r="BU402" s="23"/>
      <c r="BV402" s="23"/>
      <c r="BW402" s="24"/>
      <c r="BX402" s="5"/>
      <c r="BY402" s="5"/>
      <c r="BZ402" s="5"/>
      <c r="CA402" s="24"/>
      <c r="CB402" s="24"/>
      <c r="CC402" s="24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>
        <f t="shared" si="574"/>
        <v>59.7</v>
      </c>
      <c r="CV402" s="25">
        <f t="shared" si="575"/>
        <v>0</v>
      </c>
    </row>
    <row r="403" spans="1:100" x14ac:dyDescent="0.2">
      <c r="A403" s="2"/>
      <c r="B403" s="3"/>
      <c r="C403" s="4"/>
      <c r="D403" s="5"/>
      <c r="E403" s="6"/>
      <c r="F403" s="7"/>
      <c r="G403" s="8"/>
      <c r="H403" s="9"/>
      <c r="I403" s="10"/>
      <c r="J403" s="11" t="s">
        <v>668</v>
      </c>
      <c r="K403" s="12">
        <v>1.085</v>
      </c>
      <c r="L403" s="13">
        <v>60</v>
      </c>
      <c r="M403" s="14">
        <f t="shared" si="643"/>
        <v>65.099999999999994</v>
      </c>
      <c r="N403" s="15"/>
      <c r="O403" s="16" t="s">
        <v>137</v>
      </c>
      <c r="P403" s="17">
        <f>M403*0.01</f>
        <v>0.65099999999999991</v>
      </c>
      <c r="Q403" s="18"/>
      <c r="R403" s="17">
        <f t="shared" si="644"/>
        <v>65.750999999999991</v>
      </c>
      <c r="S403" s="19"/>
      <c r="T403" s="19"/>
      <c r="U403" s="19"/>
      <c r="V403" s="19"/>
      <c r="W403" s="17"/>
      <c r="X403" s="20"/>
      <c r="Y403" s="19"/>
      <c r="Z403" s="19"/>
      <c r="AA403" s="19"/>
      <c r="AB403" s="19"/>
      <c r="AC403" s="19"/>
      <c r="AD403" s="19"/>
      <c r="AE403" s="5"/>
      <c r="AF403" s="19"/>
      <c r="AG403" s="5"/>
      <c r="AH403" s="17"/>
      <c r="AI403" s="19"/>
      <c r="AJ403" s="19"/>
      <c r="AK403" s="19"/>
      <c r="AL403" s="19"/>
      <c r="AM403" s="17"/>
      <c r="AN403" s="19"/>
      <c r="AO403" s="19"/>
      <c r="AP403" s="19"/>
      <c r="AQ403" s="19"/>
      <c r="AR403" s="19"/>
      <c r="AS403" s="21"/>
      <c r="AT403" s="5"/>
      <c r="AU403" s="19"/>
      <c r="AV403" s="5"/>
      <c r="AW403" s="22"/>
      <c r="AX403" s="19"/>
      <c r="AY403" s="5"/>
      <c r="AZ403" s="19"/>
      <c r="BA403" s="5"/>
      <c r="BB403" s="5"/>
      <c r="BC403" s="19"/>
      <c r="BD403" s="19"/>
      <c r="BE403" s="19"/>
      <c r="BF403" s="19"/>
      <c r="BG403" s="19"/>
      <c r="BH403" s="19"/>
      <c r="BI403" s="19"/>
      <c r="BJ403" s="19"/>
      <c r="BK403" s="13"/>
      <c r="BL403" s="5"/>
      <c r="BM403" s="5"/>
      <c r="BN403" s="19"/>
      <c r="BO403" s="17"/>
      <c r="BP403" s="19"/>
      <c r="BQ403" s="17"/>
      <c r="BR403" s="19"/>
      <c r="BS403" s="13"/>
      <c r="BT403" s="5"/>
      <c r="BU403" s="23"/>
      <c r="BV403" s="23"/>
      <c r="BW403" s="24"/>
      <c r="BX403" s="5"/>
      <c r="BY403" s="5"/>
      <c r="BZ403" s="5"/>
      <c r="CA403" s="24"/>
      <c r="CB403" s="24"/>
      <c r="CC403" s="24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>
        <f t="shared" si="574"/>
        <v>65.099999999999994</v>
      </c>
      <c r="CV403" s="25">
        <f t="shared" si="575"/>
        <v>0</v>
      </c>
    </row>
    <row r="404" spans="1:100" x14ac:dyDescent="0.2">
      <c r="A404" s="2"/>
      <c r="B404" s="3"/>
      <c r="C404" s="4"/>
      <c r="D404" s="5"/>
      <c r="E404" s="6"/>
      <c r="F404" s="7"/>
      <c r="G404" s="8"/>
      <c r="H404" s="9"/>
      <c r="I404" s="10"/>
      <c r="J404" s="11" t="s">
        <v>668</v>
      </c>
      <c r="K404" s="12">
        <v>1.155</v>
      </c>
      <c r="L404" s="13">
        <v>60</v>
      </c>
      <c r="M404" s="14">
        <f t="shared" si="643"/>
        <v>69.3</v>
      </c>
      <c r="N404" s="15"/>
      <c r="O404" s="16" t="s">
        <v>137</v>
      </c>
      <c r="P404" s="17">
        <f>M404*0.01</f>
        <v>0.69299999999999995</v>
      </c>
      <c r="Q404" s="18"/>
      <c r="R404" s="17">
        <f t="shared" si="644"/>
        <v>69.992999999999995</v>
      </c>
      <c r="S404" s="19"/>
      <c r="T404" s="19"/>
      <c r="U404" s="19"/>
      <c r="V404" s="19"/>
      <c r="W404" s="17"/>
      <c r="X404" s="20"/>
      <c r="Y404" s="19"/>
      <c r="Z404" s="19"/>
      <c r="AA404" s="19"/>
      <c r="AB404" s="19"/>
      <c r="AC404" s="19"/>
      <c r="AD404" s="19"/>
      <c r="AE404" s="5"/>
      <c r="AF404" s="19"/>
      <c r="AG404" s="5"/>
      <c r="AH404" s="17"/>
      <c r="AI404" s="19"/>
      <c r="AJ404" s="19"/>
      <c r="AK404" s="19"/>
      <c r="AL404" s="19"/>
      <c r="AM404" s="17"/>
      <c r="AN404" s="19"/>
      <c r="AO404" s="19"/>
      <c r="AP404" s="19"/>
      <c r="AQ404" s="19"/>
      <c r="AR404" s="19"/>
      <c r="AS404" s="21"/>
      <c r="AT404" s="5"/>
      <c r="AU404" s="19"/>
      <c r="AV404" s="5"/>
      <c r="AW404" s="22"/>
      <c r="AX404" s="19"/>
      <c r="AY404" s="5"/>
      <c r="AZ404" s="19"/>
      <c r="BA404" s="5"/>
      <c r="BB404" s="5"/>
      <c r="BC404" s="19"/>
      <c r="BD404" s="19"/>
      <c r="BE404" s="19"/>
      <c r="BF404" s="19"/>
      <c r="BG404" s="19"/>
      <c r="BH404" s="19"/>
      <c r="BI404" s="19"/>
      <c r="BJ404" s="19"/>
      <c r="BK404" s="13"/>
      <c r="BL404" s="5"/>
      <c r="BM404" s="5"/>
      <c r="BN404" s="19"/>
      <c r="BO404" s="17"/>
      <c r="BP404" s="19"/>
      <c r="BQ404" s="17"/>
      <c r="BR404" s="19"/>
      <c r="BS404" s="13"/>
      <c r="BT404" s="5"/>
      <c r="BU404" s="23"/>
      <c r="BV404" s="23"/>
      <c r="BW404" s="24"/>
      <c r="BX404" s="5"/>
      <c r="BY404" s="5"/>
      <c r="BZ404" s="5"/>
      <c r="CA404" s="24"/>
      <c r="CB404" s="24"/>
      <c r="CC404" s="24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>
        <f t="shared" si="574"/>
        <v>69.3</v>
      </c>
      <c r="CV404" s="25">
        <f t="shared" si="575"/>
        <v>0</v>
      </c>
    </row>
    <row r="405" spans="1:100" s="205" customFormat="1" x14ac:dyDescent="0.2">
      <c r="A405" s="192"/>
      <c r="B405" s="193"/>
      <c r="C405" s="194"/>
      <c r="D405" s="195"/>
      <c r="E405" s="196"/>
      <c r="F405" s="197"/>
      <c r="G405" s="198"/>
      <c r="H405" s="199"/>
      <c r="I405" s="199"/>
      <c r="J405" s="200"/>
      <c r="K405" s="201"/>
      <c r="L405" s="202"/>
      <c r="M405" s="203">
        <f>SUM(M384:M404)</f>
        <v>4300.3050000000003</v>
      </c>
      <c r="N405" s="203">
        <f>M405</f>
        <v>4300.3050000000003</v>
      </c>
      <c r="O405" s="204" t="s">
        <v>111</v>
      </c>
      <c r="P405" s="203">
        <f>SUM(P384:P404)</f>
        <v>41.174121428571432</v>
      </c>
      <c r="Q405" s="203">
        <f>SUM(Q384:Q404)</f>
        <v>177.34821428571428</v>
      </c>
      <c r="R405" s="203">
        <f>SUM(R384:R404)</f>
        <v>4164.1309071428577</v>
      </c>
      <c r="S405" s="203">
        <f t="shared" ref="S405:AD405" si="648">SUM(S384:S384)</f>
        <v>0</v>
      </c>
      <c r="T405" s="203">
        <f t="shared" si="648"/>
        <v>0</v>
      </c>
      <c r="U405" s="203">
        <f t="shared" si="648"/>
        <v>0</v>
      </c>
      <c r="V405" s="203">
        <f t="shared" si="648"/>
        <v>0</v>
      </c>
      <c r="W405" s="203">
        <f t="shared" si="648"/>
        <v>0</v>
      </c>
      <c r="X405" s="203">
        <f t="shared" si="648"/>
        <v>0</v>
      </c>
      <c r="Y405" s="203">
        <f t="shared" si="648"/>
        <v>0</v>
      </c>
      <c r="Z405" s="203">
        <f t="shared" si="648"/>
        <v>0</v>
      </c>
      <c r="AA405" s="203">
        <f t="shared" si="648"/>
        <v>0</v>
      </c>
      <c r="AB405" s="203">
        <f t="shared" si="648"/>
        <v>0</v>
      </c>
      <c r="AC405" s="203">
        <f t="shared" si="648"/>
        <v>0</v>
      </c>
      <c r="AD405" s="203">
        <f t="shared" si="648"/>
        <v>0</v>
      </c>
      <c r="AE405" s="195"/>
      <c r="AF405" s="203">
        <f>SUM(AF384:AF384)</f>
        <v>0</v>
      </c>
      <c r="AG405" s="195"/>
      <c r="AH405" s="203">
        <f t="shared" ref="AH405:AZ405" si="649">SUM(AH384:AH384)</f>
        <v>0</v>
      </c>
      <c r="AI405" s="203">
        <f t="shared" si="649"/>
        <v>0</v>
      </c>
      <c r="AJ405" s="203">
        <f t="shared" si="649"/>
        <v>0</v>
      </c>
      <c r="AK405" s="203">
        <f t="shared" si="649"/>
        <v>0</v>
      </c>
      <c r="AL405" s="203">
        <f t="shared" si="649"/>
        <v>0</v>
      </c>
      <c r="AM405" s="203">
        <f t="shared" si="649"/>
        <v>0</v>
      </c>
      <c r="AN405" s="203">
        <f t="shared" si="649"/>
        <v>0</v>
      </c>
      <c r="AO405" s="203">
        <f t="shared" si="649"/>
        <v>0</v>
      </c>
      <c r="AP405" s="203">
        <f t="shared" si="649"/>
        <v>0</v>
      </c>
      <c r="AQ405" s="203">
        <f t="shared" si="649"/>
        <v>0</v>
      </c>
      <c r="AR405" s="203">
        <f t="shared" si="649"/>
        <v>0</v>
      </c>
      <c r="AS405" s="203">
        <f t="shared" si="649"/>
        <v>0</v>
      </c>
      <c r="AT405" s="203">
        <f t="shared" si="649"/>
        <v>0</v>
      </c>
      <c r="AU405" s="203">
        <f t="shared" si="649"/>
        <v>0</v>
      </c>
      <c r="AV405" s="203">
        <f t="shared" si="649"/>
        <v>0</v>
      </c>
      <c r="AW405" s="203">
        <f t="shared" si="649"/>
        <v>0</v>
      </c>
      <c r="AX405" s="203">
        <f t="shared" si="649"/>
        <v>0</v>
      </c>
      <c r="AY405" s="203">
        <f t="shared" si="649"/>
        <v>0</v>
      </c>
      <c r="AZ405" s="203">
        <f t="shared" si="649"/>
        <v>0</v>
      </c>
      <c r="BA405" s="195"/>
      <c r="BB405" s="203">
        <f t="shared" ref="BB405:CT405" si="650">SUM(BB384:BB384)</f>
        <v>0</v>
      </c>
      <c r="BC405" s="203">
        <f t="shared" si="650"/>
        <v>0</v>
      </c>
      <c r="BD405" s="203">
        <f t="shared" si="650"/>
        <v>0</v>
      </c>
      <c r="BE405" s="203">
        <f t="shared" si="650"/>
        <v>0</v>
      </c>
      <c r="BF405" s="203">
        <f t="shared" si="650"/>
        <v>0</v>
      </c>
      <c r="BG405" s="203">
        <f t="shared" si="650"/>
        <v>0</v>
      </c>
      <c r="BH405" s="203">
        <f t="shared" si="650"/>
        <v>0</v>
      </c>
      <c r="BI405" s="203">
        <f t="shared" si="650"/>
        <v>0</v>
      </c>
      <c r="BJ405" s="203">
        <f t="shared" si="650"/>
        <v>0</v>
      </c>
      <c r="BK405" s="203">
        <f t="shared" si="650"/>
        <v>0</v>
      </c>
      <c r="BL405" s="203">
        <f t="shared" si="650"/>
        <v>0</v>
      </c>
      <c r="BM405" s="203">
        <f t="shared" si="650"/>
        <v>0</v>
      </c>
      <c r="BN405" s="203">
        <f t="shared" si="650"/>
        <v>0</v>
      </c>
      <c r="BO405" s="203">
        <f t="shared" si="650"/>
        <v>0</v>
      </c>
      <c r="BP405" s="203">
        <f t="shared" si="650"/>
        <v>0</v>
      </c>
      <c r="BQ405" s="203">
        <f t="shared" si="650"/>
        <v>0</v>
      </c>
      <c r="BR405" s="203">
        <f t="shared" si="650"/>
        <v>0</v>
      </c>
      <c r="BS405" s="203">
        <f t="shared" si="650"/>
        <v>0</v>
      </c>
      <c r="BT405" s="203">
        <f t="shared" si="650"/>
        <v>0</v>
      </c>
      <c r="BU405" s="203">
        <f t="shared" si="650"/>
        <v>0</v>
      </c>
      <c r="BV405" s="203">
        <f t="shared" si="650"/>
        <v>0</v>
      </c>
      <c r="BW405" s="203">
        <f t="shared" si="650"/>
        <v>0</v>
      </c>
      <c r="BX405" s="203">
        <f t="shared" si="650"/>
        <v>0</v>
      </c>
      <c r="BY405" s="203">
        <f t="shared" si="650"/>
        <v>0</v>
      </c>
      <c r="BZ405" s="203">
        <f t="shared" si="650"/>
        <v>0</v>
      </c>
      <c r="CA405" s="203">
        <f t="shared" si="650"/>
        <v>0</v>
      </c>
      <c r="CB405" s="203">
        <f t="shared" si="650"/>
        <v>0</v>
      </c>
      <c r="CC405" s="203">
        <f t="shared" si="650"/>
        <v>0</v>
      </c>
      <c r="CD405" s="203">
        <f t="shared" si="650"/>
        <v>0</v>
      </c>
      <c r="CE405" s="203">
        <f t="shared" si="650"/>
        <v>0</v>
      </c>
      <c r="CF405" s="203">
        <f t="shared" si="650"/>
        <v>0</v>
      </c>
      <c r="CG405" s="203">
        <f t="shared" si="650"/>
        <v>0</v>
      </c>
      <c r="CH405" s="203">
        <f t="shared" si="650"/>
        <v>0</v>
      </c>
      <c r="CI405" s="203">
        <f t="shared" si="650"/>
        <v>0</v>
      </c>
      <c r="CJ405" s="203">
        <f t="shared" si="650"/>
        <v>0</v>
      </c>
      <c r="CK405" s="203">
        <f t="shared" si="650"/>
        <v>0</v>
      </c>
      <c r="CL405" s="203">
        <f t="shared" si="650"/>
        <v>0</v>
      </c>
      <c r="CM405" s="203">
        <f t="shared" si="650"/>
        <v>0</v>
      </c>
      <c r="CN405" s="203">
        <f t="shared" si="650"/>
        <v>0</v>
      </c>
      <c r="CO405" s="203">
        <f t="shared" si="650"/>
        <v>0</v>
      </c>
      <c r="CP405" s="203">
        <f t="shared" si="650"/>
        <v>0</v>
      </c>
      <c r="CQ405" s="203">
        <f t="shared" si="650"/>
        <v>0</v>
      </c>
      <c r="CR405" s="203">
        <f t="shared" si="650"/>
        <v>0</v>
      </c>
      <c r="CS405" s="203">
        <f t="shared" si="650"/>
        <v>0</v>
      </c>
      <c r="CT405" s="203">
        <f t="shared" si="650"/>
        <v>0</v>
      </c>
      <c r="CU405" s="17">
        <f t="shared" si="574"/>
        <v>4300.3050000000012</v>
      </c>
      <c r="CV405" s="25">
        <f t="shared" si="575"/>
        <v>0</v>
      </c>
    </row>
    <row r="406" spans="1:100" x14ac:dyDescent="0.2">
      <c r="A406" s="2">
        <v>45890</v>
      </c>
      <c r="B406" s="3" t="s">
        <v>761</v>
      </c>
      <c r="C406" s="4" t="s">
        <v>872</v>
      </c>
      <c r="D406" s="5" t="s">
        <v>122</v>
      </c>
      <c r="E406" s="6" t="s">
        <v>370</v>
      </c>
      <c r="F406" s="7" t="s">
        <v>336</v>
      </c>
      <c r="G406" s="8" t="s">
        <v>762</v>
      </c>
      <c r="H406" s="9" t="s">
        <v>763</v>
      </c>
      <c r="I406" s="10"/>
      <c r="J406" s="11" t="s">
        <v>764</v>
      </c>
      <c r="K406" s="12">
        <v>2</v>
      </c>
      <c r="L406" s="13">
        <v>217.5</v>
      </c>
      <c r="M406" s="14">
        <f t="shared" ref="M406" si="651">L406*K406</f>
        <v>435</v>
      </c>
      <c r="N406" s="15"/>
      <c r="O406" s="16" t="s">
        <v>111</v>
      </c>
      <c r="P406" s="17">
        <f>M406/1.12*0.01</f>
        <v>3.8839285714285712</v>
      </c>
      <c r="Q406" s="18">
        <f>M406/1.12*0.12</f>
        <v>46.607142857142854</v>
      </c>
      <c r="R406" s="17">
        <f>M406+P406-Q406</f>
        <v>392.27678571428572</v>
      </c>
      <c r="S406" s="19"/>
      <c r="T406" s="19"/>
      <c r="U406" s="19"/>
      <c r="V406" s="19"/>
      <c r="W406" s="17"/>
      <c r="X406" s="20"/>
      <c r="Y406" s="19"/>
      <c r="Z406" s="19"/>
      <c r="AA406" s="19"/>
      <c r="AB406" s="19"/>
      <c r="AC406" s="19"/>
      <c r="AD406" s="19"/>
      <c r="AE406" s="5"/>
      <c r="AF406" s="19"/>
      <c r="AG406" s="5"/>
      <c r="AH406" s="17"/>
      <c r="AI406" s="19"/>
      <c r="AJ406" s="19"/>
      <c r="AK406" s="19"/>
      <c r="AL406" s="19"/>
      <c r="AM406" s="17"/>
      <c r="AN406" s="19"/>
      <c r="AO406" s="19"/>
      <c r="AP406" s="19"/>
      <c r="AQ406" s="19"/>
      <c r="AR406" s="19"/>
      <c r="AS406" s="21"/>
      <c r="AT406" s="5"/>
      <c r="AU406" s="19"/>
      <c r="AV406" s="5"/>
      <c r="AW406" s="22"/>
      <c r="AX406" s="19"/>
      <c r="AY406" s="5"/>
      <c r="AZ406" s="19"/>
      <c r="BA406" s="5"/>
      <c r="BB406" s="5"/>
      <c r="BC406" s="19"/>
      <c r="BD406" s="19"/>
      <c r="BE406" s="19"/>
      <c r="BF406" s="19"/>
      <c r="BG406" s="19"/>
      <c r="BH406" s="19"/>
      <c r="BI406" s="19"/>
      <c r="BJ406" s="19"/>
      <c r="BK406" s="13"/>
      <c r="BL406" s="5"/>
      <c r="BM406" s="5"/>
      <c r="BN406" s="19"/>
      <c r="BO406" s="17"/>
      <c r="BP406" s="19"/>
      <c r="BQ406" s="17"/>
      <c r="BR406" s="19"/>
      <c r="BS406" s="13"/>
      <c r="BT406" s="5"/>
      <c r="BU406" s="23"/>
      <c r="BV406" s="23"/>
      <c r="BW406" s="24"/>
      <c r="BX406" s="5"/>
      <c r="BY406" s="5"/>
      <c r="BZ406" s="5"/>
      <c r="CA406" s="24"/>
      <c r="CB406" s="24"/>
      <c r="CC406" s="24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>
        <f t="shared" si="574"/>
        <v>435</v>
      </c>
      <c r="CV406" s="25">
        <f t="shared" si="575"/>
        <v>0</v>
      </c>
    </row>
    <row r="407" spans="1:100" x14ac:dyDescent="0.2">
      <c r="A407" s="27"/>
      <c r="B407" s="28"/>
      <c r="C407" s="29"/>
      <c r="D407" s="30"/>
      <c r="E407" s="31"/>
      <c r="F407" s="32"/>
      <c r="G407" s="33"/>
      <c r="H407" s="34"/>
      <c r="I407" s="34"/>
      <c r="J407" s="35"/>
      <c r="K407" s="36"/>
      <c r="L407" s="37"/>
      <c r="M407" s="38">
        <f>SUM(M406:M406)</f>
        <v>435</v>
      </c>
      <c r="N407" s="38"/>
      <c r="O407" s="39" t="s">
        <v>111</v>
      </c>
      <c r="P407" s="38">
        <f>SUM(P406:P406)</f>
        <v>3.8839285714285712</v>
      </c>
      <c r="Q407" s="38">
        <f>SUM(Q406:Q406)</f>
        <v>46.607142857142854</v>
      </c>
      <c r="R407" s="38">
        <f>SUM(R406:R406)</f>
        <v>392.27678571428572</v>
      </c>
      <c r="S407" s="38">
        <f t="shared" ref="S407:AD407" si="652">SUM(S406:S406)</f>
        <v>0</v>
      </c>
      <c r="T407" s="38">
        <f t="shared" si="652"/>
        <v>0</v>
      </c>
      <c r="U407" s="38">
        <f t="shared" si="652"/>
        <v>0</v>
      </c>
      <c r="V407" s="38">
        <f t="shared" si="652"/>
        <v>0</v>
      </c>
      <c r="W407" s="38">
        <f t="shared" si="652"/>
        <v>0</v>
      </c>
      <c r="X407" s="38">
        <f t="shared" si="652"/>
        <v>0</v>
      </c>
      <c r="Y407" s="38">
        <f t="shared" si="652"/>
        <v>0</v>
      </c>
      <c r="Z407" s="38">
        <f t="shared" si="652"/>
        <v>0</v>
      </c>
      <c r="AA407" s="38">
        <f t="shared" si="652"/>
        <v>0</v>
      </c>
      <c r="AB407" s="38">
        <f t="shared" si="652"/>
        <v>0</v>
      </c>
      <c r="AC407" s="38">
        <f t="shared" si="652"/>
        <v>0</v>
      </c>
      <c r="AD407" s="38">
        <f t="shared" si="652"/>
        <v>0</v>
      </c>
      <c r="AE407" s="30"/>
      <c r="AF407" s="38">
        <f>SUM(AF406:AF406)</f>
        <v>0</v>
      </c>
      <c r="AG407" s="30"/>
      <c r="AH407" s="38">
        <f t="shared" ref="AH407:AZ407" si="653">SUM(AH406:AH406)</f>
        <v>0</v>
      </c>
      <c r="AI407" s="38">
        <f t="shared" si="653"/>
        <v>0</v>
      </c>
      <c r="AJ407" s="38">
        <f t="shared" si="653"/>
        <v>0</v>
      </c>
      <c r="AK407" s="38">
        <f t="shared" si="653"/>
        <v>0</v>
      </c>
      <c r="AL407" s="38">
        <f t="shared" si="653"/>
        <v>0</v>
      </c>
      <c r="AM407" s="38">
        <f t="shared" si="653"/>
        <v>0</v>
      </c>
      <c r="AN407" s="38">
        <f t="shared" si="653"/>
        <v>0</v>
      </c>
      <c r="AO407" s="38">
        <f t="shared" si="653"/>
        <v>0</v>
      </c>
      <c r="AP407" s="38">
        <f t="shared" si="653"/>
        <v>0</v>
      </c>
      <c r="AQ407" s="38">
        <f t="shared" si="653"/>
        <v>0</v>
      </c>
      <c r="AR407" s="38">
        <f t="shared" si="653"/>
        <v>0</v>
      </c>
      <c r="AS407" s="38">
        <f t="shared" si="653"/>
        <v>0</v>
      </c>
      <c r="AT407" s="38">
        <f t="shared" si="653"/>
        <v>0</v>
      </c>
      <c r="AU407" s="38">
        <f t="shared" si="653"/>
        <v>0</v>
      </c>
      <c r="AV407" s="38">
        <f t="shared" si="653"/>
        <v>0</v>
      </c>
      <c r="AW407" s="38">
        <f t="shared" si="653"/>
        <v>0</v>
      </c>
      <c r="AX407" s="38">
        <f t="shared" si="653"/>
        <v>0</v>
      </c>
      <c r="AY407" s="38">
        <f t="shared" si="653"/>
        <v>0</v>
      </c>
      <c r="AZ407" s="38">
        <f t="shared" si="653"/>
        <v>0</v>
      </c>
      <c r="BA407" s="30"/>
      <c r="BB407" s="38">
        <f t="shared" ref="BB407:CT407" si="654">SUM(BB406:BB406)</f>
        <v>0</v>
      </c>
      <c r="BC407" s="38">
        <f t="shared" si="654"/>
        <v>0</v>
      </c>
      <c r="BD407" s="38">
        <f t="shared" si="654"/>
        <v>0</v>
      </c>
      <c r="BE407" s="38">
        <f t="shared" si="654"/>
        <v>0</v>
      </c>
      <c r="BF407" s="38">
        <f t="shared" si="654"/>
        <v>0</v>
      </c>
      <c r="BG407" s="38">
        <f t="shared" si="654"/>
        <v>0</v>
      </c>
      <c r="BH407" s="38">
        <f t="shared" si="654"/>
        <v>0</v>
      </c>
      <c r="BI407" s="38">
        <f t="shared" si="654"/>
        <v>0</v>
      </c>
      <c r="BJ407" s="38">
        <f t="shared" si="654"/>
        <v>0</v>
      </c>
      <c r="BK407" s="38">
        <f t="shared" si="654"/>
        <v>0</v>
      </c>
      <c r="BL407" s="38">
        <f t="shared" si="654"/>
        <v>0</v>
      </c>
      <c r="BM407" s="38">
        <f t="shared" si="654"/>
        <v>0</v>
      </c>
      <c r="BN407" s="38">
        <f t="shared" si="654"/>
        <v>0</v>
      </c>
      <c r="BO407" s="38">
        <f t="shared" si="654"/>
        <v>0</v>
      </c>
      <c r="BP407" s="38">
        <f t="shared" si="654"/>
        <v>0</v>
      </c>
      <c r="BQ407" s="38">
        <f t="shared" si="654"/>
        <v>0</v>
      </c>
      <c r="BR407" s="38">
        <f t="shared" si="654"/>
        <v>0</v>
      </c>
      <c r="BS407" s="38">
        <f t="shared" si="654"/>
        <v>0</v>
      </c>
      <c r="BT407" s="38">
        <f t="shared" si="654"/>
        <v>0</v>
      </c>
      <c r="BU407" s="38">
        <f t="shared" si="654"/>
        <v>0</v>
      </c>
      <c r="BV407" s="38">
        <f t="shared" si="654"/>
        <v>0</v>
      </c>
      <c r="BW407" s="38">
        <f t="shared" si="654"/>
        <v>0</v>
      </c>
      <c r="BX407" s="38">
        <f t="shared" si="654"/>
        <v>0</v>
      </c>
      <c r="BY407" s="38">
        <f t="shared" si="654"/>
        <v>0</v>
      </c>
      <c r="BZ407" s="38">
        <f t="shared" si="654"/>
        <v>0</v>
      </c>
      <c r="CA407" s="38">
        <f t="shared" si="654"/>
        <v>0</v>
      </c>
      <c r="CB407" s="38">
        <f t="shared" si="654"/>
        <v>0</v>
      </c>
      <c r="CC407" s="38">
        <f t="shared" si="654"/>
        <v>0</v>
      </c>
      <c r="CD407" s="38">
        <f t="shared" si="654"/>
        <v>0</v>
      </c>
      <c r="CE407" s="38">
        <f t="shared" si="654"/>
        <v>0</v>
      </c>
      <c r="CF407" s="38">
        <f t="shared" si="654"/>
        <v>0</v>
      </c>
      <c r="CG407" s="38">
        <f t="shared" si="654"/>
        <v>0</v>
      </c>
      <c r="CH407" s="38">
        <f t="shared" si="654"/>
        <v>0</v>
      </c>
      <c r="CI407" s="38">
        <f t="shared" si="654"/>
        <v>0</v>
      </c>
      <c r="CJ407" s="38">
        <f t="shared" si="654"/>
        <v>0</v>
      </c>
      <c r="CK407" s="38">
        <f t="shared" si="654"/>
        <v>0</v>
      </c>
      <c r="CL407" s="38">
        <f t="shared" si="654"/>
        <v>0</v>
      </c>
      <c r="CM407" s="38">
        <f t="shared" si="654"/>
        <v>0</v>
      </c>
      <c r="CN407" s="38">
        <f t="shared" si="654"/>
        <v>0</v>
      </c>
      <c r="CO407" s="38">
        <f t="shared" si="654"/>
        <v>0</v>
      </c>
      <c r="CP407" s="38">
        <f t="shared" si="654"/>
        <v>0</v>
      </c>
      <c r="CQ407" s="38">
        <f t="shared" si="654"/>
        <v>0</v>
      </c>
      <c r="CR407" s="38">
        <f t="shared" si="654"/>
        <v>0</v>
      </c>
      <c r="CS407" s="38">
        <f t="shared" si="654"/>
        <v>0</v>
      </c>
      <c r="CT407" s="38">
        <f t="shared" si="654"/>
        <v>0</v>
      </c>
      <c r="CU407" s="17">
        <f t="shared" si="574"/>
        <v>435</v>
      </c>
      <c r="CV407" s="25">
        <f t="shared" si="575"/>
        <v>0</v>
      </c>
    </row>
    <row r="408" spans="1:100" x14ac:dyDescent="0.2">
      <c r="A408" s="2">
        <v>45888</v>
      </c>
      <c r="B408" s="3" t="s">
        <v>761</v>
      </c>
      <c r="C408" s="4" t="s">
        <v>873</v>
      </c>
      <c r="D408" s="5" t="s">
        <v>122</v>
      </c>
      <c r="E408" s="6" t="s">
        <v>765</v>
      </c>
      <c r="F408" s="7"/>
      <c r="G408" s="8"/>
      <c r="H408" s="9"/>
      <c r="I408" s="10" t="s">
        <v>766</v>
      </c>
      <c r="J408" s="11"/>
      <c r="K408" s="12">
        <v>3</v>
      </c>
      <c r="L408" s="13">
        <v>120</v>
      </c>
      <c r="M408" s="14">
        <f t="shared" ref="M408" si="655">L408*K408</f>
        <v>360</v>
      </c>
      <c r="N408" s="15"/>
      <c r="O408" s="16" t="s">
        <v>137</v>
      </c>
      <c r="P408" s="17"/>
      <c r="Q408" s="18"/>
      <c r="R408" s="17">
        <f>M408+P408-Q408</f>
        <v>360</v>
      </c>
      <c r="S408" s="19"/>
      <c r="T408" s="19"/>
      <c r="U408" s="19"/>
      <c r="V408" s="19"/>
      <c r="W408" s="17"/>
      <c r="X408" s="20"/>
      <c r="Y408" s="19"/>
      <c r="Z408" s="19"/>
      <c r="AA408" s="19"/>
      <c r="AB408" s="19"/>
      <c r="AC408" s="19"/>
      <c r="AD408" s="19"/>
      <c r="AE408" s="5"/>
      <c r="AF408" s="19"/>
      <c r="AG408" s="5"/>
      <c r="AH408" s="17"/>
      <c r="AI408" s="19"/>
      <c r="AJ408" s="19"/>
      <c r="AK408" s="19"/>
      <c r="AL408" s="19"/>
      <c r="AM408" s="17"/>
      <c r="AN408" s="19"/>
      <c r="AO408" s="19"/>
      <c r="AP408" s="19"/>
      <c r="AQ408" s="19"/>
      <c r="AR408" s="19"/>
      <c r="AS408" s="21"/>
      <c r="AT408" s="5"/>
      <c r="AU408" s="19"/>
      <c r="AV408" s="5"/>
      <c r="AW408" s="22"/>
      <c r="AX408" s="19"/>
      <c r="AY408" s="5"/>
      <c r="AZ408" s="19"/>
      <c r="BA408" s="5"/>
      <c r="BB408" s="5"/>
      <c r="BC408" s="19"/>
      <c r="BD408" s="19"/>
      <c r="BE408" s="19"/>
      <c r="BF408" s="19"/>
      <c r="BG408" s="19"/>
      <c r="BH408" s="19"/>
      <c r="BI408" s="19"/>
      <c r="BJ408" s="19"/>
      <c r="BK408" s="13"/>
      <c r="BL408" s="5"/>
      <c r="BM408" s="5"/>
      <c r="BN408" s="19"/>
      <c r="BO408" s="17"/>
      <c r="BP408" s="19"/>
      <c r="BQ408" s="17"/>
      <c r="BR408" s="19"/>
      <c r="BS408" s="13"/>
      <c r="BT408" s="5"/>
      <c r="BU408" s="23"/>
      <c r="BV408" s="23"/>
      <c r="BW408" s="24"/>
      <c r="BX408" s="5"/>
      <c r="BY408" s="5"/>
      <c r="BZ408" s="5"/>
      <c r="CA408" s="24"/>
      <c r="CB408" s="24"/>
      <c r="CC408" s="24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>
        <f t="shared" si="574"/>
        <v>360</v>
      </c>
      <c r="CV408" s="25">
        <f t="shared" si="575"/>
        <v>0</v>
      </c>
    </row>
    <row r="409" spans="1:100" x14ac:dyDescent="0.2">
      <c r="A409" s="27"/>
      <c r="B409" s="28"/>
      <c r="C409" s="29"/>
      <c r="D409" s="30"/>
      <c r="E409" s="31"/>
      <c r="F409" s="32"/>
      <c r="G409" s="33"/>
      <c r="H409" s="34"/>
      <c r="I409" s="34"/>
      <c r="J409" s="35"/>
      <c r="K409" s="36"/>
      <c r="L409" s="37"/>
      <c r="M409" s="38">
        <f>SUM(M408:M408)</f>
        <v>360</v>
      </c>
      <c r="N409" s="38"/>
      <c r="O409" s="39" t="s">
        <v>137</v>
      </c>
      <c r="P409" s="38"/>
      <c r="Q409" s="38"/>
      <c r="R409" s="38">
        <f>SUM(R408:R408)</f>
        <v>360</v>
      </c>
      <c r="S409" s="38">
        <f t="shared" ref="S409:AD409" si="656">SUM(S408:S408)</f>
        <v>0</v>
      </c>
      <c r="T409" s="38">
        <f t="shared" si="656"/>
        <v>0</v>
      </c>
      <c r="U409" s="38">
        <f t="shared" si="656"/>
        <v>0</v>
      </c>
      <c r="V409" s="38">
        <f t="shared" si="656"/>
        <v>0</v>
      </c>
      <c r="W409" s="38">
        <f t="shared" si="656"/>
        <v>0</v>
      </c>
      <c r="X409" s="38">
        <f t="shared" si="656"/>
        <v>0</v>
      </c>
      <c r="Y409" s="38">
        <f t="shared" si="656"/>
        <v>0</v>
      </c>
      <c r="Z409" s="38">
        <f t="shared" si="656"/>
        <v>0</v>
      </c>
      <c r="AA409" s="38">
        <f t="shared" si="656"/>
        <v>0</v>
      </c>
      <c r="AB409" s="38">
        <f t="shared" si="656"/>
        <v>0</v>
      </c>
      <c r="AC409" s="38">
        <f t="shared" si="656"/>
        <v>0</v>
      </c>
      <c r="AD409" s="38">
        <f t="shared" si="656"/>
        <v>0</v>
      </c>
      <c r="AE409" s="30"/>
      <c r="AF409" s="38">
        <f>SUM(AF408:AF408)</f>
        <v>0</v>
      </c>
      <c r="AG409" s="30"/>
      <c r="AH409" s="38">
        <f t="shared" ref="AH409:AZ409" si="657">SUM(AH408:AH408)</f>
        <v>0</v>
      </c>
      <c r="AI409" s="38">
        <f t="shared" si="657"/>
        <v>0</v>
      </c>
      <c r="AJ409" s="38">
        <f t="shared" si="657"/>
        <v>0</v>
      </c>
      <c r="AK409" s="38">
        <f t="shared" si="657"/>
        <v>0</v>
      </c>
      <c r="AL409" s="38">
        <f t="shared" si="657"/>
        <v>0</v>
      </c>
      <c r="AM409" s="38">
        <f t="shared" si="657"/>
        <v>0</v>
      </c>
      <c r="AN409" s="38">
        <f t="shared" si="657"/>
        <v>0</v>
      </c>
      <c r="AO409" s="38">
        <f t="shared" si="657"/>
        <v>0</v>
      </c>
      <c r="AP409" s="38">
        <f t="shared" si="657"/>
        <v>0</v>
      </c>
      <c r="AQ409" s="38">
        <f t="shared" si="657"/>
        <v>0</v>
      </c>
      <c r="AR409" s="38">
        <f t="shared" si="657"/>
        <v>0</v>
      </c>
      <c r="AS409" s="38">
        <f t="shared" si="657"/>
        <v>0</v>
      </c>
      <c r="AT409" s="38">
        <f t="shared" si="657"/>
        <v>0</v>
      </c>
      <c r="AU409" s="38">
        <f t="shared" si="657"/>
        <v>0</v>
      </c>
      <c r="AV409" s="38">
        <f t="shared" si="657"/>
        <v>0</v>
      </c>
      <c r="AW409" s="38">
        <f t="shared" si="657"/>
        <v>0</v>
      </c>
      <c r="AX409" s="38">
        <f t="shared" si="657"/>
        <v>0</v>
      </c>
      <c r="AY409" s="38">
        <f t="shared" si="657"/>
        <v>0</v>
      </c>
      <c r="AZ409" s="38">
        <f t="shared" si="657"/>
        <v>0</v>
      </c>
      <c r="BA409" s="30"/>
      <c r="BB409" s="38">
        <f t="shared" ref="BB409:CT409" si="658">SUM(BB408:BB408)</f>
        <v>0</v>
      </c>
      <c r="BC409" s="38">
        <f t="shared" si="658"/>
        <v>0</v>
      </c>
      <c r="BD409" s="38">
        <f t="shared" si="658"/>
        <v>0</v>
      </c>
      <c r="BE409" s="38">
        <f t="shared" si="658"/>
        <v>0</v>
      </c>
      <c r="BF409" s="38">
        <f t="shared" si="658"/>
        <v>0</v>
      </c>
      <c r="BG409" s="38">
        <f t="shared" si="658"/>
        <v>0</v>
      </c>
      <c r="BH409" s="38">
        <f t="shared" si="658"/>
        <v>0</v>
      </c>
      <c r="BI409" s="38">
        <f t="shared" si="658"/>
        <v>0</v>
      </c>
      <c r="BJ409" s="38">
        <f t="shared" si="658"/>
        <v>0</v>
      </c>
      <c r="BK409" s="38">
        <f t="shared" si="658"/>
        <v>0</v>
      </c>
      <c r="BL409" s="38">
        <f t="shared" si="658"/>
        <v>0</v>
      </c>
      <c r="BM409" s="38">
        <f t="shared" si="658"/>
        <v>0</v>
      </c>
      <c r="BN409" s="38">
        <f t="shared" si="658"/>
        <v>0</v>
      </c>
      <c r="BO409" s="38">
        <f t="shared" si="658"/>
        <v>0</v>
      </c>
      <c r="BP409" s="38">
        <f t="shared" si="658"/>
        <v>0</v>
      </c>
      <c r="BQ409" s="38">
        <f t="shared" si="658"/>
        <v>0</v>
      </c>
      <c r="BR409" s="38">
        <f t="shared" si="658"/>
        <v>0</v>
      </c>
      <c r="BS409" s="38">
        <f t="shared" si="658"/>
        <v>0</v>
      </c>
      <c r="BT409" s="38">
        <f t="shared" si="658"/>
        <v>0</v>
      </c>
      <c r="BU409" s="38">
        <f t="shared" si="658"/>
        <v>0</v>
      </c>
      <c r="BV409" s="38">
        <f t="shared" si="658"/>
        <v>0</v>
      </c>
      <c r="BW409" s="38">
        <f t="shared" si="658"/>
        <v>0</v>
      </c>
      <c r="BX409" s="38">
        <f t="shared" si="658"/>
        <v>0</v>
      </c>
      <c r="BY409" s="38">
        <f t="shared" si="658"/>
        <v>0</v>
      </c>
      <c r="BZ409" s="38">
        <f t="shared" si="658"/>
        <v>0</v>
      </c>
      <c r="CA409" s="38">
        <f t="shared" si="658"/>
        <v>0</v>
      </c>
      <c r="CB409" s="38">
        <f t="shared" si="658"/>
        <v>0</v>
      </c>
      <c r="CC409" s="38">
        <f t="shared" si="658"/>
        <v>0</v>
      </c>
      <c r="CD409" s="38">
        <f t="shared" si="658"/>
        <v>0</v>
      </c>
      <c r="CE409" s="38">
        <f t="shared" si="658"/>
        <v>0</v>
      </c>
      <c r="CF409" s="38">
        <f t="shared" si="658"/>
        <v>0</v>
      </c>
      <c r="CG409" s="38">
        <f t="shared" si="658"/>
        <v>0</v>
      </c>
      <c r="CH409" s="38">
        <f t="shared" si="658"/>
        <v>0</v>
      </c>
      <c r="CI409" s="38">
        <f t="shared" si="658"/>
        <v>0</v>
      </c>
      <c r="CJ409" s="38">
        <f t="shared" si="658"/>
        <v>0</v>
      </c>
      <c r="CK409" s="38">
        <f t="shared" si="658"/>
        <v>0</v>
      </c>
      <c r="CL409" s="38">
        <f t="shared" si="658"/>
        <v>0</v>
      </c>
      <c r="CM409" s="38">
        <f t="shared" si="658"/>
        <v>0</v>
      </c>
      <c r="CN409" s="38">
        <f t="shared" si="658"/>
        <v>0</v>
      </c>
      <c r="CO409" s="38">
        <f t="shared" si="658"/>
        <v>0</v>
      </c>
      <c r="CP409" s="38">
        <f t="shared" si="658"/>
        <v>0</v>
      </c>
      <c r="CQ409" s="38">
        <f t="shared" si="658"/>
        <v>0</v>
      </c>
      <c r="CR409" s="38">
        <f t="shared" si="658"/>
        <v>0</v>
      </c>
      <c r="CS409" s="38">
        <f t="shared" si="658"/>
        <v>0</v>
      </c>
      <c r="CT409" s="38">
        <f t="shared" si="658"/>
        <v>0</v>
      </c>
      <c r="CU409" s="17">
        <f t="shared" si="574"/>
        <v>360</v>
      </c>
      <c r="CV409" s="25">
        <f t="shared" si="575"/>
        <v>0</v>
      </c>
    </row>
    <row r="410" spans="1:100" x14ac:dyDescent="0.2">
      <c r="A410" s="2">
        <v>45888</v>
      </c>
      <c r="B410" s="3" t="s">
        <v>761</v>
      </c>
      <c r="C410" s="4" t="s">
        <v>874</v>
      </c>
      <c r="D410" s="5" t="s">
        <v>122</v>
      </c>
      <c r="E410" s="6" t="s">
        <v>767</v>
      </c>
      <c r="F410" s="7" t="s">
        <v>229</v>
      </c>
      <c r="G410" s="8"/>
      <c r="H410" s="9">
        <v>451</v>
      </c>
      <c r="I410" s="10" t="s">
        <v>768</v>
      </c>
      <c r="J410" s="11" t="s">
        <v>769</v>
      </c>
      <c r="K410" s="12">
        <v>3</v>
      </c>
      <c r="L410" s="13">
        <v>190</v>
      </c>
      <c r="M410" s="14">
        <f t="shared" ref="M410" si="659">L410*K410</f>
        <v>570</v>
      </c>
      <c r="N410" s="15"/>
      <c r="O410" s="16" t="s">
        <v>137</v>
      </c>
      <c r="P410" s="17"/>
      <c r="Q410" s="18"/>
      <c r="R410" s="17">
        <f>M410+P410-Q410</f>
        <v>570</v>
      </c>
      <c r="S410" s="19"/>
      <c r="T410" s="19"/>
      <c r="U410" s="19"/>
      <c r="V410" s="19"/>
      <c r="W410" s="17"/>
      <c r="X410" s="20"/>
      <c r="Y410" s="19"/>
      <c r="Z410" s="19"/>
      <c r="AA410" s="19"/>
      <c r="AB410" s="19"/>
      <c r="AC410" s="19"/>
      <c r="AD410" s="19"/>
      <c r="AE410" s="5"/>
      <c r="AF410" s="19"/>
      <c r="AG410" s="5"/>
      <c r="AH410" s="17"/>
      <c r="AI410" s="19"/>
      <c r="AJ410" s="19"/>
      <c r="AK410" s="19"/>
      <c r="AL410" s="19"/>
      <c r="AM410" s="17"/>
      <c r="AN410" s="19"/>
      <c r="AO410" s="19"/>
      <c r="AP410" s="19"/>
      <c r="AQ410" s="19"/>
      <c r="AR410" s="19"/>
      <c r="AS410" s="21"/>
      <c r="AT410" s="5"/>
      <c r="AU410" s="19"/>
      <c r="AV410" s="5"/>
      <c r="AW410" s="22"/>
      <c r="AX410" s="19"/>
      <c r="AY410" s="5"/>
      <c r="AZ410" s="19"/>
      <c r="BA410" s="5"/>
      <c r="BB410" s="5"/>
      <c r="BC410" s="19"/>
      <c r="BD410" s="19"/>
      <c r="BE410" s="19"/>
      <c r="BF410" s="19"/>
      <c r="BG410" s="19"/>
      <c r="BH410" s="19"/>
      <c r="BI410" s="19"/>
      <c r="BJ410" s="19"/>
      <c r="BK410" s="13"/>
      <c r="BL410" s="5"/>
      <c r="BM410" s="5"/>
      <c r="BN410" s="19"/>
      <c r="BO410" s="17"/>
      <c r="BP410" s="19"/>
      <c r="BQ410" s="17"/>
      <c r="BR410" s="19"/>
      <c r="BS410" s="13"/>
      <c r="BT410" s="5"/>
      <c r="BU410" s="23"/>
      <c r="BV410" s="23"/>
      <c r="BW410" s="24"/>
      <c r="BX410" s="5"/>
      <c r="BY410" s="5"/>
      <c r="BZ410" s="5"/>
      <c r="CA410" s="24"/>
      <c r="CB410" s="24"/>
      <c r="CC410" s="24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>
        <f t="shared" ref="CU410:CU473" si="660">SUM(Q410:CT410)-P410</f>
        <v>570</v>
      </c>
      <c r="CV410" s="25">
        <f t="shared" ref="CV410:CV473" si="661">CU410-M410</f>
        <v>0</v>
      </c>
    </row>
    <row r="411" spans="1:100" x14ac:dyDescent="0.2">
      <c r="A411" s="27"/>
      <c r="B411" s="28"/>
      <c r="C411" s="29"/>
      <c r="D411" s="30"/>
      <c r="E411" s="31"/>
      <c r="F411" s="32"/>
      <c r="G411" s="33"/>
      <c r="H411" s="34"/>
      <c r="I411" s="34"/>
      <c r="J411" s="35"/>
      <c r="K411" s="36"/>
      <c r="L411" s="37"/>
      <c r="M411" s="38">
        <f>SUM(M410:M410)</f>
        <v>570</v>
      </c>
      <c r="N411" s="38"/>
      <c r="O411" s="39" t="s">
        <v>137</v>
      </c>
      <c r="P411" s="38"/>
      <c r="Q411" s="38"/>
      <c r="R411" s="38">
        <f>SUM(R410:R410)</f>
        <v>570</v>
      </c>
      <c r="S411" s="38">
        <f t="shared" ref="S411:AD411" si="662">SUM(S410:S410)</f>
        <v>0</v>
      </c>
      <c r="T411" s="38">
        <f t="shared" si="662"/>
        <v>0</v>
      </c>
      <c r="U411" s="38">
        <f t="shared" si="662"/>
        <v>0</v>
      </c>
      <c r="V411" s="38">
        <f t="shared" si="662"/>
        <v>0</v>
      </c>
      <c r="W411" s="38">
        <f t="shared" si="662"/>
        <v>0</v>
      </c>
      <c r="X411" s="38">
        <f t="shared" si="662"/>
        <v>0</v>
      </c>
      <c r="Y411" s="38">
        <f t="shared" si="662"/>
        <v>0</v>
      </c>
      <c r="Z411" s="38">
        <f t="shared" si="662"/>
        <v>0</v>
      </c>
      <c r="AA411" s="38">
        <f t="shared" si="662"/>
        <v>0</v>
      </c>
      <c r="AB411" s="38">
        <f t="shared" si="662"/>
        <v>0</v>
      </c>
      <c r="AC411" s="38">
        <f t="shared" si="662"/>
        <v>0</v>
      </c>
      <c r="AD411" s="38">
        <f t="shared" si="662"/>
        <v>0</v>
      </c>
      <c r="AE411" s="30"/>
      <c r="AF411" s="38">
        <f>SUM(AF410:AF410)</f>
        <v>0</v>
      </c>
      <c r="AG411" s="30"/>
      <c r="AH411" s="38">
        <f t="shared" ref="AH411:AZ411" si="663">SUM(AH410:AH410)</f>
        <v>0</v>
      </c>
      <c r="AI411" s="38">
        <f t="shared" si="663"/>
        <v>0</v>
      </c>
      <c r="AJ411" s="38">
        <f t="shared" si="663"/>
        <v>0</v>
      </c>
      <c r="AK411" s="38">
        <f t="shared" si="663"/>
        <v>0</v>
      </c>
      <c r="AL411" s="38">
        <f t="shared" si="663"/>
        <v>0</v>
      </c>
      <c r="AM411" s="38">
        <f t="shared" si="663"/>
        <v>0</v>
      </c>
      <c r="AN411" s="38">
        <f t="shared" si="663"/>
        <v>0</v>
      </c>
      <c r="AO411" s="38">
        <f t="shared" si="663"/>
        <v>0</v>
      </c>
      <c r="AP411" s="38">
        <f t="shared" si="663"/>
        <v>0</v>
      </c>
      <c r="AQ411" s="38">
        <f t="shared" si="663"/>
        <v>0</v>
      </c>
      <c r="AR411" s="38">
        <f t="shared" si="663"/>
        <v>0</v>
      </c>
      <c r="AS411" s="38">
        <f t="shared" si="663"/>
        <v>0</v>
      </c>
      <c r="AT411" s="38">
        <f t="shared" si="663"/>
        <v>0</v>
      </c>
      <c r="AU411" s="38">
        <f t="shared" si="663"/>
        <v>0</v>
      </c>
      <c r="AV411" s="38">
        <f t="shared" si="663"/>
        <v>0</v>
      </c>
      <c r="AW411" s="38">
        <f t="shared" si="663"/>
        <v>0</v>
      </c>
      <c r="AX411" s="38">
        <f t="shared" si="663"/>
        <v>0</v>
      </c>
      <c r="AY411" s="38">
        <f t="shared" si="663"/>
        <v>0</v>
      </c>
      <c r="AZ411" s="38">
        <f t="shared" si="663"/>
        <v>0</v>
      </c>
      <c r="BA411" s="30"/>
      <c r="BB411" s="38">
        <f t="shared" ref="BB411:CT411" si="664">SUM(BB410:BB410)</f>
        <v>0</v>
      </c>
      <c r="BC411" s="38">
        <f t="shared" si="664"/>
        <v>0</v>
      </c>
      <c r="BD411" s="38">
        <f t="shared" si="664"/>
        <v>0</v>
      </c>
      <c r="BE411" s="38">
        <f t="shared" si="664"/>
        <v>0</v>
      </c>
      <c r="BF411" s="38">
        <f t="shared" si="664"/>
        <v>0</v>
      </c>
      <c r="BG411" s="38">
        <f t="shared" si="664"/>
        <v>0</v>
      </c>
      <c r="BH411" s="38">
        <f t="shared" si="664"/>
        <v>0</v>
      </c>
      <c r="BI411" s="38">
        <f t="shared" si="664"/>
        <v>0</v>
      </c>
      <c r="BJ411" s="38">
        <f t="shared" si="664"/>
        <v>0</v>
      </c>
      <c r="BK411" s="38">
        <f t="shared" si="664"/>
        <v>0</v>
      </c>
      <c r="BL411" s="38">
        <f t="shared" si="664"/>
        <v>0</v>
      </c>
      <c r="BM411" s="38">
        <f t="shared" si="664"/>
        <v>0</v>
      </c>
      <c r="BN411" s="38">
        <f t="shared" si="664"/>
        <v>0</v>
      </c>
      <c r="BO411" s="38">
        <f t="shared" si="664"/>
        <v>0</v>
      </c>
      <c r="BP411" s="38">
        <f t="shared" si="664"/>
        <v>0</v>
      </c>
      <c r="BQ411" s="38">
        <f t="shared" si="664"/>
        <v>0</v>
      </c>
      <c r="BR411" s="38">
        <f t="shared" si="664"/>
        <v>0</v>
      </c>
      <c r="BS411" s="38">
        <f t="shared" si="664"/>
        <v>0</v>
      </c>
      <c r="BT411" s="38">
        <f t="shared" si="664"/>
        <v>0</v>
      </c>
      <c r="BU411" s="38">
        <f t="shared" si="664"/>
        <v>0</v>
      </c>
      <c r="BV411" s="38">
        <f t="shared" si="664"/>
        <v>0</v>
      </c>
      <c r="BW411" s="38">
        <f t="shared" si="664"/>
        <v>0</v>
      </c>
      <c r="BX411" s="38">
        <f t="shared" si="664"/>
        <v>0</v>
      </c>
      <c r="BY411" s="38">
        <f t="shared" si="664"/>
        <v>0</v>
      </c>
      <c r="BZ411" s="38">
        <f t="shared" si="664"/>
        <v>0</v>
      </c>
      <c r="CA411" s="38">
        <f t="shared" si="664"/>
        <v>0</v>
      </c>
      <c r="CB411" s="38">
        <f t="shared" si="664"/>
        <v>0</v>
      </c>
      <c r="CC411" s="38">
        <f t="shared" si="664"/>
        <v>0</v>
      </c>
      <c r="CD411" s="38">
        <f t="shared" si="664"/>
        <v>0</v>
      </c>
      <c r="CE411" s="38">
        <f t="shared" si="664"/>
        <v>0</v>
      </c>
      <c r="CF411" s="38">
        <f t="shared" si="664"/>
        <v>0</v>
      </c>
      <c r="CG411" s="38">
        <f t="shared" si="664"/>
        <v>0</v>
      </c>
      <c r="CH411" s="38">
        <f t="shared" si="664"/>
        <v>0</v>
      </c>
      <c r="CI411" s="38">
        <f t="shared" si="664"/>
        <v>0</v>
      </c>
      <c r="CJ411" s="38">
        <f t="shared" si="664"/>
        <v>0</v>
      </c>
      <c r="CK411" s="38">
        <f t="shared" si="664"/>
        <v>0</v>
      </c>
      <c r="CL411" s="38">
        <f t="shared" si="664"/>
        <v>0</v>
      </c>
      <c r="CM411" s="38">
        <f t="shared" si="664"/>
        <v>0</v>
      </c>
      <c r="CN411" s="38">
        <f t="shared" si="664"/>
        <v>0</v>
      </c>
      <c r="CO411" s="38">
        <f t="shared" si="664"/>
        <v>0</v>
      </c>
      <c r="CP411" s="38">
        <f t="shared" si="664"/>
        <v>0</v>
      </c>
      <c r="CQ411" s="38">
        <f t="shared" si="664"/>
        <v>0</v>
      </c>
      <c r="CR411" s="38">
        <f t="shared" si="664"/>
        <v>0</v>
      </c>
      <c r="CS411" s="38">
        <f t="shared" si="664"/>
        <v>0</v>
      </c>
      <c r="CT411" s="38">
        <f t="shared" si="664"/>
        <v>0</v>
      </c>
      <c r="CU411" s="17">
        <f t="shared" si="660"/>
        <v>570</v>
      </c>
      <c r="CV411" s="25">
        <f t="shared" si="661"/>
        <v>0</v>
      </c>
    </row>
    <row r="412" spans="1:100" x14ac:dyDescent="0.2">
      <c r="A412" s="2">
        <v>45888</v>
      </c>
      <c r="B412" s="3" t="s">
        <v>761</v>
      </c>
      <c r="C412" s="4" t="s">
        <v>875</v>
      </c>
      <c r="D412" s="5" t="s">
        <v>122</v>
      </c>
      <c r="E412" s="6" t="s">
        <v>770</v>
      </c>
      <c r="F412" s="7" t="s">
        <v>229</v>
      </c>
      <c r="G412" s="8" t="s">
        <v>440</v>
      </c>
      <c r="H412" s="9">
        <v>141643</v>
      </c>
      <c r="I412" s="10" t="s">
        <v>771</v>
      </c>
      <c r="J412" s="11" t="s">
        <v>772</v>
      </c>
      <c r="K412" s="12">
        <v>1</v>
      </c>
      <c r="L412" s="13">
        <v>1125</v>
      </c>
      <c r="M412" s="14">
        <f t="shared" ref="M412:M414" si="665">L412*K412</f>
        <v>1125</v>
      </c>
      <c r="N412" s="15"/>
      <c r="O412" s="16" t="s">
        <v>111</v>
      </c>
      <c r="P412" s="17">
        <f>M412/1.12*0.01</f>
        <v>10.044642857142858</v>
      </c>
      <c r="Q412" s="18">
        <f>M412/1.12*0.12</f>
        <v>120.53571428571428</v>
      </c>
      <c r="R412" s="17">
        <f>M412+P412-Q412</f>
        <v>1014.5089285714287</v>
      </c>
      <c r="S412" s="19"/>
      <c r="T412" s="19"/>
      <c r="U412" s="19"/>
      <c r="V412" s="19"/>
      <c r="W412" s="17"/>
      <c r="X412" s="20"/>
      <c r="Y412" s="19"/>
      <c r="Z412" s="19"/>
      <c r="AA412" s="19"/>
      <c r="AB412" s="19"/>
      <c r="AC412" s="19"/>
      <c r="AD412" s="19"/>
      <c r="AE412" s="5"/>
      <c r="AF412" s="19"/>
      <c r="AG412" s="5"/>
      <c r="AH412" s="17"/>
      <c r="AI412" s="19"/>
      <c r="AJ412" s="19"/>
      <c r="AK412" s="19"/>
      <c r="AL412" s="19"/>
      <c r="AM412" s="17"/>
      <c r="AN412" s="19"/>
      <c r="AO412" s="19"/>
      <c r="AP412" s="19"/>
      <c r="AQ412" s="19"/>
      <c r="AR412" s="19"/>
      <c r="AS412" s="21"/>
      <c r="AT412" s="5"/>
      <c r="AU412" s="19"/>
      <c r="AV412" s="5"/>
      <c r="AW412" s="22"/>
      <c r="AX412" s="19"/>
      <c r="AY412" s="5"/>
      <c r="AZ412" s="19"/>
      <c r="BA412" s="5"/>
      <c r="BB412" s="5"/>
      <c r="BC412" s="19"/>
      <c r="BD412" s="19"/>
      <c r="BE412" s="19"/>
      <c r="BF412" s="19"/>
      <c r="BG412" s="19"/>
      <c r="BH412" s="19"/>
      <c r="BI412" s="19"/>
      <c r="BJ412" s="19"/>
      <c r="BK412" s="13"/>
      <c r="BL412" s="5"/>
      <c r="BM412" s="5"/>
      <c r="BN412" s="19"/>
      <c r="BO412" s="17"/>
      <c r="BP412" s="19"/>
      <c r="BQ412" s="17"/>
      <c r="BR412" s="19"/>
      <c r="BS412" s="13"/>
      <c r="BT412" s="5"/>
      <c r="BU412" s="23"/>
      <c r="BV412" s="23"/>
      <c r="BW412" s="24"/>
      <c r="BX412" s="5"/>
      <c r="BY412" s="5"/>
      <c r="BZ412" s="5"/>
      <c r="CA412" s="24"/>
      <c r="CB412" s="24"/>
      <c r="CC412" s="24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>
        <f t="shared" si="660"/>
        <v>1125</v>
      </c>
      <c r="CV412" s="25">
        <f t="shared" si="661"/>
        <v>0</v>
      </c>
    </row>
    <row r="413" spans="1:100" x14ac:dyDescent="0.2">
      <c r="A413" s="2"/>
      <c r="B413" s="3"/>
      <c r="C413" s="4"/>
      <c r="D413" s="5"/>
      <c r="E413" s="6"/>
      <c r="F413" s="7"/>
      <c r="G413" s="8"/>
      <c r="H413" s="9"/>
      <c r="I413" s="10"/>
      <c r="J413" s="11" t="s">
        <v>773</v>
      </c>
      <c r="K413" s="12">
        <v>1</v>
      </c>
      <c r="L413" s="13">
        <v>1125</v>
      </c>
      <c r="M413" s="14">
        <f t="shared" si="665"/>
        <v>1125</v>
      </c>
      <c r="N413" s="15"/>
      <c r="O413" s="16" t="s">
        <v>111</v>
      </c>
      <c r="P413" s="17">
        <f t="shared" ref="P413:P414" si="666">M413/1.12*0.01</f>
        <v>10.044642857142858</v>
      </c>
      <c r="Q413" s="18">
        <f t="shared" ref="Q413:Q414" si="667">M413/1.12*0.12</f>
        <v>120.53571428571428</v>
      </c>
      <c r="R413" s="17">
        <f t="shared" ref="R413:R414" si="668">M413+P413-Q413</f>
        <v>1014.5089285714287</v>
      </c>
      <c r="S413" s="19"/>
      <c r="T413" s="19"/>
      <c r="U413" s="19"/>
      <c r="V413" s="19"/>
      <c r="W413" s="17"/>
      <c r="X413" s="20"/>
      <c r="Y413" s="19"/>
      <c r="Z413" s="19"/>
      <c r="AA413" s="19"/>
      <c r="AB413" s="19"/>
      <c r="AC413" s="19"/>
      <c r="AD413" s="19"/>
      <c r="AE413" s="5"/>
      <c r="AF413" s="19"/>
      <c r="AG413" s="5"/>
      <c r="AH413" s="17"/>
      <c r="AI413" s="19"/>
      <c r="AJ413" s="19"/>
      <c r="AK413" s="19"/>
      <c r="AL413" s="19"/>
      <c r="AM413" s="17"/>
      <c r="AN413" s="19"/>
      <c r="AO413" s="19"/>
      <c r="AP413" s="19"/>
      <c r="AQ413" s="19"/>
      <c r="AR413" s="19"/>
      <c r="AS413" s="21"/>
      <c r="AT413" s="5"/>
      <c r="AU413" s="19"/>
      <c r="AV413" s="5"/>
      <c r="AW413" s="22"/>
      <c r="AX413" s="19"/>
      <c r="AY413" s="5"/>
      <c r="AZ413" s="19"/>
      <c r="BA413" s="5"/>
      <c r="BB413" s="5"/>
      <c r="BC413" s="19"/>
      <c r="BD413" s="19"/>
      <c r="BE413" s="19"/>
      <c r="BF413" s="19"/>
      <c r="BG413" s="19"/>
      <c r="BH413" s="19"/>
      <c r="BI413" s="19"/>
      <c r="BJ413" s="19"/>
      <c r="BK413" s="13"/>
      <c r="BL413" s="5"/>
      <c r="BM413" s="5"/>
      <c r="BN413" s="19"/>
      <c r="BO413" s="17"/>
      <c r="BP413" s="19"/>
      <c r="BQ413" s="17"/>
      <c r="BR413" s="19"/>
      <c r="BS413" s="13"/>
      <c r="BT413" s="5"/>
      <c r="BU413" s="23"/>
      <c r="BV413" s="23"/>
      <c r="BW413" s="24"/>
      <c r="BX413" s="5"/>
      <c r="BY413" s="5"/>
      <c r="BZ413" s="5"/>
      <c r="CA413" s="24"/>
      <c r="CB413" s="24"/>
      <c r="CC413" s="24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>
        <f t="shared" si="660"/>
        <v>1125</v>
      </c>
      <c r="CV413" s="25">
        <f t="shared" si="661"/>
        <v>0</v>
      </c>
    </row>
    <row r="414" spans="1:100" x14ac:dyDescent="0.2">
      <c r="A414" s="2"/>
      <c r="B414" s="3"/>
      <c r="C414" s="4"/>
      <c r="D414" s="5"/>
      <c r="E414" s="6"/>
      <c r="F414" s="7"/>
      <c r="G414" s="8"/>
      <c r="H414" s="9"/>
      <c r="I414" s="10"/>
      <c r="J414" s="11" t="s">
        <v>774</v>
      </c>
      <c r="K414" s="12">
        <v>1</v>
      </c>
      <c r="L414" s="13">
        <v>215</v>
      </c>
      <c r="M414" s="14">
        <f t="shared" si="665"/>
        <v>215</v>
      </c>
      <c r="N414" s="15"/>
      <c r="O414" s="16" t="s">
        <v>111</v>
      </c>
      <c r="P414" s="17">
        <f t="shared" si="666"/>
        <v>1.919642857142857</v>
      </c>
      <c r="Q414" s="18">
        <f t="shared" si="667"/>
        <v>23.035714285714281</v>
      </c>
      <c r="R414" s="17">
        <f t="shared" si="668"/>
        <v>193.88392857142858</v>
      </c>
      <c r="S414" s="19"/>
      <c r="T414" s="19"/>
      <c r="U414" s="19"/>
      <c r="V414" s="19"/>
      <c r="W414" s="17"/>
      <c r="X414" s="20"/>
      <c r="Y414" s="19"/>
      <c r="Z414" s="19"/>
      <c r="AA414" s="19"/>
      <c r="AB414" s="19"/>
      <c r="AC414" s="19"/>
      <c r="AD414" s="19"/>
      <c r="AE414" s="5"/>
      <c r="AF414" s="19"/>
      <c r="AG414" s="5"/>
      <c r="AH414" s="17"/>
      <c r="AI414" s="19"/>
      <c r="AJ414" s="19"/>
      <c r="AK414" s="19"/>
      <c r="AL414" s="19"/>
      <c r="AM414" s="17"/>
      <c r="AN414" s="19"/>
      <c r="AO414" s="19"/>
      <c r="AP414" s="19"/>
      <c r="AQ414" s="19"/>
      <c r="AR414" s="19"/>
      <c r="AS414" s="21"/>
      <c r="AT414" s="5"/>
      <c r="AU414" s="19"/>
      <c r="AV414" s="5"/>
      <c r="AW414" s="22"/>
      <c r="AX414" s="19"/>
      <c r="AY414" s="5"/>
      <c r="AZ414" s="19"/>
      <c r="BA414" s="5"/>
      <c r="BB414" s="5"/>
      <c r="BC414" s="19"/>
      <c r="BD414" s="19"/>
      <c r="BE414" s="19"/>
      <c r="BF414" s="19"/>
      <c r="BG414" s="19"/>
      <c r="BH414" s="19"/>
      <c r="BI414" s="19"/>
      <c r="BJ414" s="19"/>
      <c r="BK414" s="13"/>
      <c r="BL414" s="5"/>
      <c r="BM414" s="5"/>
      <c r="BN414" s="19"/>
      <c r="BO414" s="17"/>
      <c r="BP414" s="19"/>
      <c r="BQ414" s="17"/>
      <c r="BR414" s="19"/>
      <c r="BS414" s="13"/>
      <c r="BT414" s="5"/>
      <c r="BU414" s="23"/>
      <c r="BV414" s="23"/>
      <c r="BW414" s="24"/>
      <c r="BX414" s="5"/>
      <c r="BY414" s="5"/>
      <c r="BZ414" s="5"/>
      <c r="CA414" s="24"/>
      <c r="CB414" s="24"/>
      <c r="CC414" s="24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>
        <f t="shared" si="660"/>
        <v>215</v>
      </c>
      <c r="CV414" s="25">
        <f t="shared" si="661"/>
        <v>0</v>
      </c>
    </row>
    <row r="415" spans="1:100" x14ac:dyDescent="0.2">
      <c r="A415" s="27"/>
      <c r="B415" s="28"/>
      <c r="C415" s="29"/>
      <c r="D415" s="30"/>
      <c r="E415" s="31"/>
      <c r="F415" s="32"/>
      <c r="G415" s="33"/>
      <c r="H415" s="34"/>
      <c r="I415" s="34"/>
      <c r="J415" s="35"/>
      <c r="K415" s="36"/>
      <c r="L415" s="37"/>
      <c r="M415" s="38">
        <f>SUM(M412:M414)</f>
        <v>2465</v>
      </c>
      <c r="N415" s="38"/>
      <c r="O415" s="39" t="s">
        <v>111</v>
      </c>
      <c r="P415" s="38">
        <f>SUM(P412:P414)</f>
        <v>22.008928571428573</v>
      </c>
      <c r="Q415" s="38">
        <f>SUM(Q412:Q414)</f>
        <v>264.10714285714283</v>
      </c>
      <c r="R415" s="38">
        <f>SUM(R412:R414)</f>
        <v>2222.9017857142858</v>
      </c>
      <c r="S415" s="38">
        <f t="shared" ref="S415:AD415" si="669">SUM(S412:S412)</f>
        <v>0</v>
      </c>
      <c r="T415" s="38">
        <f t="shared" si="669"/>
        <v>0</v>
      </c>
      <c r="U415" s="38">
        <f t="shared" si="669"/>
        <v>0</v>
      </c>
      <c r="V415" s="38">
        <f t="shared" si="669"/>
        <v>0</v>
      </c>
      <c r="W415" s="38">
        <f t="shared" si="669"/>
        <v>0</v>
      </c>
      <c r="X415" s="38">
        <f t="shared" si="669"/>
        <v>0</v>
      </c>
      <c r="Y415" s="38">
        <f t="shared" si="669"/>
        <v>0</v>
      </c>
      <c r="Z415" s="38">
        <f t="shared" si="669"/>
        <v>0</v>
      </c>
      <c r="AA415" s="38">
        <f t="shared" si="669"/>
        <v>0</v>
      </c>
      <c r="AB415" s="38">
        <f t="shared" si="669"/>
        <v>0</v>
      </c>
      <c r="AC415" s="38">
        <f t="shared" si="669"/>
        <v>0</v>
      </c>
      <c r="AD415" s="38">
        <f t="shared" si="669"/>
        <v>0</v>
      </c>
      <c r="AE415" s="30"/>
      <c r="AF415" s="38">
        <f>SUM(AF412:AF412)</f>
        <v>0</v>
      </c>
      <c r="AG415" s="30"/>
      <c r="AH415" s="38">
        <f t="shared" ref="AH415:AZ415" si="670">SUM(AH412:AH412)</f>
        <v>0</v>
      </c>
      <c r="AI415" s="38">
        <f t="shared" si="670"/>
        <v>0</v>
      </c>
      <c r="AJ415" s="38">
        <f t="shared" si="670"/>
        <v>0</v>
      </c>
      <c r="AK415" s="38">
        <f t="shared" si="670"/>
        <v>0</v>
      </c>
      <c r="AL415" s="38">
        <f t="shared" si="670"/>
        <v>0</v>
      </c>
      <c r="AM415" s="38">
        <f t="shared" si="670"/>
        <v>0</v>
      </c>
      <c r="AN415" s="38">
        <f t="shared" si="670"/>
        <v>0</v>
      </c>
      <c r="AO415" s="38">
        <f t="shared" si="670"/>
        <v>0</v>
      </c>
      <c r="AP415" s="38">
        <f t="shared" si="670"/>
        <v>0</v>
      </c>
      <c r="AQ415" s="38">
        <f t="shared" si="670"/>
        <v>0</v>
      </c>
      <c r="AR415" s="38">
        <f t="shared" si="670"/>
        <v>0</v>
      </c>
      <c r="AS415" s="38">
        <f t="shared" si="670"/>
        <v>0</v>
      </c>
      <c r="AT415" s="38">
        <f t="shared" si="670"/>
        <v>0</v>
      </c>
      <c r="AU415" s="38">
        <f t="shared" si="670"/>
        <v>0</v>
      </c>
      <c r="AV415" s="38">
        <f t="shared" si="670"/>
        <v>0</v>
      </c>
      <c r="AW415" s="38">
        <f t="shared" si="670"/>
        <v>0</v>
      </c>
      <c r="AX415" s="38">
        <f t="shared" si="670"/>
        <v>0</v>
      </c>
      <c r="AY415" s="38">
        <f t="shared" si="670"/>
        <v>0</v>
      </c>
      <c r="AZ415" s="38">
        <f t="shared" si="670"/>
        <v>0</v>
      </c>
      <c r="BA415" s="30"/>
      <c r="BB415" s="38">
        <f t="shared" ref="BB415:CT415" si="671">SUM(BB412:BB412)</f>
        <v>0</v>
      </c>
      <c r="BC415" s="38">
        <f t="shared" si="671"/>
        <v>0</v>
      </c>
      <c r="BD415" s="38">
        <f t="shared" si="671"/>
        <v>0</v>
      </c>
      <c r="BE415" s="38">
        <f t="shared" si="671"/>
        <v>0</v>
      </c>
      <c r="BF415" s="38">
        <f t="shared" si="671"/>
        <v>0</v>
      </c>
      <c r="BG415" s="38">
        <f t="shared" si="671"/>
        <v>0</v>
      </c>
      <c r="BH415" s="38">
        <f t="shared" si="671"/>
        <v>0</v>
      </c>
      <c r="BI415" s="38">
        <f t="shared" si="671"/>
        <v>0</v>
      </c>
      <c r="BJ415" s="38">
        <f t="shared" si="671"/>
        <v>0</v>
      </c>
      <c r="BK415" s="38">
        <f t="shared" si="671"/>
        <v>0</v>
      </c>
      <c r="BL415" s="38">
        <f t="shared" si="671"/>
        <v>0</v>
      </c>
      <c r="BM415" s="38">
        <f t="shared" si="671"/>
        <v>0</v>
      </c>
      <c r="BN415" s="38">
        <f t="shared" si="671"/>
        <v>0</v>
      </c>
      <c r="BO415" s="38">
        <f t="shared" si="671"/>
        <v>0</v>
      </c>
      <c r="BP415" s="38">
        <f t="shared" si="671"/>
        <v>0</v>
      </c>
      <c r="BQ415" s="38">
        <f t="shared" si="671"/>
        <v>0</v>
      </c>
      <c r="BR415" s="38">
        <f t="shared" si="671"/>
        <v>0</v>
      </c>
      <c r="BS415" s="38">
        <f t="shared" si="671"/>
        <v>0</v>
      </c>
      <c r="BT415" s="38">
        <f t="shared" si="671"/>
        <v>0</v>
      </c>
      <c r="BU415" s="38">
        <f t="shared" si="671"/>
        <v>0</v>
      </c>
      <c r="BV415" s="38">
        <f t="shared" si="671"/>
        <v>0</v>
      </c>
      <c r="BW415" s="38">
        <f t="shared" si="671"/>
        <v>0</v>
      </c>
      <c r="BX415" s="38">
        <f t="shared" si="671"/>
        <v>0</v>
      </c>
      <c r="BY415" s="38">
        <f t="shared" si="671"/>
        <v>0</v>
      </c>
      <c r="BZ415" s="38">
        <f t="shared" si="671"/>
        <v>0</v>
      </c>
      <c r="CA415" s="38">
        <f t="shared" si="671"/>
        <v>0</v>
      </c>
      <c r="CB415" s="38">
        <f t="shared" si="671"/>
        <v>0</v>
      </c>
      <c r="CC415" s="38">
        <f t="shared" si="671"/>
        <v>0</v>
      </c>
      <c r="CD415" s="38">
        <f t="shared" si="671"/>
        <v>0</v>
      </c>
      <c r="CE415" s="38">
        <f t="shared" si="671"/>
        <v>0</v>
      </c>
      <c r="CF415" s="38">
        <f t="shared" si="671"/>
        <v>0</v>
      </c>
      <c r="CG415" s="38">
        <f t="shared" si="671"/>
        <v>0</v>
      </c>
      <c r="CH415" s="38">
        <f t="shared" si="671"/>
        <v>0</v>
      </c>
      <c r="CI415" s="38">
        <f t="shared" si="671"/>
        <v>0</v>
      </c>
      <c r="CJ415" s="38">
        <f t="shared" si="671"/>
        <v>0</v>
      </c>
      <c r="CK415" s="38">
        <f t="shared" si="671"/>
        <v>0</v>
      </c>
      <c r="CL415" s="38">
        <f t="shared" si="671"/>
        <v>0</v>
      </c>
      <c r="CM415" s="38">
        <f t="shared" si="671"/>
        <v>0</v>
      </c>
      <c r="CN415" s="38">
        <f t="shared" si="671"/>
        <v>0</v>
      </c>
      <c r="CO415" s="38">
        <f t="shared" si="671"/>
        <v>0</v>
      </c>
      <c r="CP415" s="38">
        <f t="shared" si="671"/>
        <v>0</v>
      </c>
      <c r="CQ415" s="38">
        <f t="shared" si="671"/>
        <v>0</v>
      </c>
      <c r="CR415" s="38">
        <f t="shared" si="671"/>
        <v>0</v>
      </c>
      <c r="CS415" s="38">
        <f t="shared" si="671"/>
        <v>0</v>
      </c>
      <c r="CT415" s="38">
        <f t="shared" si="671"/>
        <v>0</v>
      </c>
      <c r="CU415" s="17">
        <f t="shared" si="660"/>
        <v>2465</v>
      </c>
      <c r="CV415" s="25">
        <f t="shared" si="661"/>
        <v>0</v>
      </c>
    </row>
    <row r="416" spans="1:100" x14ac:dyDescent="0.2">
      <c r="A416" s="2">
        <v>45888</v>
      </c>
      <c r="B416" s="3" t="s">
        <v>761</v>
      </c>
      <c r="C416" s="4" t="s">
        <v>876</v>
      </c>
      <c r="D416" s="5" t="s">
        <v>122</v>
      </c>
      <c r="E416" s="6" t="s">
        <v>316</v>
      </c>
      <c r="F416" s="7" t="s">
        <v>296</v>
      </c>
      <c r="G416" s="8" t="s">
        <v>164</v>
      </c>
      <c r="H416" s="9">
        <v>433856</v>
      </c>
      <c r="I416" s="10" t="s">
        <v>775</v>
      </c>
      <c r="J416" s="11" t="s">
        <v>776</v>
      </c>
      <c r="K416" s="12">
        <v>4.82</v>
      </c>
      <c r="L416" s="13">
        <v>395</v>
      </c>
      <c r="M416" s="14">
        <f t="shared" ref="M416:M421" si="672">L416*K416</f>
        <v>1903.9</v>
      </c>
      <c r="N416" s="15"/>
      <c r="O416" s="16" t="s">
        <v>111</v>
      </c>
      <c r="P416" s="17">
        <f>M416/1.12*0.01</f>
        <v>16.999107142857142</v>
      </c>
      <c r="Q416" s="18">
        <f>M416/1.12*0.12</f>
        <v>203.9892857142857</v>
      </c>
      <c r="R416" s="17">
        <f>M416+P416-Q416</f>
        <v>1716.9098214285716</v>
      </c>
      <c r="S416" s="19"/>
      <c r="T416" s="19"/>
      <c r="U416" s="19"/>
      <c r="V416" s="19"/>
      <c r="W416" s="17"/>
      <c r="X416" s="20"/>
      <c r="Y416" s="19"/>
      <c r="Z416" s="19"/>
      <c r="AA416" s="19"/>
      <c r="AB416" s="19"/>
      <c r="AC416" s="19"/>
      <c r="AD416" s="19"/>
      <c r="AE416" s="5"/>
      <c r="AF416" s="19"/>
      <c r="AG416" s="5"/>
      <c r="AH416" s="17"/>
      <c r="AI416" s="19"/>
      <c r="AJ416" s="19"/>
      <c r="AK416" s="19"/>
      <c r="AL416" s="19"/>
      <c r="AM416" s="17"/>
      <c r="AN416" s="19"/>
      <c r="AO416" s="19"/>
      <c r="AP416" s="19"/>
      <c r="AQ416" s="19"/>
      <c r="AR416" s="19"/>
      <c r="AS416" s="21"/>
      <c r="AT416" s="5"/>
      <c r="AU416" s="19"/>
      <c r="AV416" s="5"/>
      <c r="AW416" s="22"/>
      <c r="AX416" s="19"/>
      <c r="AY416" s="5"/>
      <c r="AZ416" s="19"/>
      <c r="BA416" s="5"/>
      <c r="BB416" s="5"/>
      <c r="BC416" s="19"/>
      <c r="BD416" s="19"/>
      <c r="BE416" s="19"/>
      <c r="BF416" s="19"/>
      <c r="BG416" s="19"/>
      <c r="BH416" s="19"/>
      <c r="BI416" s="19"/>
      <c r="BJ416" s="19"/>
      <c r="BK416" s="13"/>
      <c r="BL416" s="5"/>
      <c r="BM416" s="5"/>
      <c r="BN416" s="19"/>
      <c r="BO416" s="17"/>
      <c r="BP416" s="19"/>
      <c r="BQ416" s="17"/>
      <c r="BR416" s="19"/>
      <c r="BS416" s="13"/>
      <c r="BT416" s="5"/>
      <c r="BU416" s="23"/>
      <c r="BV416" s="23"/>
      <c r="BW416" s="24"/>
      <c r="BX416" s="5"/>
      <c r="BY416" s="5"/>
      <c r="BZ416" s="5"/>
      <c r="CA416" s="24"/>
      <c r="CB416" s="24"/>
      <c r="CC416" s="24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>
        <f t="shared" si="660"/>
        <v>1903.9</v>
      </c>
      <c r="CV416" s="25">
        <f t="shared" si="661"/>
        <v>0</v>
      </c>
    </row>
    <row r="417" spans="1:100" x14ac:dyDescent="0.2">
      <c r="A417" s="2"/>
      <c r="B417" s="3"/>
      <c r="C417" s="4"/>
      <c r="D417" s="5"/>
      <c r="E417" s="6"/>
      <c r="F417" s="7"/>
      <c r="G417" s="8"/>
      <c r="H417" s="9"/>
      <c r="I417" s="10"/>
      <c r="J417" s="11" t="s">
        <v>777</v>
      </c>
      <c r="K417" s="12">
        <v>1</v>
      </c>
      <c r="L417" s="13">
        <v>454</v>
      </c>
      <c r="M417" s="14">
        <f t="shared" si="672"/>
        <v>454</v>
      </c>
      <c r="N417" s="15"/>
      <c r="O417" s="16" t="s">
        <v>111</v>
      </c>
      <c r="P417" s="17">
        <f t="shared" ref="P417:P421" si="673">M417/1.12*0.01</f>
        <v>4.0535714285714288</v>
      </c>
      <c r="Q417" s="18">
        <f t="shared" ref="Q417:Q421" si="674">M417/1.12*0.12</f>
        <v>48.642857142857139</v>
      </c>
      <c r="R417" s="17">
        <f t="shared" ref="R417:R421" si="675">M417+P417-Q417</f>
        <v>409.41071428571433</v>
      </c>
      <c r="S417" s="19"/>
      <c r="T417" s="19"/>
      <c r="U417" s="19"/>
      <c r="V417" s="19"/>
      <c r="W417" s="17"/>
      <c r="X417" s="20"/>
      <c r="Y417" s="19"/>
      <c r="Z417" s="19"/>
      <c r="AA417" s="19"/>
      <c r="AB417" s="19"/>
      <c r="AC417" s="19"/>
      <c r="AD417" s="19"/>
      <c r="AE417" s="5"/>
      <c r="AF417" s="19"/>
      <c r="AG417" s="5"/>
      <c r="AH417" s="17"/>
      <c r="AI417" s="19"/>
      <c r="AJ417" s="19"/>
      <c r="AK417" s="19"/>
      <c r="AL417" s="19"/>
      <c r="AM417" s="17"/>
      <c r="AN417" s="19"/>
      <c r="AO417" s="19"/>
      <c r="AP417" s="19"/>
      <c r="AQ417" s="19"/>
      <c r="AR417" s="19"/>
      <c r="AS417" s="21"/>
      <c r="AT417" s="5"/>
      <c r="AU417" s="19"/>
      <c r="AV417" s="5"/>
      <c r="AW417" s="22"/>
      <c r="AX417" s="19"/>
      <c r="AY417" s="5"/>
      <c r="AZ417" s="19"/>
      <c r="BA417" s="5"/>
      <c r="BB417" s="5"/>
      <c r="BC417" s="19"/>
      <c r="BD417" s="19"/>
      <c r="BE417" s="19"/>
      <c r="BF417" s="19"/>
      <c r="BG417" s="19"/>
      <c r="BH417" s="19"/>
      <c r="BI417" s="19"/>
      <c r="BJ417" s="19"/>
      <c r="BK417" s="13"/>
      <c r="BL417" s="5"/>
      <c r="BM417" s="5"/>
      <c r="BN417" s="19"/>
      <c r="BO417" s="17"/>
      <c r="BP417" s="19"/>
      <c r="BQ417" s="17"/>
      <c r="BR417" s="19"/>
      <c r="BS417" s="13"/>
      <c r="BT417" s="5"/>
      <c r="BU417" s="23"/>
      <c r="BV417" s="23"/>
      <c r="BW417" s="24"/>
      <c r="BX417" s="5"/>
      <c r="BY417" s="5"/>
      <c r="BZ417" s="5"/>
      <c r="CA417" s="24"/>
      <c r="CB417" s="24"/>
      <c r="CC417" s="24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>
        <f t="shared" si="660"/>
        <v>454</v>
      </c>
      <c r="CV417" s="25">
        <f t="shared" si="661"/>
        <v>0</v>
      </c>
    </row>
    <row r="418" spans="1:100" x14ac:dyDescent="0.2">
      <c r="A418" s="2"/>
      <c r="B418" s="3"/>
      <c r="C418" s="4"/>
      <c r="D418" s="5"/>
      <c r="E418" s="6"/>
      <c r="F418" s="7"/>
      <c r="G418" s="8"/>
      <c r="H418" s="9"/>
      <c r="I418" s="10"/>
      <c r="J418" s="11" t="s">
        <v>778</v>
      </c>
      <c r="K418" s="12">
        <v>5</v>
      </c>
      <c r="L418" s="13">
        <v>89</v>
      </c>
      <c r="M418" s="14">
        <f t="shared" si="672"/>
        <v>445</v>
      </c>
      <c r="N418" s="15"/>
      <c r="O418" s="16" t="s">
        <v>111</v>
      </c>
      <c r="P418" s="17">
        <f t="shared" si="673"/>
        <v>3.9732142857142856</v>
      </c>
      <c r="Q418" s="18">
        <f t="shared" si="674"/>
        <v>47.678571428571423</v>
      </c>
      <c r="R418" s="17">
        <f t="shared" si="675"/>
        <v>401.29464285714283</v>
      </c>
      <c r="S418" s="19"/>
      <c r="T418" s="19"/>
      <c r="U418" s="19"/>
      <c r="V418" s="19"/>
      <c r="W418" s="17"/>
      <c r="X418" s="20"/>
      <c r="Y418" s="19"/>
      <c r="Z418" s="19"/>
      <c r="AA418" s="19"/>
      <c r="AB418" s="19"/>
      <c r="AC418" s="19"/>
      <c r="AD418" s="19"/>
      <c r="AE418" s="5"/>
      <c r="AF418" s="19"/>
      <c r="AG418" s="5"/>
      <c r="AH418" s="17"/>
      <c r="AI418" s="19"/>
      <c r="AJ418" s="19"/>
      <c r="AK418" s="19"/>
      <c r="AL418" s="19"/>
      <c r="AM418" s="17"/>
      <c r="AN418" s="19"/>
      <c r="AO418" s="19"/>
      <c r="AP418" s="19"/>
      <c r="AQ418" s="19"/>
      <c r="AR418" s="19"/>
      <c r="AS418" s="21"/>
      <c r="AT418" s="5"/>
      <c r="AU418" s="19"/>
      <c r="AV418" s="5"/>
      <c r="AW418" s="22"/>
      <c r="AX418" s="19"/>
      <c r="AY418" s="5"/>
      <c r="AZ418" s="19"/>
      <c r="BA418" s="5"/>
      <c r="BB418" s="5"/>
      <c r="BC418" s="19"/>
      <c r="BD418" s="19"/>
      <c r="BE418" s="19"/>
      <c r="BF418" s="19"/>
      <c r="BG418" s="19"/>
      <c r="BH418" s="19"/>
      <c r="BI418" s="19"/>
      <c r="BJ418" s="19"/>
      <c r="BK418" s="13"/>
      <c r="BL418" s="5"/>
      <c r="BM418" s="5"/>
      <c r="BN418" s="19"/>
      <c r="BO418" s="17"/>
      <c r="BP418" s="19"/>
      <c r="BQ418" s="17"/>
      <c r="BR418" s="19"/>
      <c r="BS418" s="13"/>
      <c r="BT418" s="5"/>
      <c r="BU418" s="23"/>
      <c r="BV418" s="23"/>
      <c r="BW418" s="24"/>
      <c r="BX418" s="5"/>
      <c r="BY418" s="5"/>
      <c r="BZ418" s="5"/>
      <c r="CA418" s="24"/>
      <c r="CB418" s="24"/>
      <c r="CC418" s="24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>
        <f t="shared" si="660"/>
        <v>445</v>
      </c>
      <c r="CV418" s="25">
        <f t="shared" si="661"/>
        <v>0</v>
      </c>
    </row>
    <row r="419" spans="1:100" x14ac:dyDescent="0.2">
      <c r="A419" s="2"/>
      <c r="B419" s="3"/>
      <c r="C419" s="4"/>
      <c r="D419" s="5"/>
      <c r="E419" s="6"/>
      <c r="F419" s="7"/>
      <c r="G419" s="8"/>
      <c r="H419" s="9"/>
      <c r="I419" s="10"/>
      <c r="J419" s="11" t="s">
        <v>779</v>
      </c>
      <c r="K419" s="12">
        <v>10</v>
      </c>
      <c r="L419" s="13">
        <v>65.75</v>
      </c>
      <c r="M419" s="14">
        <f t="shared" si="672"/>
        <v>657.5</v>
      </c>
      <c r="N419" s="15"/>
      <c r="O419" s="16" t="s">
        <v>111</v>
      </c>
      <c r="P419" s="17">
        <f t="shared" si="673"/>
        <v>5.8705357142857135</v>
      </c>
      <c r="Q419" s="18">
        <f t="shared" si="674"/>
        <v>70.446428571428555</v>
      </c>
      <c r="R419" s="17">
        <f t="shared" si="675"/>
        <v>592.92410714285711</v>
      </c>
      <c r="S419" s="19"/>
      <c r="T419" s="19"/>
      <c r="U419" s="19"/>
      <c r="V419" s="19"/>
      <c r="W419" s="17"/>
      <c r="X419" s="20"/>
      <c r="Y419" s="19"/>
      <c r="Z419" s="19"/>
      <c r="AA419" s="19"/>
      <c r="AB419" s="19"/>
      <c r="AC419" s="19"/>
      <c r="AD419" s="19"/>
      <c r="AE419" s="5"/>
      <c r="AF419" s="19"/>
      <c r="AG419" s="5"/>
      <c r="AH419" s="17"/>
      <c r="AI419" s="19"/>
      <c r="AJ419" s="19"/>
      <c r="AK419" s="19"/>
      <c r="AL419" s="19"/>
      <c r="AM419" s="17"/>
      <c r="AN419" s="19"/>
      <c r="AO419" s="19"/>
      <c r="AP419" s="19"/>
      <c r="AQ419" s="19"/>
      <c r="AR419" s="19"/>
      <c r="AS419" s="21"/>
      <c r="AT419" s="5"/>
      <c r="AU419" s="19"/>
      <c r="AV419" s="5"/>
      <c r="AW419" s="22"/>
      <c r="AX419" s="19"/>
      <c r="AY419" s="5"/>
      <c r="AZ419" s="19"/>
      <c r="BA419" s="5"/>
      <c r="BB419" s="5"/>
      <c r="BC419" s="19"/>
      <c r="BD419" s="19"/>
      <c r="BE419" s="19"/>
      <c r="BF419" s="19"/>
      <c r="BG419" s="19"/>
      <c r="BH419" s="19"/>
      <c r="BI419" s="19"/>
      <c r="BJ419" s="19"/>
      <c r="BK419" s="13"/>
      <c r="BL419" s="5"/>
      <c r="BM419" s="5"/>
      <c r="BN419" s="19"/>
      <c r="BO419" s="17"/>
      <c r="BP419" s="19"/>
      <c r="BQ419" s="17"/>
      <c r="BR419" s="19"/>
      <c r="BS419" s="13"/>
      <c r="BT419" s="5"/>
      <c r="BU419" s="23"/>
      <c r="BV419" s="23"/>
      <c r="BW419" s="24"/>
      <c r="BX419" s="5"/>
      <c r="BY419" s="5"/>
      <c r="BZ419" s="5"/>
      <c r="CA419" s="24"/>
      <c r="CB419" s="24"/>
      <c r="CC419" s="24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>
        <f t="shared" si="660"/>
        <v>657.5</v>
      </c>
      <c r="CV419" s="25">
        <f t="shared" si="661"/>
        <v>0</v>
      </c>
    </row>
    <row r="420" spans="1:100" x14ac:dyDescent="0.2">
      <c r="A420" s="2"/>
      <c r="B420" s="3"/>
      <c r="C420" s="4"/>
      <c r="D420" s="5"/>
      <c r="E420" s="6"/>
      <c r="F420" s="7"/>
      <c r="G420" s="8"/>
      <c r="H420" s="9"/>
      <c r="I420" s="10"/>
      <c r="J420" s="11" t="s">
        <v>780</v>
      </c>
      <c r="K420" s="12">
        <v>5</v>
      </c>
      <c r="L420" s="13">
        <v>166.85</v>
      </c>
      <c r="M420" s="14">
        <f t="shared" si="672"/>
        <v>834.25</v>
      </c>
      <c r="N420" s="15"/>
      <c r="O420" s="16" t="s">
        <v>111</v>
      </c>
      <c r="P420" s="17">
        <f t="shared" si="673"/>
        <v>7.4486607142857135</v>
      </c>
      <c r="Q420" s="18">
        <f t="shared" si="674"/>
        <v>89.383928571428555</v>
      </c>
      <c r="R420" s="17">
        <f t="shared" si="675"/>
        <v>752.31473214285711</v>
      </c>
      <c r="S420" s="19"/>
      <c r="T420" s="19"/>
      <c r="U420" s="19"/>
      <c r="V420" s="19"/>
      <c r="W420" s="17"/>
      <c r="X420" s="20"/>
      <c r="Y420" s="19"/>
      <c r="Z420" s="19"/>
      <c r="AA420" s="19"/>
      <c r="AB420" s="19"/>
      <c r="AC420" s="19"/>
      <c r="AD420" s="19"/>
      <c r="AE420" s="5"/>
      <c r="AF420" s="19"/>
      <c r="AG420" s="5"/>
      <c r="AH420" s="17"/>
      <c r="AI420" s="19"/>
      <c r="AJ420" s="19"/>
      <c r="AK420" s="19"/>
      <c r="AL420" s="19"/>
      <c r="AM420" s="17"/>
      <c r="AN420" s="19"/>
      <c r="AO420" s="19"/>
      <c r="AP420" s="19"/>
      <c r="AQ420" s="19"/>
      <c r="AR420" s="19"/>
      <c r="AS420" s="21"/>
      <c r="AT420" s="5"/>
      <c r="AU420" s="19"/>
      <c r="AV420" s="5"/>
      <c r="AW420" s="22"/>
      <c r="AX420" s="19"/>
      <c r="AY420" s="5"/>
      <c r="AZ420" s="19"/>
      <c r="BA420" s="5"/>
      <c r="BB420" s="5"/>
      <c r="BC420" s="19"/>
      <c r="BD420" s="19"/>
      <c r="BE420" s="19"/>
      <c r="BF420" s="19"/>
      <c r="BG420" s="19"/>
      <c r="BH420" s="19"/>
      <c r="BI420" s="19"/>
      <c r="BJ420" s="19"/>
      <c r="BK420" s="13"/>
      <c r="BL420" s="5"/>
      <c r="BM420" s="5"/>
      <c r="BN420" s="19"/>
      <c r="BO420" s="17"/>
      <c r="BP420" s="19"/>
      <c r="BQ420" s="17"/>
      <c r="BR420" s="19"/>
      <c r="BS420" s="13"/>
      <c r="BT420" s="5"/>
      <c r="BU420" s="23"/>
      <c r="BV420" s="23"/>
      <c r="BW420" s="24"/>
      <c r="BX420" s="5"/>
      <c r="BY420" s="5"/>
      <c r="BZ420" s="5"/>
      <c r="CA420" s="24"/>
      <c r="CB420" s="24"/>
      <c r="CC420" s="24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>
        <f t="shared" si="660"/>
        <v>834.25</v>
      </c>
      <c r="CV420" s="25">
        <f t="shared" si="661"/>
        <v>0</v>
      </c>
    </row>
    <row r="421" spans="1:100" x14ac:dyDescent="0.2">
      <c r="A421" s="2"/>
      <c r="B421" s="3"/>
      <c r="C421" s="4"/>
      <c r="D421" s="5"/>
      <c r="E421" s="6"/>
      <c r="F421" s="7"/>
      <c r="G421" s="8"/>
      <c r="H421" s="9"/>
      <c r="I421" s="10"/>
      <c r="J421" s="11" t="s">
        <v>781</v>
      </c>
      <c r="K421" s="12">
        <v>3</v>
      </c>
      <c r="L421" s="13">
        <v>332.55</v>
      </c>
      <c r="M421" s="14">
        <f t="shared" si="672"/>
        <v>997.65000000000009</v>
      </c>
      <c r="N421" s="15"/>
      <c r="O421" s="16" t="s">
        <v>111</v>
      </c>
      <c r="P421" s="17">
        <f t="shared" si="673"/>
        <v>8.9075892857142858</v>
      </c>
      <c r="Q421" s="18">
        <f t="shared" si="674"/>
        <v>106.89107142857142</v>
      </c>
      <c r="R421" s="17">
        <f t="shared" si="675"/>
        <v>899.66651785714294</v>
      </c>
      <c r="S421" s="19"/>
      <c r="T421" s="19"/>
      <c r="U421" s="19"/>
      <c r="V421" s="19"/>
      <c r="W421" s="17"/>
      <c r="X421" s="20"/>
      <c r="Y421" s="19"/>
      <c r="Z421" s="19"/>
      <c r="AA421" s="19"/>
      <c r="AB421" s="19"/>
      <c r="AC421" s="19"/>
      <c r="AD421" s="19"/>
      <c r="AE421" s="5"/>
      <c r="AF421" s="19"/>
      <c r="AG421" s="5"/>
      <c r="AH421" s="17"/>
      <c r="AI421" s="19"/>
      <c r="AJ421" s="19"/>
      <c r="AK421" s="19"/>
      <c r="AL421" s="19"/>
      <c r="AM421" s="17"/>
      <c r="AN421" s="19"/>
      <c r="AO421" s="19"/>
      <c r="AP421" s="19"/>
      <c r="AQ421" s="19"/>
      <c r="AR421" s="19"/>
      <c r="AS421" s="21"/>
      <c r="AT421" s="5"/>
      <c r="AU421" s="19"/>
      <c r="AV421" s="5"/>
      <c r="AW421" s="22"/>
      <c r="AX421" s="19"/>
      <c r="AY421" s="5"/>
      <c r="AZ421" s="19"/>
      <c r="BA421" s="5"/>
      <c r="BB421" s="5"/>
      <c r="BC421" s="19"/>
      <c r="BD421" s="19"/>
      <c r="BE421" s="19"/>
      <c r="BF421" s="19"/>
      <c r="BG421" s="19"/>
      <c r="BH421" s="19"/>
      <c r="BI421" s="19"/>
      <c r="BJ421" s="19"/>
      <c r="BK421" s="13"/>
      <c r="BL421" s="5"/>
      <c r="BM421" s="5"/>
      <c r="BN421" s="19"/>
      <c r="BO421" s="17"/>
      <c r="BP421" s="19"/>
      <c r="BQ421" s="17"/>
      <c r="BR421" s="19"/>
      <c r="BS421" s="13"/>
      <c r="BT421" s="5"/>
      <c r="BU421" s="23"/>
      <c r="BV421" s="23"/>
      <c r="BW421" s="24"/>
      <c r="BX421" s="5"/>
      <c r="BY421" s="5"/>
      <c r="BZ421" s="5"/>
      <c r="CA421" s="24"/>
      <c r="CB421" s="24"/>
      <c r="CC421" s="24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>
        <f t="shared" si="660"/>
        <v>997.65000000000009</v>
      </c>
      <c r="CV421" s="25">
        <f t="shared" si="661"/>
        <v>0</v>
      </c>
    </row>
    <row r="422" spans="1:100" x14ac:dyDescent="0.2">
      <c r="A422" s="27"/>
      <c r="B422" s="28"/>
      <c r="C422" s="29"/>
      <c r="D422" s="30"/>
      <c r="E422" s="31"/>
      <c r="F422" s="32"/>
      <c r="G422" s="33"/>
      <c r="H422" s="34"/>
      <c r="I422" s="34"/>
      <c r="J422" s="35"/>
      <c r="K422" s="36"/>
      <c r="L422" s="37"/>
      <c r="M422" s="38">
        <f>SUM(M416:M421)</f>
        <v>5292.2999999999993</v>
      </c>
      <c r="N422" s="38"/>
      <c r="O422" s="39" t="s">
        <v>111</v>
      </c>
      <c r="P422" s="38">
        <f>SUM(P416:P421)</f>
        <v>47.252678571428575</v>
      </c>
      <c r="Q422" s="38">
        <f>SUM(Q416:Q421)</f>
        <v>567.03214285714284</v>
      </c>
      <c r="R422" s="38">
        <f>SUM(R416:R421)</f>
        <v>4772.5205357142859</v>
      </c>
      <c r="S422" s="38">
        <f t="shared" ref="S422:AD422" si="676">SUM(S416:S416)</f>
        <v>0</v>
      </c>
      <c r="T422" s="38">
        <f t="shared" si="676"/>
        <v>0</v>
      </c>
      <c r="U422" s="38">
        <f t="shared" si="676"/>
        <v>0</v>
      </c>
      <c r="V422" s="38">
        <f t="shared" si="676"/>
        <v>0</v>
      </c>
      <c r="W422" s="38">
        <f t="shared" si="676"/>
        <v>0</v>
      </c>
      <c r="X422" s="38">
        <f t="shared" si="676"/>
        <v>0</v>
      </c>
      <c r="Y422" s="38">
        <f t="shared" si="676"/>
        <v>0</v>
      </c>
      <c r="Z422" s="38">
        <f t="shared" si="676"/>
        <v>0</v>
      </c>
      <c r="AA422" s="38">
        <f t="shared" si="676"/>
        <v>0</v>
      </c>
      <c r="AB422" s="38">
        <f t="shared" si="676"/>
        <v>0</v>
      </c>
      <c r="AC422" s="38">
        <f t="shared" si="676"/>
        <v>0</v>
      </c>
      <c r="AD422" s="38">
        <f t="shared" si="676"/>
        <v>0</v>
      </c>
      <c r="AE422" s="30"/>
      <c r="AF422" s="38">
        <f>SUM(AF416:AF416)</f>
        <v>0</v>
      </c>
      <c r="AG422" s="30"/>
      <c r="AH422" s="38">
        <f t="shared" ref="AH422:AZ422" si="677">SUM(AH416:AH416)</f>
        <v>0</v>
      </c>
      <c r="AI422" s="38">
        <f t="shared" si="677"/>
        <v>0</v>
      </c>
      <c r="AJ422" s="38">
        <f t="shared" si="677"/>
        <v>0</v>
      </c>
      <c r="AK422" s="38">
        <f t="shared" si="677"/>
        <v>0</v>
      </c>
      <c r="AL422" s="38">
        <f t="shared" si="677"/>
        <v>0</v>
      </c>
      <c r="AM422" s="38">
        <f t="shared" si="677"/>
        <v>0</v>
      </c>
      <c r="AN422" s="38">
        <f t="shared" si="677"/>
        <v>0</v>
      </c>
      <c r="AO422" s="38">
        <f t="shared" si="677"/>
        <v>0</v>
      </c>
      <c r="AP422" s="38">
        <f t="shared" si="677"/>
        <v>0</v>
      </c>
      <c r="AQ422" s="38">
        <f t="shared" si="677"/>
        <v>0</v>
      </c>
      <c r="AR422" s="38">
        <f t="shared" si="677"/>
        <v>0</v>
      </c>
      <c r="AS422" s="38">
        <f t="shared" si="677"/>
        <v>0</v>
      </c>
      <c r="AT422" s="38">
        <f t="shared" si="677"/>
        <v>0</v>
      </c>
      <c r="AU422" s="38">
        <f t="shared" si="677"/>
        <v>0</v>
      </c>
      <c r="AV422" s="38">
        <f t="shared" si="677"/>
        <v>0</v>
      </c>
      <c r="AW422" s="38">
        <f t="shared" si="677"/>
        <v>0</v>
      </c>
      <c r="AX422" s="38">
        <f t="shared" si="677"/>
        <v>0</v>
      </c>
      <c r="AY422" s="38">
        <f t="shared" si="677"/>
        <v>0</v>
      </c>
      <c r="AZ422" s="38">
        <f t="shared" si="677"/>
        <v>0</v>
      </c>
      <c r="BA422" s="30"/>
      <c r="BB422" s="38">
        <f t="shared" ref="BB422:CT422" si="678">SUM(BB416:BB416)</f>
        <v>0</v>
      </c>
      <c r="BC422" s="38">
        <f t="shared" si="678"/>
        <v>0</v>
      </c>
      <c r="BD422" s="38">
        <f t="shared" si="678"/>
        <v>0</v>
      </c>
      <c r="BE422" s="38">
        <f t="shared" si="678"/>
        <v>0</v>
      </c>
      <c r="BF422" s="38">
        <f t="shared" si="678"/>
        <v>0</v>
      </c>
      <c r="BG422" s="38">
        <f t="shared" si="678"/>
        <v>0</v>
      </c>
      <c r="BH422" s="38">
        <f t="shared" si="678"/>
        <v>0</v>
      </c>
      <c r="BI422" s="38">
        <f t="shared" si="678"/>
        <v>0</v>
      </c>
      <c r="BJ422" s="38">
        <f t="shared" si="678"/>
        <v>0</v>
      </c>
      <c r="BK422" s="38">
        <f t="shared" si="678"/>
        <v>0</v>
      </c>
      <c r="BL422" s="38">
        <f t="shared" si="678"/>
        <v>0</v>
      </c>
      <c r="BM422" s="38">
        <f t="shared" si="678"/>
        <v>0</v>
      </c>
      <c r="BN422" s="38">
        <f t="shared" si="678"/>
        <v>0</v>
      </c>
      <c r="BO422" s="38">
        <f t="shared" si="678"/>
        <v>0</v>
      </c>
      <c r="BP422" s="38">
        <f t="shared" si="678"/>
        <v>0</v>
      </c>
      <c r="BQ422" s="38">
        <f t="shared" si="678"/>
        <v>0</v>
      </c>
      <c r="BR422" s="38">
        <f t="shared" si="678"/>
        <v>0</v>
      </c>
      <c r="BS422" s="38">
        <f t="shared" si="678"/>
        <v>0</v>
      </c>
      <c r="BT422" s="38">
        <f t="shared" si="678"/>
        <v>0</v>
      </c>
      <c r="BU422" s="38">
        <f t="shared" si="678"/>
        <v>0</v>
      </c>
      <c r="BV422" s="38">
        <f t="shared" si="678"/>
        <v>0</v>
      </c>
      <c r="BW422" s="38">
        <f t="shared" si="678"/>
        <v>0</v>
      </c>
      <c r="BX422" s="38">
        <f t="shared" si="678"/>
        <v>0</v>
      </c>
      <c r="BY422" s="38">
        <f t="shared" si="678"/>
        <v>0</v>
      </c>
      <c r="BZ422" s="38">
        <f t="shared" si="678"/>
        <v>0</v>
      </c>
      <c r="CA422" s="38">
        <f t="shared" si="678"/>
        <v>0</v>
      </c>
      <c r="CB422" s="38">
        <f t="shared" si="678"/>
        <v>0</v>
      </c>
      <c r="CC422" s="38">
        <f t="shared" si="678"/>
        <v>0</v>
      </c>
      <c r="CD422" s="38">
        <f t="shared" si="678"/>
        <v>0</v>
      </c>
      <c r="CE422" s="38">
        <f t="shared" si="678"/>
        <v>0</v>
      </c>
      <c r="CF422" s="38">
        <f t="shared" si="678"/>
        <v>0</v>
      </c>
      <c r="CG422" s="38">
        <f t="shared" si="678"/>
        <v>0</v>
      </c>
      <c r="CH422" s="38">
        <f t="shared" si="678"/>
        <v>0</v>
      </c>
      <c r="CI422" s="38">
        <f t="shared" si="678"/>
        <v>0</v>
      </c>
      <c r="CJ422" s="38">
        <f t="shared" si="678"/>
        <v>0</v>
      </c>
      <c r="CK422" s="38">
        <f t="shared" si="678"/>
        <v>0</v>
      </c>
      <c r="CL422" s="38">
        <f t="shared" si="678"/>
        <v>0</v>
      </c>
      <c r="CM422" s="38">
        <f t="shared" si="678"/>
        <v>0</v>
      </c>
      <c r="CN422" s="38">
        <f t="shared" si="678"/>
        <v>0</v>
      </c>
      <c r="CO422" s="38">
        <f t="shared" si="678"/>
        <v>0</v>
      </c>
      <c r="CP422" s="38">
        <f t="shared" si="678"/>
        <v>0</v>
      </c>
      <c r="CQ422" s="38">
        <f t="shared" si="678"/>
        <v>0</v>
      </c>
      <c r="CR422" s="38">
        <f t="shared" si="678"/>
        <v>0</v>
      </c>
      <c r="CS422" s="38">
        <f t="shared" si="678"/>
        <v>0</v>
      </c>
      <c r="CT422" s="38">
        <f t="shared" si="678"/>
        <v>0</v>
      </c>
      <c r="CU422" s="17">
        <f t="shared" si="660"/>
        <v>5292.2999999999993</v>
      </c>
      <c r="CV422" s="25">
        <f t="shared" si="661"/>
        <v>0</v>
      </c>
    </row>
    <row r="423" spans="1:100" x14ac:dyDescent="0.2">
      <c r="A423" s="2">
        <v>45888</v>
      </c>
      <c r="B423" s="3" t="s">
        <v>761</v>
      </c>
      <c r="C423" s="4" t="s">
        <v>877</v>
      </c>
      <c r="D423" s="5" t="s">
        <v>122</v>
      </c>
      <c r="E423" s="6"/>
      <c r="F423" s="7"/>
      <c r="G423" s="8"/>
      <c r="H423" s="9"/>
      <c r="I423" s="10"/>
      <c r="J423" s="11" t="s">
        <v>226</v>
      </c>
      <c r="K423" s="12">
        <v>1</v>
      </c>
      <c r="L423" s="13">
        <v>117</v>
      </c>
      <c r="M423" s="14">
        <f t="shared" ref="M423" si="679">L423*K423</f>
        <v>117</v>
      </c>
      <c r="N423" s="15"/>
      <c r="O423" s="16" t="s">
        <v>137</v>
      </c>
      <c r="P423" s="17"/>
      <c r="Q423" s="18"/>
      <c r="R423" s="5"/>
      <c r="S423" s="19"/>
      <c r="T423" s="19"/>
      <c r="U423" s="19"/>
      <c r="V423" s="19"/>
      <c r="W423" s="17"/>
      <c r="X423" s="20"/>
      <c r="Y423" s="19"/>
      <c r="Z423" s="19"/>
      <c r="AA423" s="19"/>
      <c r="AB423" s="19"/>
      <c r="AC423" s="19"/>
      <c r="AD423" s="19"/>
      <c r="AE423" s="5"/>
      <c r="AF423" s="19"/>
      <c r="AG423" s="5"/>
      <c r="AH423" s="17"/>
      <c r="AI423" s="19"/>
      <c r="AJ423" s="19"/>
      <c r="AK423" s="19"/>
      <c r="AL423" s="19"/>
      <c r="AM423" s="17"/>
      <c r="AN423" s="19"/>
      <c r="AO423" s="19"/>
      <c r="AP423" s="19"/>
      <c r="AQ423" s="19"/>
      <c r="AR423" s="19"/>
      <c r="AS423" s="21"/>
      <c r="AT423" s="5"/>
      <c r="AU423" s="19"/>
      <c r="AV423" s="5"/>
      <c r="AW423" s="22"/>
      <c r="AX423" s="19"/>
      <c r="AY423" s="5"/>
      <c r="AZ423" s="19"/>
      <c r="BA423" s="5"/>
      <c r="BB423" s="5"/>
      <c r="BC423" s="17">
        <f>M423+P423-Q423</f>
        <v>117</v>
      </c>
      <c r="BD423" s="19"/>
      <c r="BE423" s="19"/>
      <c r="BF423" s="19"/>
      <c r="BG423" s="19"/>
      <c r="BH423" s="19"/>
      <c r="BI423" s="19"/>
      <c r="BJ423" s="19"/>
      <c r="BK423" s="13"/>
      <c r="BL423" s="5"/>
      <c r="BM423" s="5"/>
      <c r="BN423" s="19"/>
      <c r="BO423" s="17"/>
      <c r="BP423" s="19"/>
      <c r="BQ423" s="17"/>
      <c r="BR423" s="19"/>
      <c r="BS423" s="13"/>
      <c r="BT423" s="5"/>
      <c r="BU423" s="23"/>
      <c r="BV423" s="23"/>
      <c r="BW423" s="24"/>
      <c r="BX423" s="5"/>
      <c r="BY423" s="5"/>
      <c r="BZ423" s="5"/>
      <c r="CA423" s="24"/>
      <c r="CB423" s="24"/>
      <c r="CC423" s="24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>
        <f t="shared" si="660"/>
        <v>117</v>
      </c>
      <c r="CV423" s="25">
        <f t="shared" si="661"/>
        <v>0</v>
      </c>
    </row>
    <row r="424" spans="1:100" s="205" customFormat="1" x14ac:dyDescent="0.2">
      <c r="A424" s="192"/>
      <c r="B424" s="193"/>
      <c r="C424" s="194"/>
      <c r="D424" s="195"/>
      <c r="E424" s="196"/>
      <c r="F424" s="197"/>
      <c r="G424" s="198"/>
      <c r="H424" s="199"/>
      <c r="I424" s="199"/>
      <c r="J424" s="200"/>
      <c r="K424" s="201"/>
      <c r="L424" s="202"/>
      <c r="M424" s="203">
        <f>SUM(M423:M423)</f>
        <v>117</v>
      </c>
      <c r="N424" s="203">
        <f>M424+M422+M415+M411+M409+M407</f>
        <v>9239.2999999999993</v>
      </c>
      <c r="O424" s="204" t="s">
        <v>137</v>
      </c>
      <c r="P424" s="203"/>
      <c r="Q424" s="203"/>
      <c r="R424" s="195"/>
      <c r="S424" s="203">
        <f t="shared" ref="S424:AD424" si="680">SUM(S423:S423)</f>
        <v>0</v>
      </c>
      <c r="T424" s="203">
        <f t="shared" si="680"/>
        <v>0</v>
      </c>
      <c r="U424" s="203">
        <f t="shared" si="680"/>
        <v>0</v>
      </c>
      <c r="V424" s="203">
        <f t="shared" si="680"/>
        <v>0</v>
      </c>
      <c r="W424" s="203">
        <f t="shared" si="680"/>
        <v>0</v>
      </c>
      <c r="X424" s="203">
        <f t="shared" si="680"/>
        <v>0</v>
      </c>
      <c r="Y424" s="203">
        <f t="shared" si="680"/>
        <v>0</v>
      </c>
      <c r="Z424" s="203">
        <f t="shared" si="680"/>
        <v>0</v>
      </c>
      <c r="AA424" s="203">
        <f t="shared" si="680"/>
        <v>0</v>
      </c>
      <c r="AB424" s="203">
        <f t="shared" si="680"/>
        <v>0</v>
      </c>
      <c r="AC424" s="203">
        <f t="shared" si="680"/>
        <v>0</v>
      </c>
      <c r="AD424" s="203">
        <f t="shared" si="680"/>
        <v>0</v>
      </c>
      <c r="AE424" s="195"/>
      <c r="AF424" s="203">
        <f>SUM(AF423:AF423)</f>
        <v>0</v>
      </c>
      <c r="AG424" s="195"/>
      <c r="AH424" s="203">
        <f t="shared" ref="AH424:AZ424" si="681">SUM(AH423:AH423)</f>
        <v>0</v>
      </c>
      <c r="AI424" s="203">
        <f t="shared" si="681"/>
        <v>0</v>
      </c>
      <c r="AJ424" s="203">
        <f t="shared" si="681"/>
        <v>0</v>
      </c>
      <c r="AK424" s="203">
        <f t="shared" si="681"/>
        <v>0</v>
      </c>
      <c r="AL424" s="203">
        <f t="shared" si="681"/>
        <v>0</v>
      </c>
      <c r="AM424" s="203">
        <f t="shared" si="681"/>
        <v>0</v>
      </c>
      <c r="AN424" s="203">
        <f t="shared" si="681"/>
        <v>0</v>
      </c>
      <c r="AO424" s="203">
        <f t="shared" si="681"/>
        <v>0</v>
      </c>
      <c r="AP424" s="203">
        <f t="shared" si="681"/>
        <v>0</v>
      </c>
      <c r="AQ424" s="203">
        <f t="shared" si="681"/>
        <v>0</v>
      </c>
      <c r="AR424" s="203">
        <f t="shared" si="681"/>
        <v>0</v>
      </c>
      <c r="AS424" s="203">
        <f t="shared" si="681"/>
        <v>0</v>
      </c>
      <c r="AT424" s="203">
        <f t="shared" si="681"/>
        <v>0</v>
      </c>
      <c r="AU424" s="203">
        <f t="shared" si="681"/>
        <v>0</v>
      </c>
      <c r="AV424" s="203">
        <f t="shared" si="681"/>
        <v>0</v>
      </c>
      <c r="AW424" s="203">
        <f t="shared" si="681"/>
        <v>0</v>
      </c>
      <c r="AX424" s="203">
        <f t="shared" si="681"/>
        <v>0</v>
      </c>
      <c r="AY424" s="203">
        <f t="shared" si="681"/>
        <v>0</v>
      </c>
      <c r="AZ424" s="203">
        <f t="shared" si="681"/>
        <v>0</v>
      </c>
      <c r="BA424" s="195"/>
      <c r="BB424" s="203">
        <f t="shared" ref="BB424:CT424" si="682">SUM(BB423:BB423)</f>
        <v>0</v>
      </c>
      <c r="BC424" s="203">
        <f>SUM(BC423:BC423)</f>
        <v>117</v>
      </c>
      <c r="BD424" s="203">
        <f t="shared" si="682"/>
        <v>0</v>
      </c>
      <c r="BE424" s="203">
        <f t="shared" si="682"/>
        <v>0</v>
      </c>
      <c r="BF424" s="203">
        <f t="shared" si="682"/>
        <v>0</v>
      </c>
      <c r="BG424" s="203">
        <f t="shared" si="682"/>
        <v>0</v>
      </c>
      <c r="BH424" s="203">
        <f t="shared" si="682"/>
        <v>0</v>
      </c>
      <c r="BI424" s="203">
        <f t="shared" si="682"/>
        <v>0</v>
      </c>
      <c r="BJ424" s="203">
        <f t="shared" si="682"/>
        <v>0</v>
      </c>
      <c r="BK424" s="203">
        <f t="shared" si="682"/>
        <v>0</v>
      </c>
      <c r="BL424" s="203">
        <f t="shared" si="682"/>
        <v>0</v>
      </c>
      <c r="BM424" s="203">
        <f t="shared" si="682"/>
        <v>0</v>
      </c>
      <c r="BN424" s="203">
        <f t="shared" si="682"/>
        <v>0</v>
      </c>
      <c r="BO424" s="203">
        <f t="shared" si="682"/>
        <v>0</v>
      </c>
      <c r="BP424" s="203">
        <f t="shared" si="682"/>
        <v>0</v>
      </c>
      <c r="BQ424" s="203">
        <f t="shared" si="682"/>
        <v>0</v>
      </c>
      <c r="BR424" s="203">
        <f t="shared" si="682"/>
        <v>0</v>
      </c>
      <c r="BS424" s="203">
        <f t="shared" si="682"/>
        <v>0</v>
      </c>
      <c r="BT424" s="203">
        <f t="shared" si="682"/>
        <v>0</v>
      </c>
      <c r="BU424" s="203">
        <f t="shared" si="682"/>
        <v>0</v>
      </c>
      <c r="BV424" s="203">
        <f t="shared" si="682"/>
        <v>0</v>
      </c>
      <c r="BW424" s="203">
        <f t="shared" si="682"/>
        <v>0</v>
      </c>
      <c r="BX424" s="203">
        <f t="shared" si="682"/>
        <v>0</v>
      </c>
      <c r="BY424" s="203">
        <f t="shared" si="682"/>
        <v>0</v>
      </c>
      <c r="BZ424" s="203">
        <f t="shared" si="682"/>
        <v>0</v>
      </c>
      <c r="CA424" s="203">
        <f t="shared" si="682"/>
        <v>0</v>
      </c>
      <c r="CB424" s="203">
        <f t="shared" si="682"/>
        <v>0</v>
      </c>
      <c r="CC424" s="203">
        <f t="shared" si="682"/>
        <v>0</v>
      </c>
      <c r="CD424" s="203">
        <f t="shared" si="682"/>
        <v>0</v>
      </c>
      <c r="CE424" s="203">
        <f t="shared" si="682"/>
        <v>0</v>
      </c>
      <c r="CF424" s="203">
        <f t="shared" si="682"/>
        <v>0</v>
      </c>
      <c r="CG424" s="203">
        <f t="shared" si="682"/>
        <v>0</v>
      </c>
      <c r="CH424" s="203">
        <f t="shared" si="682"/>
        <v>0</v>
      </c>
      <c r="CI424" s="203">
        <f t="shared" si="682"/>
        <v>0</v>
      </c>
      <c r="CJ424" s="203">
        <f t="shared" si="682"/>
        <v>0</v>
      </c>
      <c r="CK424" s="203">
        <f t="shared" si="682"/>
        <v>0</v>
      </c>
      <c r="CL424" s="203">
        <f t="shared" si="682"/>
        <v>0</v>
      </c>
      <c r="CM424" s="203">
        <f t="shared" si="682"/>
        <v>0</v>
      </c>
      <c r="CN424" s="203">
        <f t="shared" si="682"/>
        <v>0</v>
      </c>
      <c r="CO424" s="203">
        <f t="shared" si="682"/>
        <v>0</v>
      </c>
      <c r="CP424" s="203">
        <f t="shared" si="682"/>
        <v>0</v>
      </c>
      <c r="CQ424" s="203">
        <f t="shared" si="682"/>
        <v>0</v>
      </c>
      <c r="CR424" s="203">
        <f t="shared" si="682"/>
        <v>0</v>
      </c>
      <c r="CS424" s="203">
        <f t="shared" si="682"/>
        <v>0</v>
      </c>
      <c r="CT424" s="203">
        <f t="shared" si="682"/>
        <v>0</v>
      </c>
      <c r="CU424" s="17">
        <f t="shared" si="660"/>
        <v>117</v>
      </c>
      <c r="CV424" s="25">
        <f t="shared" si="661"/>
        <v>0</v>
      </c>
    </row>
    <row r="425" spans="1:100" x14ac:dyDescent="0.2">
      <c r="A425" s="2">
        <v>45889</v>
      </c>
      <c r="B425" s="3" t="s">
        <v>782</v>
      </c>
      <c r="C425" s="4" t="s">
        <v>878</v>
      </c>
      <c r="D425" s="5" t="s">
        <v>122</v>
      </c>
      <c r="E425" s="6" t="s">
        <v>783</v>
      </c>
      <c r="F425" s="7" t="s">
        <v>229</v>
      </c>
      <c r="G425" s="8" t="s">
        <v>784</v>
      </c>
      <c r="H425" s="9">
        <v>170296</v>
      </c>
      <c r="I425" s="10"/>
      <c r="J425" s="11" t="s">
        <v>785</v>
      </c>
      <c r="K425" s="12">
        <v>1</v>
      </c>
      <c r="L425" s="13">
        <v>2100</v>
      </c>
      <c r="M425" s="14">
        <f t="shared" ref="M425:M426" si="683">L425*K425</f>
        <v>2100</v>
      </c>
      <c r="N425" s="15"/>
      <c r="O425" s="16" t="s">
        <v>111</v>
      </c>
      <c r="P425" s="17">
        <f>M425/1.12*0.01</f>
        <v>18.749999999999996</v>
      </c>
      <c r="Q425" s="18">
        <f>M425/1.12*0.12</f>
        <v>224.99999999999997</v>
      </c>
      <c r="R425" s="5"/>
      <c r="S425" s="19"/>
      <c r="T425" s="19"/>
      <c r="U425" s="19"/>
      <c r="V425" s="19"/>
      <c r="W425" s="17"/>
      <c r="X425" s="20"/>
      <c r="Y425" s="19"/>
      <c r="Z425" s="19"/>
      <c r="AA425" s="19"/>
      <c r="AB425" s="19"/>
      <c r="AC425" s="19"/>
      <c r="AD425" s="19"/>
      <c r="AE425" s="5"/>
      <c r="AF425" s="19"/>
      <c r="AG425" s="5"/>
      <c r="AH425" s="17">
        <f>M425+P425-Q425</f>
        <v>1893.75</v>
      </c>
      <c r="AI425" s="19"/>
      <c r="AJ425" s="19"/>
      <c r="AK425" s="19"/>
      <c r="AL425" s="19"/>
      <c r="AM425" s="17"/>
      <c r="AN425" s="19"/>
      <c r="AO425" s="19"/>
      <c r="AP425" s="5"/>
      <c r="AQ425" s="19"/>
      <c r="AR425" s="19"/>
      <c r="AS425" s="21"/>
      <c r="AT425" s="5"/>
      <c r="AU425" s="19"/>
      <c r="AV425" s="5"/>
      <c r="AW425" s="22"/>
      <c r="AX425" s="19"/>
      <c r="AY425" s="5"/>
      <c r="AZ425" s="19"/>
      <c r="BA425" s="5"/>
      <c r="BB425" s="5"/>
      <c r="BC425" s="19"/>
      <c r="BD425" s="19"/>
      <c r="BE425" s="19"/>
      <c r="BF425" s="19"/>
      <c r="BG425" s="19"/>
      <c r="BH425" s="19"/>
      <c r="BI425" s="19"/>
      <c r="BJ425" s="19"/>
      <c r="BK425" s="13"/>
      <c r="BL425" s="5"/>
      <c r="BM425" s="5"/>
      <c r="BN425" s="19"/>
      <c r="BO425" s="17"/>
      <c r="BP425" s="19"/>
      <c r="BQ425" s="17"/>
      <c r="BR425" s="19"/>
      <c r="BS425" s="13"/>
      <c r="BT425" s="5"/>
      <c r="BU425" s="23"/>
      <c r="BV425" s="23"/>
      <c r="BW425" s="24"/>
      <c r="BX425" s="5"/>
      <c r="BY425" s="5"/>
      <c r="BZ425" s="5"/>
      <c r="CA425" s="24"/>
      <c r="CB425" s="24"/>
      <c r="CC425" s="24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>
        <f t="shared" si="660"/>
        <v>2100</v>
      </c>
      <c r="CV425" s="25">
        <f t="shared" si="661"/>
        <v>0</v>
      </c>
    </row>
    <row r="426" spans="1:100" x14ac:dyDescent="0.2">
      <c r="A426" s="2"/>
      <c r="B426" s="3"/>
      <c r="C426" s="4"/>
      <c r="D426" s="5"/>
      <c r="E426" s="6"/>
      <c r="F426" s="7"/>
      <c r="G426" s="8"/>
      <c r="H426" s="9"/>
      <c r="I426" s="10"/>
      <c r="J426" s="11" t="s">
        <v>786</v>
      </c>
      <c r="K426" s="12">
        <v>40</v>
      </c>
      <c r="L426" s="13">
        <v>100</v>
      </c>
      <c r="M426" s="14">
        <f t="shared" si="683"/>
        <v>4000</v>
      </c>
      <c r="N426" s="15"/>
      <c r="O426" s="16" t="s">
        <v>111</v>
      </c>
      <c r="P426" s="17">
        <f t="shared" ref="P426" si="684">M426/1.12*0.01</f>
        <v>35.714285714285715</v>
      </c>
      <c r="Q426" s="18">
        <f t="shared" ref="Q426" si="685">M426/1.12*0.12</f>
        <v>428.5714285714285</v>
      </c>
      <c r="R426" s="5"/>
      <c r="S426" s="19"/>
      <c r="T426" s="19"/>
      <c r="U426" s="19"/>
      <c r="V426" s="19"/>
      <c r="W426" s="17"/>
      <c r="X426" s="20"/>
      <c r="Y426" s="19"/>
      <c r="Z426" s="19"/>
      <c r="AA426" s="19"/>
      <c r="AB426" s="19"/>
      <c r="AC426" s="19"/>
      <c r="AD426" s="19"/>
      <c r="AE426" s="5"/>
      <c r="AF426" s="19"/>
      <c r="AG426" s="5"/>
      <c r="AH426" s="17">
        <f>M426+P426-Q426</f>
        <v>3607.1428571428573</v>
      </c>
      <c r="AI426" s="19"/>
      <c r="AJ426" s="19"/>
      <c r="AK426" s="19"/>
      <c r="AL426" s="19"/>
      <c r="AM426" s="17"/>
      <c r="AN426" s="19"/>
      <c r="AO426" s="19"/>
      <c r="AP426" s="5"/>
      <c r="AQ426" s="19"/>
      <c r="AR426" s="19"/>
      <c r="AS426" s="21"/>
      <c r="AT426" s="5"/>
      <c r="AU426" s="19"/>
      <c r="AV426" s="5"/>
      <c r="AW426" s="22"/>
      <c r="AX426" s="19"/>
      <c r="AY426" s="5"/>
      <c r="AZ426" s="19"/>
      <c r="BA426" s="5"/>
      <c r="BB426" s="5"/>
      <c r="BC426" s="19"/>
      <c r="BD426" s="19"/>
      <c r="BE426" s="19"/>
      <c r="BF426" s="19"/>
      <c r="BG426" s="19"/>
      <c r="BH426" s="19"/>
      <c r="BI426" s="19"/>
      <c r="BJ426" s="19"/>
      <c r="BK426" s="13"/>
      <c r="BL426" s="5"/>
      <c r="BM426" s="5"/>
      <c r="BN426" s="19"/>
      <c r="BO426" s="17"/>
      <c r="BP426" s="19"/>
      <c r="BQ426" s="17"/>
      <c r="BR426" s="19"/>
      <c r="BS426" s="13"/>
      <c r="BT426" s="5"/>
      <c r="BU426" s="23"/>
      <c r="BV426" s="23"/>
      <c r="BW426" s="24"/>
      <c r="BX426" s="5"/>
      <c r="BY426" s="5"/>
      <c r="BZ426" s="5"/>
      <c r="CA426" s="24"/>
      <c r="CB426" s="24"/>
      <c r="CC426" s="24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>
        <f t="shared" si="660"/>
        <v>4000</v>
      </c>
      <c r="CV426" s="25">
        <f t="shared" si="661"/>
        <v>0</v>
      </c>
    </row>
    <row r="427" spans="1:100" x14ac:dyDescent="0.2">
      <c r="A427" s="27"/>
      <c r="B427" s="28"/>
      <c r="C427" s="29"/>
      <c r="D427" s="30"/>
      <c r="E427" s="31"/>
      <c r="F427" s="32"/>
      <c r="G427" s="33"/>
      <c r="H427" s="34"/>
      <c r="I427" s="34"/>
      <c r="J427" s="35"/>
      <c r="K427" s="36"/>
      <c r="L427" s="37"/>
      <c r="M427" s="38">
        <f>SUM(M425:M426)</f>
        <v>6100</v>
      </c>
      <c r="N427" s="38"/>
      <c r="O427" s="39" t="s">
        <v>111</v>
      </c>
      <c r="P427" s="38">
        <f>SUM(P425:P426)</f>
        <v>54.464285714285708</v>
      </c>
      <c r="Q427" s="38">
        <f>SUM(Q425:Q426)</f>
        <v>653.57142857142844</v>
      </c>
      <c r="R427" s="30"/>
      <c r="S427" s="38">
        <f t="shared" ref="S427:AD427" si="686">SUM(S425:S425)</f>
        <v>0</v>
      </c>
      <c r="T427" s="38">
        <f t="shared" si="686"/>
        <v>0</v>
      </c>
      <c r="U427" s="38">
        <f t="shared" si="686"/>
        <v>0</v>
      </c>
      <c r="V427" s="38">
        <f t="shared" si="686"/>
        <v>0</v>
      </c>
      <c r="W427" s="38">
        <f t="shared" si="686"/>
        <v>0</v>
      </c>
      <c r="X427" s="38">
        <f t="shared" si="686"/>
        <v>0</v>
      </c>
      <c r="Y427" s="38">
        <f t="shared" si="686"/>
        <v>0</v>
      </c>
      <c r="Z427" s="38">
        <f t="shared" si="686"/>
        <v>0</v>
      </c>
      <c r="AA427" s="38">
        <f t="shared" si="686"/>
        <v>0</v>
      </c>
      <c r="AB427" s="38">
        <f t="shared" si="686"/>
        <v>0</v>
      </c>
      <c r="AC427" s="38">
        <f t="shared" si="686"/>
        <v>0</v>
      </c>
      <c r="AD427" s="38">
        <f t="shared" si="686"/>
        <v>0</v>
      </c>
      <c r="AE427" s="30"/>
      <c r="AF427" s="38">
        <f>SUM(AF425:AF425)</f>
        <v>0</v>
      </c>
      <c r="AG427" s="30"/>
      <c r="AH427" s="38">
        <f>SUM(AH425:AH426)</f>
        <v>5500.8928571428569</v>
      </c>
      <c r="AI427" s="38">
        <f t="shared" ref="AI427:AZ427" si="687">SUM(AI425:AI425)</f>
        <v>0</v>
      </c>
      <c r="AJ427" s="38">
        <f t="shared" si="687"/>
        <v>0</v>
      </c>
      <c r="AK427" s="38">
        <f t="shared" si="687"/>
        <v>0</v>
      </c>
      <c r="AL427" s="38">
        <f t="shared" si="687"/>
        <v>0</v>
      </c>
      <c r="AM427" s="38">
        <f t="shared" si="687"/>
        <v>0</v>
      </c>
      <c r="AN427" s="38">
        <f t="shared" si="687"/>
        <v>0</v>
      </c>
      <c r="AO427" s="38">
        <f t="shared" si="687"/>
        <v>0</v>
      </c>
      <c r="AP427" s="30"/>
      <c r="AQ427" s="38">
        <f t="shared" si="687"/>
        <v>0</v>
      </c>
      <c r="AR427" s="38">
        <f t="shared" si="687"/>
        <v>0</v>
      </c>
      <c r="AS427" s="38">
        <f t="shared" si="687"/>
        <v>0</v>
      </c>
      <c r="AT427" s="38">
        <f t="shared" si="687"/>
        <v>0</v>
      </c>
      <c r="AU427" s="38">
        <f t="shared" si="687"/>
        <v>0</v>
      </c>
      <c r="AV427" s="38">
        <f t="shared" si="687"/>
        <v>0</v>
      </c>
      <c r="AW427" s="38">
        <f t="shared" si="687"/>
        <v>0</v>
      </c>
      <c r="AX427" s="38">
        <f t="shared" si="687"/>
        <v>0</v>
      </c>
      <c r="AY427" s="38">
        <f t="shared" si="687"/>
        <v>0</v>
      </c>
      <c r="AZ427" s="38">
        <f t="shared" si="687"/>
        <v>0</v>
      </c>
      <c r="BA427" s="30"/>
      <c r="BB427" s="38">
        <f t="shared" ref="BB427:CT427" si="688">SUM(BB425:BB425)</f>
        <v>0</v>
      </c>
      <c r="BC427" s="38">
        <f t="shared" si="688"/>
        <v>0</v>
      </c>
      <c r="BD427" s="38">
        <f t="shared" si="688"/>
        <v>0</v>
      </c>
      <c r="BE427" s="38">
        <f t="shared" si="688"/>
        <v>0</v>
      </c>
      <c r="BF427" s="38">
        <f t="shared" si="688"/>
        <v>0</v>
      </c>
      <c r="BG427" s="38">
        <f t="shared" si="688"/>
        <v>0</v>
      </c>
      <c r="BH427" s="38">
        <f t="shared" si="688"/>
        <v>0</v>
      </c>
      <c r="BI427" s="38">
        <f t="shared" si="688"/>
        <v>0</v>
      </c>
      <c r="BJ427" s="38">
        <f t="shared" si="688"/>
        <v>0</v>
      </c>
      <c r="BK427" s="38">
        <f t="shared" si="688"/>
        <v>0</v>
      </c>
      <c r="BL427" s="38">
        <f t="shared" si="688"/>
        <v>0</v>
      </c>
      <c r="BM427" s="38">
        <f t="shared" si="688"/>
        <v>0</v>
      </c>
      <c r="BN427" s="38">
        <f t="shared" si="688"/>
        <v>0</v>
      </c>
      <c r="BO427" s="38">
        <f t="shared" si="688"/>
        <v>0</v>
      </c>
      <c r="BP427" s="38">
        <f t="shared" si="688"/>
        <v>0</v>
      </c>
      <c r="BQ427" s="38">
        <f t="shared" si="688"/>
        <v>0</v>
      </c>
      <c r="BR427" s="38">
        <f t="shared" si="688"/>
        <v>0</v>
      </c>
      <c r="BS427" s="38">
        <f t="shared" si="688"/>
        <v>0</v>
      </c>
      <c r="BT427" s="38">
        <f t="shared" si="688"/>
        <v>0</v>
      </c>
      <c r="BU427" s="38">
        <f t="shared" si="688"/>
        <v>0</v>
      </c>
      <c r="BV427" s="38">
        <f t="shared" si="688"/>
        <v>0</v>
      </c>
      <c r="BW427" s="38">
        <f t="shared" si="688"/>
        <v>0</v>
      </c>
      <c r="BX427" s="38">
        <f t="shared" si="688"/>
        <v>0</v>
      </c>
      <c r="BY427" s="38">
        <f t="shared" si="688"/>
        <v>0</v>
      </c>
      <c r="BZ427" s="38">
        <f t="shared" si="688"/>
        <v>0</v>
      </c>
      <c r="CA427" s="38">
        <f t="shared" si="688"/>
        <v>0</v>
      </c>
      <c r="CB427" s="38">
        <f t="shared" si="688"/>
        <v>0</v>
      </c>
      <c r="CC427" s="38">
        <f t="shared" si="688"/>
        <v>0</v>
      </c>
      <c r="CD427" s="38">
        <f t="shared" si="688"/>
        <v>0</v>
      </c>
      <c r="CE427" s="38">
        <f t="shared" si="688"/>
        <v>0</v>
      </c>
      <c r="CF427" s="38">
        <f t="shared" si="688"/>
        <v>0</v>
      </c>
      <c r="CG427" s="38">
        <f t="shared" si="688"/>
        <v>0</v>
      </c>
      <c r="CH427" s="38">
        <f t="shared" si="688"/>
        <v>0</v>
      </c>
      <c r="CI427" s="38">
        <f t="shared" si="688"/>
        <v>0</v>
      </c>
      <c r="CJ427" s="38">
        <f t="shared" si="688"/>
        <v>0</v>
      </c>
      <c r="CK427" s="38">
        <f t="shared" si="688"/>
        <v>0</v>
      </c>
      <c r="CL427" s="38">
        <f t="shared" si="688"/>
        <v>0</v>
      </c>
      <c r="CM427" s="38">
        <f t="shared" si="688"/>
        <v>0</v>
      </c>
      <c r="CN427" s="38">
        <f t="shared" si="688"/>
        <v>0</v>
      </c>
      <c r="CO427" s="38">
        <f t="shared" si="688"/>
        <v>0</v>
      </c>
      <c r="CP427" s="38">
        <f t="shared" si="688"/>
        <v>0</v>
      </c>
      <c r="CQ427" s="38">
        <f t="shared" si="688"/>
        <v>0</v>
      </c>
      <c r="CR427" s="38">
        <f t="shared" si="688"/>
        <v>0</v>
      </c>
      <c r="CS427" s="38">
        <f t="shared" si="688"/>
        <v>0</v>
      </c>
      <c r="CT427" s="38">
        <f t="shared" si="688"/>
        <v>0</v>
      </c>
      <c r="CU427" s="17">
        <f t="shared" si="660"/>
        <v>6100</v>
      </c>
      <c r="CV427" s="25">
        <f t="shared" si="661"/>
        <v>0</v>
      </c>
    </row>
    <row r="428" spans="1:100" x14ac:dyDescent="0.2">
      <c r="A428" s="2">
        <v>45889</v>
      </c>
      <c r="B428" s="3" t="s">
        <v>782</v>
      </c>
      <c r="C428" s="4" t="s">
        <v>879</v>
      </c>
      <c r="D428" s="5" t="s">
        <v>122</v>
      </c>
      <c r="E428" s="6" t="s">
        <v>787</v>
      </c>
      <c r="F428" s="7" t="s">
        <v>296</v>
      </c>
      <c r="G428" s="8" t="s">
        <v>788</v>
      </c>
      <c r="H428" s="9">
        <v>9745</v>
      </c>
      <c r="I428" s="10" t="s">
        <v>789</v>
      </c>
      <c r="J428" s="11" t="s">
        <v>790</v>
      </c>
      <c r="K428" s="12">
        <v>4</v>
      </c>
      <c r="L428" s="13">
        <v>1470</v>
      </c>
      <c r="M428" s="14">
        <f t="shared" ref="M428:M430" si="689">L428*K428</f>
        <v>5880</v>
      </c>
      <c r="N428" s="15"/>
      <c r="O428" s="16" t="s">
        <v>111</v>
      </c>
      <c r="P428" s="17">
        <f>M428/1.12*0.01</f>
        <v>52.499999999999993</v>
      </c>
      <c r="Q428" s="18">
        <f>M428/1.12*0.12</f>
        <v>629.99999999999989</v>
      </c>
      <c r="R428" s="5"/>
      <c r="S428" s="19"/>
      <c r="T428" s="19"/>
      <c r="U428" s="19"/>
      <c r="V428" s="19"/>
      <c r="W428" s="17"/>
      <c r="X428" s="20"/>
      <c r="Y428" s="19"/>
      <c r="Z428" s="19"/>
      <c r="AA428" s="19"/>
      <c r="AB428" s="19"/>
      <c r="AC428" s="19"/>
      <c r="AD428" s="19"/>
      <c r="AE428" s="5"/>
      <c r="AF428" s="19"/>
      <c r="AG428" s="5"/>
      <c r="AH428" s="17">
        <f>M428+P428-Q428</f>
        <v>5302.5</v>
      </c>
      <c r="AI428" s="19"/>
      <c r="AJ428" s="19"/>
      <c r="AK428" s="19"/>
      <c r="AL428" s="19"/>
      <c r="AM428" s="17"/>
      <c r="AN428" s="19"/>
      <c r="AO428" s="19"/>
      <c r="AP428" s="5"/>
      <c r="AQ428" s="19"/>
      <c r="AR428" s="19"/>
      <c r="AS428" s="21"/>
      <c r="AT428" s="5"/>
      <c r="AU428" s="19"/>
      <c r="AV428" s="5"/>
      <c r="AW428" s="22"/>
      <c r="AX428" s="19"/>
      <c r="AY428" s="5"/>
      <c r="AZ428" s="19"/>
      <c r="BA428" s="5"/>
      <c r="BB428" s="5"/>
      <c r="BC428" s="19"/>
      <c r="BD428" s="19"/>
      <c r="BE428" s="19"/>
      <c r="BF428" s="19"/>
      <c r="BG428" s="19"/>
      <c r="BH428" s="19"/>
      <c r="BI428" s="19"/>
      <c r="BJ428" s="19"/>
      <c r="BK428" s="13"/>
      <c r="BL428" s="5"/>
      <c r="BM428" s="5"/>
      <c r="BN428" s="19"/>
      <c r="BO428" s="17"/>
      <c r="BP428" s="19"/>
      <c r="BQ428" s="17"/>
      <c r="BR428" s="19"/>
      <c r="BS428" s="13"/>
      <c r="BT428" s="5"/>
      <c r="BU428" s="23"/>
      <c r="BV428" s="23"/>
      <c r="BW428" s="24"/>
      <c r="BX428" s="5"/>
      <c r="BY428" s="5"/>
      <c r="BZ428" s="5"/>
      <c r="CA428" s="24"/>
      <c r="CB428" s="24"/>
      <c r="CC428" s="24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>
        <f t="shared" si="660"/>
        <v>5880</v>
      </c>
      <c r="CV428" s="25">
        <f t="shared" si="661"/>
        <v>0</v>
      </c>
    </row>
    <row r="429" spans="1:100" x14ac:dyDescent="0.2">
      <c r="A429" s="2"/>
      <c r="B429" s="3"/>
      <c r="C429" s="4"/>
      <c r="D429" s="5"/>
      <c r="E429" s="6"/>
      <c r="F429" s="7"/>
      <c r="G429" s="8"/>
      <c r="H429" s="9"/>
      <c r="I429" s="10"/>
      <c r="J429" s="11" t="s">
        <v>791</v>
      </c>
      <c r="K429" s="12">
        <v>4</v>
      </c>
      <c r="L429" s="13">
        <v>2780</v>
      </c>
      <c r="M429" s="14">
        <f t="shared" si="689"/>
        <v>11120</v>
      </c>
      <c r="N429" s="15"/>
      <c r="O429" s="16" t="s">
        <v>111</v>
      </c>
      <c r="P429" s="17">
        <f t="shared" ref="P429:P430" si="690">M429/1.12*0.01</f>
        <v>99.285714285714278</v>
      </c>
      <c r="Q429" s="18">
        <f t="shared" ref="Q429:Q430" si="691">M429/1.12*0.12</f>
        <v>1191.4285714285713</v>
      </c>
      <c r="R429" s="5"/>
      <c r="S429" s="19"/>
      <c r="T429" s="19"/>
      <c r="U429" s="19"/>
      <c r="V429" s="19"/>
      <c r="W429" s="17"/>
      <c r="X429" s="20"/>
      <c r="Y429" s="19"/>
      <c r="Z429" s="19"/>
      <c r="AA429" s="19"/>
      <c r="AB429" s="19"/>
      <c r="AC429" s="19"/>
      <c r="AD429" s="19"/>
      <c r="AE429" s="5"/>
      <c r="AF429" s="19"/>
      <c r="AG429" s="5"/>
      <c r="AH429" s="17">
        <f>M429+P429-Q429</f>
        <v>10027.857142857143</v>
      </c>
      <c r="AI429" s="19"/>
      <c r="AJ429" s="19"/>
      <c r="AK429" s="19"/>
      <c r="AL429" s="19"/>
      <c r="AM429" s="17"/>
      <c r="AN429" s="19"/>
      <c r="AO429" s="19"/>
      <c r="AP429" s="5"/>
      <c r="AQ429" s="19"/>
      <c r="AR429" s="19"/>
      <c r="AS429" s="21"/>
      <c r="AT429" s="5"/>
      <c r="AU429" s="19"/>
      <c r="AV429" s="5"/>
      <c r="AW429" s="22"/>
      <c r="AX429" s="19"/>
      <c r="AY429" s="5"/>
      <c r="AZ429" s="19"/>
      <c r="BA429" s="5"/>
      <c r="BB429" s="5"/>
      <c r="BC429" s="19"/>
      <c r="BD429" s="19"/>
      <c r="BE429" s="19"/>
      <c r="BF429" s="19"/>
      <c r="BG429" s="19"/>
      <c r="BH429" s="19"/>
      <c r="BI429" s="19"/>
      <c r="BJ429" s="19"/>
      <c r="BK429" s="13"/>
      <c r="BL429" s="5"/>
      <c r="BM429" s="5"/>
      <c r="BN429" s="19"/>
      <c r="BO429" s="17"/>
      <c r="BP429" s="19"/>
      <c r="BQ429" s="17"/>
      <c r="BR429" s="19"/>
      <c r="BS429" s="13"/>
      <c r="BT429" s="5"/>
      <c r="BU429" s="23"/>
      <c r="BV429" s="23"/>
      <c r="BW429" s="24"/>
      <c r="BX429" s="5"/>
      <c r="BY429" s="5"/>
      <c r="BZ429" s="5"/>
      <c r="CA429" s="24"/>
      <c r="CB429" s="24"/>
      <c r="CC429" s="24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>
        <f t="shared" si="660"/>
        <v>11120</v>
      </c>
      <c r="CV429" s="25">
        <f t="shared" si="661"/>
        <v>0</v>
      </c>
    </row>
    <row r="430" spans="1:100" x14ac:dyDescent="0.2">
      <c r="A430" s="2"/>
      <c r="B430" s="3"/>
      <c r="C430" s="4"/>
      <c r="D430" s="5"/>
      <c r="E430" s="6"/>
      <c r="F430" s="7"/>
      <c r="G430" s="8"/>
      <c r="H430" s="9"/>
      <c r="I430" s="10"/>
      <c r="J430" s="11" t="s">
        <v>792</v>
      </c>
      <c r="K430" s="12">
        <v>4</v>
      </c>
      <c r="L430" s="13">
        <v>83</v>
      </c>
      <c r="M430" s="14">
        <f t="shared" si="689"/>
        <v>332</v>
      </c>
      <c r="N430" s="15"/>
      <c r="O430" s="16" t="s">
        <v>111</v>
      </c>
      <c r="P430" s="17">
        <f t="shared" si="690"/>
        <v>2.964285714285714</v>
      </c>
      <c r="Q430" s="18">
        <f t="shared" si="691"/>
        <v>35.571428571428562</v>
      </c>
      <c r="R430" s="5"/>
      <c r="S430" s="19"/>
      <c r="T430" s="19"/>
      <c r="U430" s="19"/>
      <c r="V430" s="19"/>
      <c r="W430" s="17"/>
      <c r="X430" s="20"/>
      <c r="Y430" s="19"/>
      <c r="Z430" s="19"/>
      <c r="AA430" s="19"/>
      <c r="AB430" s="19"/>
      <c r="AC430" s="19"/>
      <c r="AD430" s="19"/>
      <c r="AE430" s="5"/>
      <c r="AF430" s="19"/>
      <c r="AG430" s="5"/>
      <c r="AH430" s="17">
        <f>M430+P430-Q430</f>
        <v>299.39285714285717</v>
      </c>
      <c r="AI430" s="19"/>
      <c r="AJ430" s="19"/>
      <c r="AK430" s="19"/>
      <c r="AL430" s="19"/>
      <c r="AM430" s="17"/>
      <c r="AN430" s="19"/>
      <c r="AO430" s="19"/>
      <c r="AP430" s="5"/>
      <c r="AQ430" s="19"/>
      <c r="AR430" s="19"/>
      <c r="AS430" s="21"/>
      <c r="AT430" s="5"/>
      <c r="AU430" s="19"/>
      <c r="AV430" s="5"/>
      <c r="AW430" s="22"/>
      <c r="AX430" s="19"/>
      <c r="AY430" s="5"/>
      <c r="AZ430" s="19"/>
      <c r="BA430" s="5"/>
      <c r="BB430" s="5"/>
      <c r="BC430" s="19"/>
      <c r="BD430" s="19"/>
      <c r="BE430" s="19"/>
      <c r="BF430" s="19"/>
      <c r="BG430" s="19"/>
      <c r="BH430" s="19"/>
      <c r="BI430" s="19"/>
      <c r="BJ430" s="19"/>
      <c r="BK430" s="13"/>
      <c r="BL430" s="5"/>
      <c r="BM430" s="5"/>
      <c r="BN430" s="19"/>
      <c r="BO430" s="17"/>
      <c r="BP430" s="19"/>
      <c r="BQ430" s="17"/>
      <c r="BR430" s="19"/>
      <c r="BS430" s="13"/>
      <c r="BT430" s="5"/>
      <c r="BU430" s="23"/>
      <c r="BV430" s="23"/>
      <c r="BW430" s="24"/>
      <c r="BX430" s="5"/>
      <c r="BY430" s="5"/>
      <c r="BZ430" s="5"/>
      <c r="CA430" s="24"/>
      <c r="CB430" s="24"/>
      <c r="CC430" s="24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>
        <f t="shared" si="660"/>
        <v>332</v>
      </c>
      <c r="CV430" s="25">
        <f t="shared" si="661"/>
        <v>0</v>
      </c>
    </row>
    <row r="431" spans="1:100" x14ac:dyDescent="0.2">
      <c r="A431" s="27"/>
      <c r="B431" s="28"/>
      <c r="C431" s="29"/>
      <c r="D431" s="30"/>
      <c r="E431" s="31"/>
      <c r="F431" s="32"/>
      <c r="G431" s="33"/>
      <c r="H431" s="34"/>
      <c r="I431" s="34"/>
      <c r="J431" s="35"/>
      <c r="K431" s="36"/>
      <c r="L431" s="37"/>
      <c r="M431" s="38">
        <f>SUM(M428:M430)</f>
        <v>17332</v>
      </c>
      <c r="N431" s="38"/>
      <c r="O431" s="39" t="s">
        <v>111</v>
      </c>
      <c r="P431" s="38">
        <f>SUM(P428:P430)</f>
        <v>154.75</v>
      </c>
      <c r="Q431" s="38">
        <f>SUM(Q428:Q430)</f>
        <v>1856.9999999999998</v>
      </c>
      <c r="R431" s="30"/>
      <c r="S431" s="38">
        <f t="shared" ref="S431:AD431" si="692">SUM(S428:S428)</f>
        <v>0</v>
      </c>
      <c r="T431" s="38">
        <f t="shared" si="692"/>
        <v>0</v>
      </c>
      <c r="U431" s="38">
        <f t="shared" si="692"/>
        <v>0</v>
      </c>
      <c r="V431" s="38">
        <f t="shared" si="692"/>
        <v>0</v>
      </c>
      <c r="W431" s="38">
        <f t="shared" si="692"/>
        <v>0</v>
      </c>
      <c r="X431" s="38">
        <f t="shared" si="692"/>
        <v>0</v>
      </c>
      <c r="Y431" s="38">
        <f t="shared" si="692"/>
        <v>0</v>
      </c>
      <c r="Z431" s="38">
        <f t="shared" si="692"/>
        <v>0</v>
      </c>
      <c r="AA431" s="38">
        <f t="shared" si="692"/>
        <v>0</v>
      </c>
      <c r="AB431" s="38">
        <f t="shared" si="692"/>
        <v>0</v>
      </c>
      <c r="AC431" s="38">
        <f t="shared" si="692"/>
        <v>0</v>
      </c>
      <c r="AD431" s="38">
        <f t="shared" si="692"/>
        <v>0</v>
      </c>
      <c r="AE431" s="30"/>
      <c r="AF431" s="38">
        <f>SUM(AF428:AF428)</f>
        <v>0</v>
      </c>
      <c r="AG431" s="30"/>
      <c r="AH431" s="38">
        <f>SUM(AH428:AH430)</f>
        <v>15629.75</v>
      </c>
      <c r="AI431" s="38">
        <f t="shared" ref="AI431:AZ431" si="693">SUM(AI428:AI428)</f>
        <v>0</v>
      </c>
      <c r="AJ431" s="38">
        <f t="shared" si="693"/>
        <v>0</v>
      </c>
      <c r="AK431" s="38">
        <f t="shared" si="693"/>
        <v>0</v>
      </c>
      <c r="AL431" s="38">
        <f t="shared" si="693"/>
        <v>0</v>
      </c>
      <c r="AM431" s="38">
        <f t="shared" si="693"/>
        <v>0</v>
      </c>
      <c r="AN431" s="38">
        <f t="shared" si="693"/>
        <v>0</v>
      </c>
      <c r="AO431" s="38">
        <f t="shared" si="693"/>
        <v>0</v>
      </c>
      <c r="AP431" s="30"/>
      <c r="AQ431" s="38">
        <f t="shared" si="693"/>
        <v>0</v>
      </c>
      <c r="AR431" s="38">
        <f t="shared" si="693"/>
        <v>0</v>
      </c>
      <c r="AS431" s="38">
        <f t="shared" si="693"/>
        <v>0</v>
      </c>
      <c r="AT431" s="38">
        <f t="shared" si="693"/>
        <v>0</v>
      </c>
      <c r="AU431" s="38">
        <f t="shared" si="693"/>
        <v>0</v>
      </c>
      <c r="AV431" s="38">
        <f t="shared" si="693"/>
        <v>0</v>
      </c>
      <c r="AW431" s="38">
        <f t="shared" si="693"/>
        <v>0</v>
      </c>
      <c r="AX431" s="38">
        <f t="shared" si="693"/>
        <v>0</v>
      </c>
      <c r="AY431" s="38">
        <f t="shared" si="693"/>
        <v>0</v>
      </c>
      <c r="AZ431" s="38">
        <f t="shared" si="693"/>
        <v>0</v>
      </c>
      <c r="BA431" s="30"/>
      <c r="BB431" s="38">
        <f t="shared" ref="BB431:CT431" si="694">SUM(BB428:BB428)</f>
        <v>0</v>
      </c>
      <c r="BC431" s="38">
        <f t="shared" si="694"/>
        <v>0</v>
      </c>
      <c r="BD431" s="38">
        <f t="shared" si="694"/>
        <v>0</v>
      </c>
      <c r="BE431" s="38">
        <f t="shared" si="694"/>
        <v>0</v>
      </c>
      <c r="BF431" s="38">
        <f t="shared" si="694"/>
        <v>0</v>
      </c>
      <c r="BG431" s="38">
        <f t="shared" si="694"/>
        <v>0</v>
      </c>
      <c r="BH431" s="38">
        <f t="shared" si="694"/>
        <v>0</v>
      </c>
      <c r="BI431" s="38">
        <f t="shared" si="694"/>
        <v>0</v>
      </c>
      <c r="BJ431" s="38">
        <f t="shared" si="694"/>
        <v>0</v>
      </c>
      <c r="BK431" s="38">
        <f t="shared" si="694"/>
        <v>0</v>
      </c>
      <c r="BL431" s="38">
        <f t="shared" si="694"/>
        <v>0</v>
      </c>
      <c r="BM431" s="38">
        <f t="shared" si="694"/>
        <v>0</v>
      </c>
      <c r="BN431" s="38">
        <f t="shared" si="694"/>
        <v>0</v>
      </c>
      <c r="BO431" s="38">
        <f t="shared" si="694"/>
        <v>0</v>
      </c>
      <c r="BP431" s="38">
        <f t="shared" si="694"/>
        <v>0</v>
      </c>
      <c r="BQ431" s="38">
        <f t="shared" si="694"/>
        <v>0</v>
      </c>
      <c r="BR431" s="38">
        <f t="shared" si="694"/>
        <v>0</v>
      </c>
      <c r="BS431" s="38">
        <f t="shared" si="694"/>
        <v>0</v>
      </c>
      <c r="BT431" s="38">
        <f t="shared" si="694"/>
        <v>0</v>
      </c>
      <c r="BU431" s="38">
        <f t="shared" si="694"/>
        <v>0</v>
      </c>
      <c r="BV431" s="38">
        <f t="shared" si="694"/>
        <v>0</v>
      </c>
      <c r="BW431" s="38">
        <f t="shared" si="694"/>
        <v>0</v>
      </c>
      <c r="BX431" s="38">
        <f t="shared" si="694"/>
        <v>0</v>
      </c>
      <c r="BY431" s="38">
        <f t="shared" si="694"/>
        <v>0</v>
      </c>
      <c r="BZ431" s="38">
        <f t="shared" si="694"/>
        <v>0</v>
      </c>
      <c r="CA431" s="38">
        <f t="shared" si="694"/>
        <v>0</v>
      </c>
      <c r="CB431" s="38">
        <f t="shared" si="694"/>
        <v>0</v>
      </c>
      <c r="CC431" s="38">
        <f t="shared" si="694"/>
        <v>0</v>
      </c>
      <c r="CD431" s="38">
        <f t="shared" si="694"/>
        <v>0</v>
      </c>
      <c r="CE431" s="38">
        <f t="shared" si="694"/>
        <v>0</v>
      </c>
      <c r="CF431" s="38">
        <f t="shared" si="694"/>
        <v>0</v>
      </c>
      <c r="CG431" s="38">
        <f t="shared" si="694"/>
        <v>0</v>
      </c>
      <c r="CH431" s="38">
        <f t="shared" si="694"/>
        <v>0</v>
      </c>
      <c r="CI431" s="38">
        <f t="shared" si="694"/>
        <v>0</v>
      </c>
      <c r="CJ431" s="38">
        <f t="shared" si="694"/>
        <v>0</v>
      </c>
      <c r="CK431" s="38">
        <f t="shared" si="694"/>
        <v>0</v>
      </c>
      <c r="CL431" s="38">
        <f t="shared" si="694"/>
        <v>0</v>
      </c>
      <c r="CM431" s="38">
        <f t="shared" si="694"/>
        <v>0</v>
      </c>
      <c r="CN431" s="38">
        <f t="shared" si="694"/>
        <v>0</v>
      </c>
      <c r="CO431" s="38">
        <f t="shared" si="694"/>
        <v>0</v>
      </c>
      <c r="CP431" s="38">
        <f t="shared" si="694"/>
        <v>0</v>
      </c>
      <c r="CQ431" s="38">
        <f t="shared" si="694"/>
        <v>0</v>
      </c>
      <c r="CR431" s="38">
        <f t="shared" si="694"/>
        <v>0</v>
      </c>
      <c r="CS431" s="38">
        <f t="shared" si="694"/>
        <v>0</v>
      </c>
      <c r="CT431" s="38">
        <f t="shared" si="694"/>
        <v>0</v>
      </c>
      <c r="CU431" s="17">
        <f t="shared" si="660"/>
        <v>17332</v>
      </c>
      <c r="CV431" s="25">
        <f t="shared" si="661"/>
        <v>0</v>
      </c>
    </row>
    <row r="432" spans="1:100" x14ac:dyDescent="0.2">
      <c r="A432" s="2">
        <v>45889</v>
      </c>
      <c r="B432" s="3" t="s">
        <v>782</v>
      </c>
      <c r="C432" s="4" t="s">
        <v>880</v>
      </c>
      <c r="D432" s="5" t="s">
        <v>122</v>
      </c>
      <c r="E432" s="6" t="s">
        <v>793</v>
      </c>
      <c r="F432" s="7" t="s">
        <v>258</v>
      </c>
      <c r="G432" s="8" t="s">
        <v>259</v>
      </c>
      <c r="H432" s="9">
        <v>100288842</v>
      </c>
      <c r="I432" s="10" t="s">
        <v>794</v>
      </c>
      <c r="J432" s="11" t="s">
        <v>795</v>
      </c>
      <c r="K432" s="12">
        <v>4</v>
      </c>
      <c r="L432" s="13">
        <v>67</v>
      </c>
      <c r="M432" s="14">
        <f t="shared" ref="M432" si="695">L432*K432</f>
        <v>268</v>
      </c>
      <c r="N432" s="15"/>
      <c r="O432" s="16" t="s">
        <v>111</v>
      </c>
      <c r="P432" s="17">
        <f>M432/1.12*0.01</f>
        <v>2.3928571428571423</v>
      </c>
      <c r="Q432" s="18">
        <f>M432/1.12*0.12</f>
        <v>28.714285714285708</v>
      </c>
      <c r="R432" s="5"/>
      <c r="S432" s="19"/>
      <c r="T432" s="19"/>
      <c r="U432" s="19"/>
      <c r="V432" s="19"/>
      <c r="W432" s="17"/>
      <c r="X432" s="20"/>
      <c r="Y432" s="19"/>
      <c r="Z432" s="19"/>
      <c r="AA432" s="19"/>
      <c r="AB432" s="19"/>
      <c r="AC432" s="19"/>
      <c r="AD432" s="19"/>
      <c r="AE432" s="5"/>
      <c r="AF432" s="19"/>
      <c r="AG432" s="5"/>
      <c r="AH432" s="17">
        <f>M432+P432-Q432</f>
        <v>241.67857142857144</v>
      </c>
      <c r="AI432" s="19"/>
      <c r="AJ432" s="19"/>
      <c r="AK432" s="19"/>
      <c r="AL432" s="19"/>
      <c r="AM432" s="17"/>
      <c r="AN432" s="19"/>
      <c r="AO432" s="19"/>
      <c r="AP432" s="5"/>
      <c r="AQ432" s="19"/>
      <c r="AR432" s="19"/>
      <c r="AS432" s="21"/>
      <c r="AT432" s="5"/>
      <c r="AU432" s="19"/>
      <c r="AV432" s="5"/>
      <c r="AW432" s="22"/>
      <c r="AX432" s="19"/>
      <c r="AY432" s="5"/>
      <c r="AZ432" s="19"/>
      <c r="BA432" s="5"/>
      <c r="BB432" s="5"/>
      <c r="BC432" s="19"/>
      <c r="BD432" s="19"/>
      <c r="BE432" s="19"/>
      <c r="BF432" s="19"/>
      <c r="BG432" s="19"/>
      <c r="BH432" s="19"/>
      <c r="BI432" s="19"/>
      <c r="BJ432" s="19"/>
      <c r="BK432" s="13"/>
      <c r="BL432" s="5"/>
      <c r="BM432" s="5"/>
      <c r="BN432" s="19"/>
      <c r="BO432" s="17"/>
      <c r="BP432" s="19"/>
      <c r="BQ432" s="17"/>
      <c r="BR432" s="19"/>
      <c r="BS432" s="13"/>
      <c r="BT432" s="5"/>
      <c r="BU432" s="23"/>
      <c r="BV432" s="23"/>
      <c r="BW432" s="24"/>
      <c r="BX432" s="5"/>
      <c r="BY432" s="5"/>
      <c r="BZ432" s="5"/>
      <c r="CA432" s="24"/>
      <c r="CB432" s="24"/>
      <c r="CC432" s="24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>
        <f t="shared" si="660"/>
        <v>268</v>
      </c>
      <c r="CV432" s="25">
        <f t="shared" si="661"/>
        <v>0</v>
      </c>
    </row>
    <row r="433" spans="1:100" s="205" customFormat="1" x14ac:dyDescent="0.2">
      <c r="A433" s="192"/>
      <c r="B433" s="193"/>
      <c r="C433" s="194"/>
      <c r="D433" s="195"/>
      <c r="E433" s="196"/>
      <c r="F433" s="197"/>
      <c r="G433" s="198"/>
      <c r="H433" s="199"/>
      <c r="I433" s="199"/>
      <c r="J433" s="200"/>
      <c r="K433" s="201"/>
      <c r="L433" s="202"/>
      <c r="M433" s="203">
        <f>SUM(M432:M432)</f>
        <v>268</v>
      </c>
      <c r="N433" s="203">
        <f>M433+M431+M427</f>
        <v>23700</v>
      </c>
      <c r="O433" s="204" t="s">
        <v>111</v>
      </c>
      <c r="P433" s="203">
        <f>SUM(P432:P432)</f>
        <v>2.3928571428571423</v>
      </c>
      <c r="Q433" s="203">
        <f>SUM(Q432:Q432)</f>
        <v>28.714285714285708</v>
      </c>
      <c r="R433" s="195"/>
      <c r="S433" s="203">
        <f t="shared" ref="S433:AD433" si="696">SUM(S432:S432)</f>
        <v>0</v>
      </c>
      <c r="T433" s="203">
        <f t="shared" si="696"/>
        <v>0</v>
      </c>
      <c r="U433" s="203">
        <f t="shared" si="696"/>
        <v>0</v>
      </c>
      <c r="V433" s="203">
        <f t="shared" si="696"/>
        <v>0</v>
      </c>
      <c r="W433" s="203">
        <f t="shared" si="696"/>
        <v>0</v>
      </c>
      <c r="X433" s="203">
        <f t="shared" si="696"/>
        <v>0</v>
      </c>
      <c r="Y433" s="203">
        <f t="shared" si="696"/>
        <v>0</v>
      </c>
      <c r="Z433" s="203">
        <f t="shared" si="696"/>
        <v>0</v>
      </c>
      <c r="AA433" s="203">
        <f t="shared" si="696"/>
        <v>0</v>
      </c>
      <c r="AB433" s="203">
        <f t="shared" si="696"/>
        <v>0</v>
      </c>
      <c r="AC433" s="203">
        <f t="shared" si="696"/>
        <v>0</v>
      </c>
      <c r="AD433" s="203">
        <f t="shared" si="696"/>
        <v>0</v>
      </c>
      <c r="AE433" s="195"/>
      <c r="AF433" s="203">
        <f>SUM(AF432:AF432)</f>
        <v>0</v>
      </c>
      <c r="AG433" s="195"/>
      <c r="AH433" s="203">
        <f>SUM(AH432:AH432)</f>
        <v>241.67857142857144</v>
      </c>
      <c r="AI433" s="203">
        <f t="shared" ref="AI433:AZ433" si="697">SUM(AI432:AI432)</f>
        <v>0</v>
      </c>
      <c r="AJ433" s="203">
        <f t="shared" si="697"/>
        <v>0</v>
      </c>
      <c r="AK433" s="203">
        <f t="shared" si="697"/>
        <v>0</v>
      </c>
      <c r="AL433" s="203">
        <f t="shared" si="697"/>
        <v>0</v>
      </c>
      <c r="AM433" s="203">
        <f t="shared" si="697"/>
        <v>0</v>
      </c>
      <c r="AN433" s="203">
        <f t="shared" si="697"/>
        <v>0</v>
      </c>
      <c r="AO433" s="203">
        <f t="shared" si="697"/>
        <v>0</v>
      </c>
      <c r="AP433" s="195"/>
      <c r="AQ433" s="203">
        <f t="shared" si="697"/>
        <v>0</v>
      </c>
      <c r="AR433" s="203">
        <f t="shared" si="697"/>
        <v>0</v>
      </c>
      <c r="AS433" s="203">
        <f t="shared" si="697"/>
        <v>0</v>
      </c>
      <c r="AT433" s="203">
        <f t="shared" si="697"/>
        <v>0</v>
      </c>
      <c r="AU433" s="203">
        <f t="shared" si="697"/>
        <v>0</v>
      </c>
      <c r="AV433" s="203">
        <f t="shared" si="697"/>
        <v>0</v>
      </c>
      <c r="AW433" s="203">
        <f t="shared" si="697"/>
        <v>0</v>
      </c>
      <c r="AX433" s="203">
        <f t="shared" si="697"/>
        <v>0</v>
      </c>
      <c r="AY433" s="203">
        <f t="shared" si="697"/>
        <v>0</v>
      </c>
      <c r="AZ433" s="203">
        <f t="shared" si="697"/>
        <v>0</v>
      </c>
      <c r="BA433" s="195"/>
      <c r="BB433" s="203">
        <f t="shared" ref="BB433:CT433" si="698">SUM(BB432:BB432)</f>
        <v>0</v>
      </c>
      <c r="BC433" s="203">
        <f t="shared" si="698"/>
        <v>0</v>
      </c>
      <c r="BD433" s="203">
        <f t="shared" si="698"/>
        <v>0</v>
      </c>
      <c r="BE433" s="203">
        <f t="shared" si="698"/>
        <v>0</v>
      </c>
      <c r="BF433" s="203">
        <f t="shared" si="698"/>
        <v>0</v>
      </c>
      <c r="BG433" s="203">
        <f t="shared" si="698"/>
        <v>0</v>
      </c>
      <c r="BH433" s="203">
        <f t="shared" si="698"/>
        <v>0</v>
      </c>
      <c r="BI433" s="203">
        <f t="shared" si="698"/>
        <v>0</v>
      </c>
      <c r="BJ433" s="203">
        <f t="shared" si="698"/>
        <v>0</v>
      </c>
      <c r="BK433" s="203">
        <f t="shared" si="698"/>
        <v>0</v>
      </c>
      <c r="BL433" s="203">
        <f t="shared" si="698"/>
        <v>0</v>
      </c>
      <c r="BM433" s="203">
        <f t="shared" si="698"/>
        <v>0</v>
      </c>
      <c r="BN433" s="203">
        <f t="shared" si="698"/>
        <v>0</v>
      </c>
      <c r="BO433" s="203">
        <f t="shared" si="698"/>
        <v>0</v>
      </c>
      <c r="BP433" s="203">
        <f t="shared" si="698"/>
        <v>0</v>
      </c>
      <c r="BQ433" s="203">
        <f t="shared" si="698"/>
        <v>0</v>
      </c>
      <c r="BR433" s="203">
        <f t="shared" si="698"/>
        <v>0</v>
      </c>
      <c r="BS433" s="203">
        <f t="shared" si="698"/>
        <v>0</v>
      </c>
      <c r="BT433" s="203">
        <f t="shared" si="698"/>
        <v>0</v>
      </c>
      <c r="BU433" s="203">
        <f t="shared" si="698"/>
        <v>0</v>
      </c>
      <c r="BV433" s="203">
        <f t="shared" si="698"/>
        <v>0</v>
      </c>
      <c r="BW433" s="203">
        <f t="shared" si="698"/>
        <v>0</v>
      </c>
      <c r="BX433" s="203">
        <f t="shared" si="698"/>
        <v>0</v>
      </c>
      <c r="BY433" s="203">
        <f t="shared" si="698"/>
        <v>0</v>
      </c>
      <c r="BZ433" s="203">
        <f t="shared" si="698"/>
        <v>0</v>
      </c>
      <c r="CA433" s="203">
        <f t="shared" si="698"/>
        <v>0</v>
      </c>
      <c r="CB433" s="203">
        <f t="shared" si="698"/>
        <v>0</v>
      </c>
      <c r="CC433" s="203">
        <f t="shared" si="698"/>
        <v>0</v>
      </c>
      <c r="CD433" s="203">
        <f t="shared" si="698"/>
        <v>0</v>
      </c>
      <c r="CE433" s="203">
        <f t="shared" si="698"/>
        <v>0</v>
      </c>
      <c r="CF433" s="203">
        <f t="shared" si="698"/>
        <v>0</v>
      </c>
      <c r="CG433" s="203">
        <f t="shared" si="698"/>
        <v>0</v>
      </c>
      <c r="CH433" s="203">
        <f t="shared" si="698"/>
        <v>0</v>
      </c>
      <c r="CI433" s="203">
        <f t="shared" si="698"/>
        <v>0</v>
      </c>
      <c r="CJ433" s="203">
        <f t="shared" si="698"/>
        <v>0</v>
      </c>
      <c r="CK433" s="203">
        <f t="shared" si="698"/>
        <v>0</v>
      </c>
      <c r="CL433" s="203">
        <f t="shared" si="698"/>
        <v>0</v>
      </c>
      <c r="CM433" s="203">
        <f t="shared" si="698"/>
        <v>0</v>
      </c>
      <c r="CN433" s="203">
        <f t="shared" si="698"/>
        <v>0</v>
      </c>
      <c r="CO433" s="203">
        <f t="shared" si="698"/>
        <v>0</v>
      </c>
      <c r="CP433" s="203">
        <f t="shared" si="698"/>
        <v>0</v>
      </c>
      <c r="CQ433" s="203">
        <f t="shared" si="698"/>
        <v>0</v>
      </c>
      <c r="CR433" s="203">
        <f t="shared" si="698"/>
        <v>0</v>
      </c>
      <c r="CS433" s="203">
        <f t="shared" si="698"/>
        <v>0</v>
      </c>
      <c r="CT433" s="203">
        <f t="shared" si="698"/>
        <v>0</v>
      </c>
      <c r="CU433" s="17">
        <f t="shared" si="660"/>
        <v>268</v>
      </c>
      <c r="CV433" s="25">
        <f t="shared" si="661"/>
        <v>0</v>
      </c>
    </row>
    <row r="434" spans="1:100" x14ac:dyDescent="0.2">
      <c r="A434" s="2">
        <v>45889</v>
      </c>
      <c r="B434" s="3" t="s">
        <v>796</v>
      </c>
      <c r="C434" s="4" t="s">
        <v>881</v>
      </c>
      <c r="D434" s="5" t="s">
        <v>797</v>
      </c>
      <c r="E434" s="6" t="s">
        <v>798</v>
      </c>
      <c r="F434" s="7" t="s">
        <v>467</v>
      </c>
      <c r="G434" s="8"/>
      <c r="H434" s="9">
        <v>2366</v>
      </c>
      <c r="I434" s="10"/>
      <c r="J434" s="11" t="s">
        <v>799</v>
      </c>
      <c r="K434" s="12">
        <v>1</v>
      </c>
      <c r="L434" s="13">
        <v>125</v>
      </c>
      <c r="M434" s="14">
        <f t="shared" ref="M434" si="699">L434*K434</f>
        <v>125</v>
      </c>
      <c r="N434" s="15"/>
      <c r="O434" s="16" t="s">
        <v>137</v>
      </c>
      <c r="P434" s="17"/>
      <c r="Q434" s="18"/>
      <c r="R434" s="5"/>
      <c r="S434" s="19"/>
      <c r="T434" s="19"/>
      <c r="U434" s="19"/>
      <c r="V434" s="17">
        <f>M434+P434-Q434</f>
        <v>125</v>
      </c>
      <c r="W434" s="17"/>
      <c r="X434" s="20"/>
      <c r="Y434" s="19"/>
      <c r="Z434" s="19"/>
      <c r="AA434" s="19"/>
      <c r="AB434" s="19"/>
      <c r="AC434" s="19"/>
      <c r="AD434" s="19"/>
      <c r="AE434" s="5"/>
      <c r="AF434" s="19"/>
      <c r="AG434" s="5"/>
      <c r="AH434" s="17"/>
      <c r="AI434" s="19"/>
      <c r="AJ434" s="19"/>
      <c r="AK434" s="19"/>
      <c r="AL434" s="19"/>
      <c r="AM434" s="17"/>
      <c r="AN434" s="19"/>
      <c r="AO434" s="19"/>
      <c r="AP434" s="19"/>
      <c r="AQ434" s="19"/>
      <c r="AR434" s="19"/>
      <c r="AS434" s="21"/>
      <c r="AT434" s="5"/>
      <c r="AU434" s="19"/>
      <c r="AV434" s="5"/>
      <c r="AW434" s="22"/>
      <c r="AX434" s="19"/>
      <c r="AY434" s="5"/>
      <c r="AZ434" s="19"/>
      <c r="BA434" s="5"/>
      <c r="BB434" s="5"/>
      <c r="BC434" s="19"/>
      <c r="BD434" s="19"/>
      <c r="BE434" s="19"/>
      <c r="BF434" s="19"/>
      <c r="BG434" s="19"/>
      <c r="BH434" s="19"/>
      <c r="BI434" s="19"/>
      <c r="BJ434" s="19"/>
      <c r="BK434" s="13"/>
      <c r="BL434" s="5"/>
      <c r="BM434" s="5"/>
      <c r="BN434" s="19"/>
      <c r="BO434" s="17"/>
      <c r="BP434" s="19"/>
      <c r="BQ434" s="17"/>
      <c r="BR434" s="19"/>
      <c r="BS434" s="13"/>
      <c r="BT434" s="5"/>
      <c r="BU434" s="23"/>
      <c r="BV434" s="23"/>
      <c r="BW434" s="24"/>
      <c r="BX434" s="5"/>
      <c r="BY434" s="5"/>
      <c r="BZ434" s="5"/>
      <c r="CA434" s="24"/>
      <c r="CB434" s="24"/>
      <c r="CC434" s="24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>
        <f t="shared" si="660"/>
        <v>125</v>
      </c>
      <c r="CV434" s="25">
        <f t="shared" si="661"/>
        <v>0</v>
      </c>
    </row>
    <row r="435" spans="1:100" s="205" customFormat="1" x14ac:dyDescent="0.2">
      <c r="A435" s="192"/>
      <c r="B435" s="193"/>
      <c r="C435" s="194"/>
      <c r="D435" s="195"/>
      <c r="E435" s="196"/>
      <c r="F435" s="197"/>
      <c r="G435" s="198"/>
      <c r="H435" s="199"/>
      <c r="I435" s="199"/>
      <c r="J435" s="200"/>
      <c r="K435" s="201"/>
      <c r="L435" s="202"/>
      <c r="M435" s="203">
        <f>SUM(M434:M434)</f>
        <v>125</v>
      </c>
      <c r="N435" s="203">
        <f>M435</f>
        <v>125</v>
      </c>
      <c r="O435" s="204" t="s">
        <v>137</v>
      </c>
      <c r="P435" s="203"/>
      <c r="Q435" s="203"/>
      <c r="R435" s="195"/>
      <c r="S435" s="203">
        <f t="shared" ref="S435:AD435" si="700">SUM(S434:S434)</f>
        <v>0</v>
      </c>
      <c r="T435" s="203">
        <f t="shared" si="700"/>
        <v>0</v>
      </c>
      <c r="U435" s="203">
        <f t="shared" si="700"/>
        <v>0</v>
      </c>
      <c r="V435" s="203">
        <f>SUM(V434:V434)</f>
        <v>125</v>
      </c>
      <c r="W435" s="203">
        <f t="shared" si="700"/>
        <v>0</v>
      </c>
      <c r="X435" s="203">
        <f t="shared" si="700"/>
        <v>0</v>
      </c>
      <c r="Y435" s="203">
        <f t="shared" si="700"/>
        <v>0</v>
      </c>
      <c r="Z435" s="203">
        <f t="shared" si="700"/>
        <v>0</v>
      </c>
      <c r="AA435" s="203">
        <f t="shared" si="700"/>
        <v>0</v>
      </c>
      <c r="AB435" s="203">
        <f t="shared" si="700"/>
        <v>0</v>
      </c>
      <c r="AC435" s="203">
        <f t="shared" si="700"/>
        <v>0</v>
      </c>
      <c r="AD435" s="203">
        <f t="shared" si="700"/>
        <v>0</v>
      </c>
      <c r="AE435" s="195"/>
      <c r="AF435" s="203">
        <f>SUM(AF434:AF434)</f>
        <v>0</v>
      </c>
      <c r="AG435" s="195"/>
      <c r="AH435" s="203">
        <f t="shared" ref="AH435:AZ435" si="701">SUM(AH434:AH434)</f>
        <v>0</v>
      </c>
      <c r="AI435" s="203">
        <f t="shared" si="701"/>
        <v>0</v>
      </c>
      <c r="AJ435" s="203">
        <f t="shared" si="701"/>
        <v>0</v>
      </c>
      <c r="AK435" s="203">
        <f t="shared" si="701"/>
        <v>0</v>
      </c>
      <c r="AL435" s="203">
        <f t="shared" si="701"/>
        <v>0</v>
      </c>
      <c r="AM435" s="203">
        <f t="shared" si="701"/>
        <v>0</v>
      </c>
      <c r="AN435" s="203">
        <f t="shared" si="701"/>
        <v>0</v>
      </c>
      <c r="AO435" s="203">
        <f t="shared" si="701"/>
        <v>0</v>
      </c>
      <c r="AP435" s="203">
        <f t="shared" si="701"/>
        <v>0</v>
      </c>
      <c r="AQ435" s="203">
        <f t="shared" si="701"/>
        <v>0</v>
      </c>
      <c r="AR435" s="203">
        <f t="shared" si="701"/>
        <v>0</v>
      </c>
      <c r="AS435" s="203">
        <f t="shared" si="701"/>
        <v>0</v>
      </c>
      <c r="AT435" s="203">
        <f t="shared" si="701"/>
        <v>0</v>
      </c>
      <c r="AU435" s="203">
        <f t="shared" si="701"/>
        <v>0</v>
      </c>
      <c r="AV435" s="203">
        <f t="shared" si="701"/>
        <v>0</v>
      </c>
      <c r="AW435" s="203">
        <f t="shared" si="701"/>
        <v>0</v>
      </c>
      <c r="AX435" s="203">
        <f t="shared" si="701"/>
        <v>0</v>
      </c>
      <c r="AY435" s="203">
        <f t="shared" si="701"/>
        <v>0</v>
      </c>
      <c r="AZ435" s="203">
        <f t="shared" si="701"/>
        <v>0</v>
      </c>
      <c r="BA435" s="195"/>
      <c r="BB435" s="203">
        <f t="shared" ref="BB435:CT435" si="702">SUM(BB434:BB434)</f>
        <v>0</v>
      </c>
      <c r="BC435" s="203">
        <f t="shared" si="702"/>
        <v>0</v>
      </c>
      <c r="BD435" s="203">
        <f t="shared" si="702"/>
        <v>0</v>
      </c>
      <c r="BE435" s="203">
        <f t="shared" si="702"/>
        <v>0</v>
      </c>
      <c r="BF435" s="203">
        <f t="shared" si="702"/>
        <v>0</v>
      </c>
      <c r="BG435" s="203">
        <f t="shared" si="702"/>
        <v>0</v>
      </c>
      <c r="BH435" s="203">
        <f t="shared" si="702"/>
        <v>0</v>
      </c>
      <c r="BI435" s="203">
        <f t="shared" si="702"/>
        <v>0</v>
      </c>
      <c r="BJ435" s="203">
        <f t="shared" si="702"/>
        <v>0</v>
      </c>
      <c r="BK435" s="203">
        <f t="shared" si="702"/>
        <v>0</v>
      </c>
      <c r="BL435" s="203">
        <f t="shared" si="702"/>
        <v>0</v>
      </c>
      <c r="BM435" s="203">
        <f t="shared" si="702"/>
        <v>0</v>
      </c>
      <c r="BN435" s="203">
        <f t="shared" si="702"/>
        <v>0</v>
      </c>
      <c r="BO435" s="203">
        <f t="shared" si="702"/>
        <v>0</v>
      </c>
      <c r="BP435" s="203">
        <f t="shared" si="702"/>
        <v>0</v>
      </c>
      <c r="BQ435" s="203">
        <f t="shared" si="702"/>
        <v>0</v>
      </c>
      <c r="BR435" s="203">
        <f t="shared" si="702"/>
        <v>0</v>
      </c>
      <c r="BS435" s="203">
        <f t="shared" si="702"/>
        <v>0</v>
      </c>
      <c r="BT435" s="203">
        <f t="shared" si="702"/>
        <v>0</v>
      </c>
      <c r="BU435" s="203">
        <f t="shared" si="702"/>
        <v>0</v>
      </c>
      <c r="BV435" s="203">
        <f t="shared" si="702"/>
        <v>0</v>
      </c>
      <c r="BW435" s="203">
        <f t="shared" si="702"/>
        <v>0</v>
      </c>
      <c r="BX435" s="203">
        <f t="shared" si="702"/>
        <v>0</v>
      </c>
      <c r="BY435" s="203">
        <f t="shared" si="702"/>
        <v>0</v>
      </c>
      <c r="BZ435" s="203">
        <f t="shared" si="702"/>
        <v>0</v>
      </c>
      <c r="CA435" s="203">
        <f t="shared" si="702"/>
        <v>0</v>
      </c>
      <c r="CB435" s="203">
        <f t="shared" si="702"/>
        <v>0</v>
      </c>
      <c r="CC435" s="203">
        <f t="shared" si="702"/>
        <v>0</v>
      </c>
      <c r="CD435" s="203">
        <f t="shared" si="702"/>
        <v>0</v>
      </c>
      <c r="CE435" s="203">
        <f t="shared" si="702"/>
        <v>0</v>
      </c>
      <c r="CF435" s="203">
        <f t="shared" si="702"/>
        <v>0</v>
      </c>
      <c r="CG435" s="203">
        <f t="shared" si="702"/>
        <v>0</v>
      </c>
      <c r="CH435" s="203">
        <f t="shared" si="702"/>
        <v>0</v>
      </c>
      <c r="CI435" s="203">
        <f t="shared" si="702"/>
        <v>0</v>
      </c>
      <c r="CJ435" s="203">
        <f t="shared" si="702"/>
        <v>0</v>
      </c>
      <c r="CK435" s="203">
        <f t="shared" si="702"/>
        <v>0</v>
      </c>
      <c r="CL435" s="203">
        <f t="shared" si="702"/>
        <v>0</v>
      </c>
      <c r="CM435" s="203">
        <f t="shared" si="702"/>
        <v>0</v>
      </c>
      <c r="CN435" s="203">
        <f t="shared" si="702"/>
        <v>0</v>
      </c>
      <c r="CO435" s="203">
        <f t="shared" si="702"/>
        <v>0</v>
      </c>
      <c r="CP435" s="203">
        <f t="shared" si="702"/>
        <v>0</v>
      </c>
      <c r="CQ435" s="203">
        <f t="shared" si="702"/>
        <v>0</v>
      </c>
      <c r="CR435" s="203">
        <f t="shared" si="702"/>
        <v>0</v>
      </c>
      <c r="CS435" s="203">
        <f t="shared" si="702"/>
        <v>0</v>
      </c>
      <c r="CT435" s="203">
        <f t="shared" si="702"/>
        <v>0</v>
      </c>
      <c r="CU435" s="17">
        <f t="shared" si="660"/>
        <v>125</v>
      </c>
      <c r="CV435" s="25">
        <f t="shared" si="661"/>
        <v>0</v>
      </c>
    </row>
    <row r="436" spans="1:100" x14ac:dyDescent="0.2">
      <c r="A436" s="2">
        <v>45891</v>
      </c>
      <c r="B436" s="3" t="s">
        <v>800</v>
      </c>
      <c r="C436" s="4" t="s">
        <v>882</v>
      </c>
      <c r="D436" s="5" t="s">
        <v>189</v>
      </c>
      <c r="E436" s="6" t="s">
        <v>272</v>
      </c>
      <c r="F436" s="7"/>
      <c r="G436" s="8" t="s">
        <v>273</v>
      </c>
      <c r="H436" s="9">
        <v>30586</v>
      </c>
      <c r="I436" s="10"/>
      <c r="J436" s="11" t="s">
        <v>339</v>
      </c>
      <c r="K436" s="12">
        <v>6</v>
      </c>
      <c r="L436" s="13">
        <v>90</v>
      </c>
      <c r="M436" s="14">
        <f t="shared" ref="M436" si="703">L436*K436</f>
        <v>540</v>
      </c>
      <c r="N436" s="15"/>
      <c r="O436" s="16" t="s">
        <v>111</v>
      </c>
      <c r="P436" s="17">
        <f>M436/1.12*0.01</f>
        <v>4.8214285714285712</v>
      </c>
      <c r="Q436" s="18">
        <f>M436/1.12*0.12</f>
        <v>57.857142857142854</v>
      </c>
      <c r="R436" s="17">
        <f>M436+P436-Q436</f>
        <v>486.96428571428572</v>
      </c>
      <c r="S436" s="19"/>
      <c r="T436" s="19"/>
      <c r="U436" s="19"/>
      <c r="V436" s="19"/>
      <c r="W436" s="17"/>
      <c r="X436" s="20"/>
      <c r="Y436" s="19"/>
      <c r="Z436" s="19"/>
      <c r="AA436" s="19"/>
      <c r="AB436" s="19"/>
      <c r="AC436" s="19"/>
      <c r="AD436" s="19"/>
      <c r="AE436" s="5"/>
      <c r="AF436" s="19"/>
      <c r="AG436" s="5"/>
      <c r="AH436" s="17"/>
      <c r="AI436" s="19"/>
      <c r="AJ436" s="19"/>
      <c r="AK436" s="19"/>
      <c r="AL436" s="19"/>
      <c r="AM436" s="17"/>
      <c r="AN436" s="19"/>
      <c r="AO436" s="19"/>
      <c r="AP436" s="19"/>
      <c r="AQ436" s="19"/>
      <c r="AR436" s="19"/>
      <c r="AS436" s="21"/>
      <c r="AT436" s="5"/>
      <c r="AU436" s="19"/>
      <c r="AV436" s="5"/>
      <c r="AW436" s="22"/>
      <c r="AX436" s="19"/>
      <c r="AY436" s="5"/>
      <c r="AZ436" s="19"/>
      <c r="BA436" s="5"/>
      <c r="BB436" s="5"/>
      <c r="BC436" s="19"/>
      <c r="BD436" s="19"/>
      <c r="BE436" s="19"/>
      <c r="BF436" s="19"/>
      <c r="BG436" s="19"/>
      <c r="BH436" s="19"/>
      <c r="BI436" s="19"/>
      <c r="BJ436" s="19"/>
      <c r="BK436" s="13"/>
      <c r="BL436" s="5"/>
      <c r="BM436" s="5"/>
      <c r="BN436" s="19"/>
      <c r="BO436" s="17"/>
      <c r="BP436" s="19"/>
      <c r="BQ436" s="17"/>
      <c r="BR436" s="19"/>
      <c r="BS436" s="13"/>
      <c r="BT436" s="5"/>
      <c r="BU436" s="23"/>
      <c r="BV436" s="23"/>
      <c r="BW436" s="24"/>
      <c r="BX436" s="5"/>
      <c r="BY436" s="5"/>
      <c r="BZ436" s="5"/>
      <c r="CA436" s="24"/>
      <c r="CB436" s="24"/>
      <c r="CC436" s="24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>
        <f t="shared" si="660"/>
        <v>540</v>
      </c>
      <c r="CV436" s="25">
        <f t="shared" si="661"/>
        <v>0</v>
      </c>
    </row>
    <row r="437" spans="1:100" s="205" customFormat="1" x14ac:dyDescent="0.2">
      <c r="A437" s="192"/>
      <c r="B437" s="193"/>
      <c r="C437" s="194"/>
      <c r="D437" s="195"/>
      <c r="E437" s="196"/>
      <c r="F437" s="197"/>
      <c r="G437" s="198"/>
      <c r="H437" s="199"/>
      <c r="I437" s="199"/>
      <c r="J437" s="200"/>
      <c r="K437" s="201"/>
      <c r="L437" s="202"/>
      <c r="M437" s="203">
        <f>SUM(M436:M436)</f>
        <v>540</v>
      </c>
      <c r="N437" s="203">
        <f>M437</f>
        <v>540</v>
      </c>
      <c r="O437" s="204" t="s">
        <v>111</v>
      </c>
      <c r="P437" s="203">
        <f>SUM(P436:P436)</f>
        <v>4.8214285714285712</v>
      </c>
      <c r="Q437" s="203">
        <f>SUM(Q436:Q436)</f>
        <v>57.857142857142854</v>
      </c>
      <c r="R437" s="203">
        <f>SUM(R436:R436)</f>
        <v>486.96428571428572</v>
      </c>
      <c r="S437" s="203">
        <f t="shared" ref="S437:AD437" si="704">SUM(S436:S436)</f>
        <v>0</v>
      </c>
      <c r="T437" s="203">
        <f t="shared" si="704"/>
        <v>0</v>
      </c>
      <c r="U437" s="203">
        <f t="shared" si="704"/>
        <v>0</v>
      </c>
      <c r="V437" s="203">
        <f t="shared" si="704"/>
        <v>0</v>
      </c>
      <c r="W437" s="203">
        <f t="shared" si="704"/>
        <v>0</v>
      </c>
      <c r="X437" s="203">
        <f t="shared" si="704"/>
        <v>0</v>
      </c>
      <c r="Y437" s="203">
        <f t="shared" si="704"/>
        <v>0</v>
      </c>
      <c r="Z437" s="203">
        <f t="shared" si="704"/>
        <v>0</v>
      </c>
      <c r="AA437" s="203">
        <f t="shared" si="704"/>
        <v>0</v>
      </c>
      <c r="AB437" s="203">
        <f t="shared" si="704"/>
        <v>0</v>
      </c>
      <c r="AC437" s="203">
        <f t="shared" si="704"/>
        <v>0</v>
      </c>
      <c r="AD437" s="203">
        <f t="shared" si="704"/>
        <v>0</v>
      </c>
      <c r="AE437" s="195"/>
      <c r="AF437" s="203">
        <f>SUM(AF436:AF436)</f>
        <v>0</v>
      </c>
      <c r="AG437" s="195"/>
      <c r="AH437" s="203">
        <f t="shared" ref="AH437:AZ437" si="705">SUM(AH436:AH436)</f>
        <v>0</v>
      </c>
      <c r="AI437" s="203">
        <f t="shared" si="705"/>
        <v>0</v>
      </c>
      <c r="AJ437" s="203">
        <f t="shared" si="705"/>
        <v>0</v>
      </c>
      <c r="AK437" s="203">
        <f t="shared" si="705"/>
        <v>0</v>
      </c>
      <c r="AL437" s="203">
        <f t="shared" si="705"/>
        <v>0</v>
      </c>
      <c r="AM437" s="203">
        <f t="shared" si="705"/>
        <v>0</v>
      </c>
      <c r="AN437" s="203">
        <f t="shared" si="705"/>
        <v>0</v>
      </c>
      <c r="AO437" s="203">
        <f t="shared" si="705"/>
        <v>0</v>
      </c>
      <c r="AP437" s="203">
        <f t="shared" si="705"/>
        <v>0</v>
      </c>
      <c r="AQ437" s="203">
        <f t="shared" si="705"/>
        <v>0</v>
      </c>
      <c r="AR437" s="203">
        <f t="shared" si="705"/>
        <v>0</v>
      </c>
      <c r="AS437" s="203">
        <f t="shared" si="705"/>
        <v>0</v>
      </c>
      <c r="AT437" s="203">
        <f t="shared" si="705"/>
        <v>0</v>
      </c>
      <c r="AU437" s="203">
        <f t="shared" si="705"/>
        <v>0</v>
      </c>
      <c r="AV437" s="203">
        <f t="shared" si="705"/>
        <v>0</v>
      </c>
      <c r="AW437" s="203">
        <f t="shared" si="705"/>
        <v>0</v>
      </c>
      <c r="AX437" s="203">
        <f t="shared" si="705"/>
        <v>0</v>
      </c>
      <c r="AY437" s="203">
        <f t="shared" si="705"/>
        <v>0</v>
      </c>
      <c r="AZ437" s="203">
        <f t="shared" si="705"/>
        <v>0</v>
      </c>
      <c r="BA437" s="195"/>
      <c r="BB437" s="203">
        <f t="shared" ref="BB437:CT437" si="706">SUM(BB436:BB436)</f>
        <v>0</v>
      </c>
      <c r="BC437" s="203">
        <f t="shared" si="706"/>
        <v>0</v>
      </c>
      <c r="BD437" s="203">
        <f t="shared" si="706"/>
        <v>0</v>
      </c>
      <c r="BE437" s="203">
        <f t="shared" si="706"/>
        <v>0</v>
      </c>
      <c r="BF437" s="203">
        <f t="shared" si="706"/>
        <v>0</v>
      </c>
      <c r="BG437" s="203">
        <f t="shared" si="706"/>
        <v>0</v>
      </c>
      <c r="BH437" s="203">
        <f t="shared" si="706"/>
        <v>0</v>
      </c>
      <c r="BI437" s="203">
        <f t="shared" si="706"/>
        <v>0</v>
      </c>
      <c r="BJ437" s="203">
        <f t="shared" si="706"/>
        <v>0</v>
      </c>
      <c r="BK437" s="203">
        <f t="shared" si="706"/>
        <v>0</v>
      </c>
      <c r="BL437" s="203">
        <f t="shared" si="706"/>
        <v>0</v>
      </c>
      <c r="BM437" s="203">
        <f t="shared" si="706"/>
        <v>0</v>
      </c>
      <c r="BN437" s="203">
        <f t="shared" si="706"/>
        <v>0</v>
      </c>
      <c r="BO437" s="203">
        <f t="shared" si="706"/>
        <v>0</v>
      </c>
      <c r="BP437" s="203">
        <f t="shared" si="706"/>
        <v>0</v>
      </c>
      <c r="BQ437" s="203">
        <f t="shared" si="706"/>
        <v>0</v>
      </c>
      <c r="BR437" s="203">
        <f t="shared" si="706"/>
        <v>0</v>
      </c>
      <c r="BS437" s="203">
        <f t="shared" si="706"/>
        <v>0</v>
      </c>
      <c r="BT437" s="203">
        <f t="shared" si="706"/>
        <v>0</v>
      </c>
      <c r="BU437" s="203">
        <f t="shared" si="706"/>
        <v>0</v>
      </c>
      <c r="BV437" s="203">
        <f t="shared" si="706"/>
        <v>0</v>
      </c>
      <c r="BW437" s="203">
        <f t="shared" si="706"/>
        <v>0</v>
      </c>
      <c r="BX437" s="203">
        <f t="shared" si="706"/>
        <v>0</v>
      </c>
      <c r="BY437" s="203">
        <f t="shared" si="706"/>
        <v>0</v>
      </c>
      <c r="BZ437" s="203">
        <f t="shared" si="706"/>
        <v>0</v>
      </c>
      <c r="CA437" s="203">
        <f t="shared" si="706"/>
        <v>0</v>
      </c>
      <c r="CB437" s="203">
        <f t="shared" si="706"/>
        <v>0</v>
      </c>
      <c r="CC437" s="203">
        <f t="shared" si="706"/>
        <v>0</v>
      </c>
      <c r="CD437" s="203">
        <f t="shared" si="706"/>
        <v>0</v>
      </c>
      <c r="CE437" s="203">
        <f t="shared" si="706"/>
        <v>0</v>
      </c>
      <c r="CF437" s="203">
        <f t="shared" si="706"/>
        <v>0</v>
      </c>
      <c r="CG437" s="203">
        <f t="shared" si="706"/>
        <v>0</v>
      </c>
      <c r="CH437" s="203">
        <f t="shared" si="706"/>
        <v>0</v>
      </c>
      <c r="CI437" s="203">
        <f t="shared" si="706"/>
        <v>0</v>
      </c>
      <c r="CJ437" s="203">
        <f t="shared" si="706"/>
        <v>0</v>
      </c>
      <c r="CK437" s="203">
        <f t="shared" si="706"/>
        <v>0</v>
      </c>
      <c r="CL437" s="203">
        <f t="shared" si="706"/>
        <v>0</v>
      </c>
      <c r="CM437" s="203">
        <f t="shared" si="706"/>
        <v>0</v>
      </c>
      <c r="CN437" s="203">
        <f t="shared" si="706"/>
        <v>0</v>
      </c>
      <c r="CO437" s="203">
        <f t="shared" si="706"/>
        <v>0</v>
      </c>
      <c r="CP437" s="203">
        <f t="shared" si="706"/>
        <v>0</v>
      </c>
      <c r="CQ437" s="203">
        <f t="shared" si="706"/>
        <v>0</v>
      </c>
      <c r="CR437" s="203">
        <f t="shared" si="706"/>
        <v>0</v>
      </c>
      <c r="CS437" s="203">
        <f t="shared" si="706"/>
        <v>0</v>
      </c>
      <c r="CT437" s="203">
        <f t="shared" si="706"/>
        <v>0</v>
      </c>
      <c r="CU437" s="17">
        <f t="shared" si="660"/>
        <v>540</v>
      </c>
      <c r="CV437" s="25">
        <f t="shared" si="661"/>
        <v>0</v>
      </c>
    </row>
    <row r="438" spans="1:100" x14ac:dyDescent="0.2">
      <c r="A438" s="2">
        <v>45891</v>
      </c>
      <c r="B438" s="3" t="s">
        <v>801</v>
      </c>
      <c r="C438" s="4" t="s">
        <v>898</v>
      </c>
      <c r="D438" s="5" t="s">
        <v>122</v>
      </c>
      <c r="E438" s="6" t="s">
        <v>316</v>
      </c>
      <c r="F438" s="7" t="s">
        <v>229</v>
      </c>
      <c r="G438" s="8" t="s">
        <v>149</v>
      </c>
      <c r="H438" s="9">
        <v>226545</v>
      </c>
      <c r="I438" s="10"/>
      <c r="J438" s="11" t="s">
        <v>802</v>
      </c>
      <c r="K438" s="12">
        <v>1</v>
      </c>
      <c r="L438" s="13">
        <v>12</v>
      </c>
      <c r="M438" s="14">
        <f t="shared" ref="M438:M439" si="707">L438*K438</f>
        <v>12</v>
      </c>
      <c r="N438" s="15"/>
      <c r="O438" s="16" t="s">
        <v>111</v>
      </c>
      <c r="P438" s="17">
        <f>M438/1.12*0.01</f>
        <v>0.10714285714285714</v>
      </c>
      <c r="Q438" s="18">
        <f>M438/1.12*0.12</f>
        <v>1.2857142857142856</v>
      </c>
      <c r="R438" s="17">
        <f>M438+P438-Q438</f>
        <v>10.821428571428573</v>
      </c>
      <c r="S438" s="19"/>
      <c r="T438" s="19"/>
      <c r="U438" s="19"/>
      <c r="V438" s="19"/>
      <c r="W438" s="17"/>
      <c r="X438" s="20"/>
      <c r="Y438" s="19"/>
      <c r="Z438" s="19"/>
      <c r="AA438" s="19"/>
      <c r="AB438" s="19"/>
      <c r="AC438" s="19"/>
      <c r="AD438" s="19"/>
      <c r="AE438" s="5"/>
      <c r="AF438" s="19"/>
      <c r="AG438" s="5"/>
      <c r="AH438" s="17"/>
      <c r="AI438" s="19"/>
      <c r="AJ438" s="19"/>
      <c r="AK438" s="19"/>
      <c r="AL438" s="19"/>
      <c r="AM438" s="17"/>
      <c r="AN438" s="19"/>
      <c r="AO438" s="19"/>
      <c r="AP438" s="19"/>
      <c r="AQ438" s="19"/>
      <c r="AR438" s="19"/>
      <c r="AS438" s="21"/>
      <c r="AT438" s="5"/>
      <c r="AU438" s="19"/>
      <c r="AV438" s="5"/>
      <c r="AW438" s="22"/>
      <c r="AX438" s="19"/>
      <c r="AY438" s="5"/>
      <c r="AZ438" s="19"/>
      <c r="BA438" s="5"/>
      <c r="BB438" s="5"/>
      <c r="BC438" s="19"/>
      <c r="BD438" s="19"/>
      <c r="BE438" s="19"/>
      <c r="BF438" s="19"/>
      <c r="BG438" s="19"/>
      <c r="BH438" s="19"/>
      <c r="BI438" s="19"/>
      <c r="BJ438" s="19"/>
      <c r="BK438" s="13"/>
      <c r="BL438" s="5"/>
      <c r="BM438" s="5"/>
      <c r="BN438" s="19"/>
      <c r="BO438" s="17"/>
      <c r="BP438" s="19"/>
      <c r="BQ438" s="17"/>
      <c r="BR438" s="19"/>
      <c r="BS438" s="13"/>
      <c r="BT438" s="5"/>
      <c r="BU438" s="23"/>
      <c r="BV438" s="23"/>
      <c r="BW438" s="24"/>
      <c r="BX438" s="5"/>
      <c r="BY438" s="5"/>
      <c r="BZ438" s="5"/>
      <c r="CA438" s="24"/>
      <c r="CB438" s="24"/>
      <c r="CC438" s="24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>
        <f t="shared" si="660"/>
        <v>12</v>
      </c>
      <c r="CV438" s="25">
        <f t="shared" si="661"/>
        <v>0</v>
      </c>
    </row>
    <row r="439" spans="1:100" x14ac:dyDescent="0.2">
      <c r="A439" s="2"/>
      <c r="B439" s="3"/>
      <c r="C439" s="4"/>
      <c r="D439" s="5"/>
      <c r="E439" s="6"/>
      <c r="F439" s="7"/>
      <c r="G439" s="8"/>
      <c r="H439" s="9"/>
      <c r="I439" s="10"/>
      <c r="J439" s="11" t="s">
        <v>803</v>
      </c>
      <c r="K439" s="12">
        <v>5</v>
      </c>
      <c r="L439" s="13">
        <v>182.5</v>
      </c>
      <c r="M439" s="14">
        <f t="shared" si="707"/>
        <v>912.5</v>
      </c>
      <c r="N439" s="15"/>
      <c r="O439" s="16" t="s">
        <v>111</v>
      </c>
      <c r="P439" s="17">
        <f t="shared" ref="P439" si="708">M439/1.12*0.01</f>
        <v>8.147321428571427</v>
      </c>
      <c r="Q439" s="18">
        <f t="shared" ref="Q439" si="709">M439/1.12*0.12</f>
        <v>97.767857142857125</v>
      </c>
      <c r="R439" s="17">
        <f t="shared" ref="R439" si="710">M439+P439-Q439</f>
        <v>822.87946428571433</v>
      </c>
      <c r="S439" s="19"/>
      <c r="T439" s="19"/>
      <c r="U439" s="19"/>
      <c r="V439" s="19"/>
      <c r="W439" s="17"/>
      <c r="X439" s="20"/>
      <c r="Y439" s="19"/>
      <c r="Z439" s="19"/>
      <c r="AA439" s="19"/>
      <c r="AB439" s="19"/>
      <c r="AC439" s="19"/>
      <c r="AD439" s="19"/>
      <c r="AE439" s="5"/>
      <c r="AF439" s="19"/>
      <c r="AG439" s="5"/>
      <c r="AH439" s="17"/>
      <c r="AI439" s="19"/>
      <c r="AJ439" s="19"/>
      <c r="AK439" s="19"/>
      <c r="AL439" s="19"/>
      <c r="AM439" s="17"/>
      <c r="AN439" s="19"/>
      <c r="AO439" s="19"/>
      <c r="AP439" s="19"/>
      <c r="AQ439" s="19"/>
      <c r="AR439" s="19"/>
      <c r="AS439" s="21"/>
      <c r="AT439" s="5"/>
      <c r="AU439" s="19"/>
      <c r="AV439" s="5"/>
      <c r="AW439" s="22"/>
      <c r="AX439" s="19"/>
      <c r="AY439" s="5"/>
      <c r="AZ439" s="19"/>
      <c r="BA439" s="5"/>
      <c r="BB439" s="5"/>
      <c r="BC439" s="19"/>
      <c r="BD439" s="19"/>
      <c r="BE439" s="19"/>
      <c r="BF439" s="19"/>
      <c r="BG439" s="19"/>
      <c r="BH439" s="19"/>
      <c r="BI439" s="19"/>
      <c r="BJ439" s="19"/>
      <c r="BK439" s="13"/>
      <c r="BL439" s="5"/>
      <c r="BM439" s="5"/>
      <c r="BN439" s="19"/>
      <c r="BO439" s="17"/>
      <c r="BP439" s="19"/>
      <c r="BQ439" s="17"/>
      <c r="BR439" s="19"/>
      <c r="BS439" s="13"/>
      <c r="BT439" s="5"/>
      <c r="BU439" s="23"/>
      <c r="BV439" s="23"/>
      <c r="BW439" s="24"/>
      <c r="BX439" s="5"/>
      <c r="BY439" s="5"/>
      <c r="BZ439" s="5"/>
      <c r="CA439" s="24"/>
      <c r="CB439" s="24"/>
      <c r="CC439" s="24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>
        <f t="shared" si="660"/>
        <v>912.5</v>
      </c>
      <c r="CV439" s="25">
        <f t="shared" si="661"/>
        <v>0</v>
      </c>
    </row>
    <row r="440" spans="1:100" x14ac:dyDescent="0.2">
      <c r="A440" s="27"/>
      <c r="B440" s="28"/>
      <c r="C440" s="29"/>
      <c r="D440" s="30"/>
      <c r="E440" s="31"/>
      <c r="F440" s="32"/>
      <c r="G440" s="33"/>
      <c r="H440" s="34"/>
      <c r="I440" s="34"/>
      <c r="J440" s="35"/>
      <c r="K440" s="36"/>
      <c r="L440" s="37"/>
      <c r="M440" s="38">
        <f>SUM(M438:M439)</f>
        <v>924.5</v>
      </c>
      <c r="N440" s="38"/>
      <c r="O440" s="39" t="s">
        <v>111</v>
      </c>
      <c r="P440" s="38">
        <f>SUM(P438:P439)</f>
        <v>8.2544642857142847</v>
      </c>
      <c r="Q440" s="38">
        <f>SUM(Q438:Q439)</f>
        <v>99.053571428571416</v>
      </c>
      <c r="R440" s="38">
        <f>SUM(R438:R439)</f>
        <v>833.70089285714289</v>
      </c>
      <c r="S440" s="38">
        <f t="shared" ref="S440:AD440" si="711">SUM(S438:S438)</f>
        <v>0</v>
      </c>
      <c r="T440" s="38">
        <f t="shared" si="711"/>
        <v>0</v>
      </c>
      <c r="U440" s="38">
        <f t="shared" si="711"/>
        <v>0</v>
      </c>
      <c r="V440" s="38">
        <f t="shared" si="711"/>
        <v>0</v>
      </c>
      <c r="W440" s="38">
        <f t="shared" si="711"/>
        <v>0</v>
      </c>
      <c r="X440" s="38">
        <f t="shared" si="711"/>
        <v>0</v>
      </c>
      <c r="Y440" s="38">
        <f t="shared" si="711"/>
        <v>0</v>
      </c>
      <c r="Z440" s="38">
        <f t="shared" si="711"/>
        <v>0</v>
      </c>
      <c r="AA440" s="38">
        <f t="shared" si="711"/>
        <v>0</v>
      </c>
      <c r="AB440" s="38">
        <f t="shared" si="711"/>
        <v>0</v>
      </c>
      <c r="AC440" s="38">
        <f t="shared" si="711"/>
        <v>0</v>
      </c>
      <c r="AD440" s="38">
        <f t="shared" si="711"/>
        <v>0</v>
      </c>
      <c r="AE440" s="30"/>
      <c r="AF440" s="38">
        <f>SUM(AF438:AF438)</f>
        <v>0</v>
      </c>
      <c r="AG440" s="30"/>
      <c r="AH440" s="38">
        <f t="shared" ref="AH440:AZ440" si="712">SUM(AH438:AH438)</f>
        <v>0</v>
      </c>
      <c r="AI440" s="38">
        <f t="shared" si="712"/>
        <v>0</v>
      </c>
      <c r="AJ440" s="38">
        <f t="shared" si="712"/>
        <v>0</v>
      </c>
      <c r="AK440" s="38">
        <f t="shared" si="712"/>
        <v>0</v>
      </c>
      <c r="AL440" s="38">
        <f t="shared" si="712"/>
        <v>0</v>
      </c>
      <c r="AM440" s="38">
        <f t="shared" si="712"/>
        <v>0</v>
      </c>
      <c r="AN440" s="38">
        <f t="shared" si="712"/>
        <v>0</v>
      </c>
      <c r="AO440" s="38">
        <f t="shared" si="712"/>
        <v>0</v>
      </c>
      <c r="AP440" s="38">
        <f t="shared" si="712"/>
        <v>0</v>
      </c>
      <c r="AQ440" s="38">
        <f t="shared" si="712"/>
        <v>0</v>
      </c>
      <c r="AR440" s="38">
        <f t="shared" si="712"/>
        <v>0</v>
      </c>
      <c r="AS440" s="38">
        <f t="shared" si="712"/>
        <v>0</v>
      </c>
      <c r="AT440" s="38">
        <f t="shared" si="712"/>
        <v>0</v>
      </c>
      <c r="AU440" s="38">
        <f t="shared" si="712"/>
        <v>0</v>
      </c>
      <c r="AV440" s="38">
        <f t="shared" si="712"/>
        <v>0</v>
      </c>
      <c r="AW440" s="38">
        <f t="shared" si="712"/>
        <v>0</v>
      </c>
      <c r="AX440" s="38">
        <f t="shared" si="712"/>
        <v>0</v>
      </c>
      <c r="AY440" s="38">
        <f t="shared" si="712"/>
        <v>0</v>
      </c>
      <c r="AZ440" s="38">
        <f t="shared" si="712"/>
        <v>0</v>
      </c>
      <c r="BA440" s="30"/>
      <c r="BB440" s="38">
        <f t="shared" ref="BB440:CT440" si="713">SUM(BB438:BB438)</f>
        <v>0</v>
      </c>
      <c r="BC440" s="38">
        <f t="shared" si="713"/>
        <v>0</v>
      </c>
      <c r="BD440" s="38">
        <f t="shared" si="713"/>
        <v>0</v>
      </c>
      <c r="BE440" s="38">
        <f t="shared" si="713"/>
        <v>0</v>
      </c>
      <c r="BF440" s="38">
        <f t="shared" si="713"/>
        <v>0</v>
      </c>
      <c r="BG440" s="38">
        <f t="shared" si="713"/>
        <v>0</v>
      </c>
      <c r="BH440" s="38">
        <f t="shared" si="713"/>
        <v>0</v>
      </c>
      <c r="BI440" s="38">
        <f t="shared" si="713"/>
        <v>0</v>
      </c>
      <c r="BJ440" s="38">
        <f t="shared" si="713"/>
        <v>0</v>
      </c>
      <c r="BK440" s="38">
        <f t="shared" si="713"/>
        <v>0</v>
      </c>
      <c r="BL440" s="38">
        <f t="shared" si="713"/>
        <v>0</v>
      </c>
      <c r="BM440" s="38">
        <f t="shared" si="713"/>
        <v>0</v>
      </c>
      <c r="BN440" s="38">
        <f t="shared" si="713"/>
        <v>0</v>
      </c>
      <c r="BO440" s="38">
        <f t="shared" si="713"/>
        <v>0</v>
      </c>
      <c r="BP440" s="38">
        <f t="shared" si="713"/>
        <v>0</v>
      </c>
      <c r="BQ440" s="38">
        <f t="shared" si="713"/>
        <v>0</v>
      </c>
      <c r="BR440" s="38">
        <f t="shared" si="713"/>
        <v>0</v>
      </c>
      <c r="BS440" s="38">
        <f t="shared" si="713"/>
        <v>0</v>
      </c>
      <c r="BT440" s="38">
        <f t="shared" si="713"/>
        <v>0</v>
      </c>
      <c r="BU440" s="38">
        <f t="shared" si="713"/>
        <v>0</v>
      </c>
      <c r="BV440" s="38">
        <f t="shared" si="713"/>
        <v>0</v>
      </c>
      <c r="BW440" s="38">
        <f t="shared" si="713"/>
        <v>0</v>
      </c>
      <c r="BX440" s="38">
        <f t="shared" si="713"/>
        <v>0</v>
      </c>
      <c r="BY440" s="38">
        <f t="shared" si="713"/>
        <v>0</v>
      </c>
      <c r="BZ440" s="38">
        <f t="shared" si="713"/>
        <v>0</v>
      </c>
      <c r="CA440" s="38">
        <f t="shared" si="713"/>
        <v>0</v>
      </c>
      <c r="CB440" s="38">
        <f t="shared" si="713"/>
        <v>0</v>
      </c>
      <c r="CC440" s="38">
        <f t="shared" si="713"/>
        <v>0</v>
      </c>
      <c r="CD440" s="38">
        <f t="shared" si="713"/>
        <v>0</v>
      </c>
      <c r="CE440" s="38">
        <f t="shared" si="713"/>
        <v>0</v>
      </c>
      <c r="CF440" s="38">
        <f t="shared" si="713"/>
        <v>0</v>
      </c>
      <c r="CG440" s="38">
        <f t="shared" si="713"/>
        <v>0</v>
      </c>
      <c r="CH440" s="38">
        <f t="shared" si="713"/>
        <v>0</v>
      </c>
      <c r="CI440" s="38">
        <f t="shared" si="713"/>
        <v>0</v>
      </c>
      <c r="CJ440" s="38">
        <f t="shared" si="713"/>
        <v>0</v>
      </c>
      <c r="CK440" s="38">
        <f t="shared" si="713"/>
        <v>0</v>
      </c>
      <c r="CL440" s="38">
        <f t="shared" si="713"/>
        <v>0</v>
      </c>
      <c r="CM440" s="38">
        <f t="shared" si="713"/>
        <v>0</v>
      </c>
      <c r="CN440" s="38">
        <f t="shared" si="713"/>
        <v>0</v>
      </c>
      <c r="CO440" s="38">
        <f t="shared" si="713"/>
        <v>0</v>
      </c>
      <c r="CP440" s="38">
        <f t="shared" si="713"/>
        <v>0</v>
      </c>
      <c r="CQ440" s="38">
        <f t="shared" si="713"/>
        <v>0</v>
      </c>
      <c r="CR440" s="38">
        <f t="shared" si="713"/>
        <v>0</v>
      </c>
      <c r="CS440" s="38">
        <f t="shared" si="713"/>
        <v>0</v>
      </c>
      <c r="CT440" s="38">
        <f t="shared" si="713"/>
        <v>0</v>
      </c>
      <c r="CU440" s="17">
        <f t="shared" si="660"/>
        <v>924.5</v>
      </c>
      <c r="CV440" s="25">
        <f t="shared" si="661"/>
        <v>0</v>
      </c>
    </row>
    <row r="441" spans="1:100" x14ac:dyDescent="0.2">
      <c r="A441" s="2">
        <v>45890</v>
      </c>
      <c r="B441" s="3" t="s">
        <v>801</v>
      </c>
      <c r="C441" s="4" t="s">
        <v>897</v>
      </c>
      <c r="D441" s="5" t="s">
        <v>122</v>
      </c>
      <c r="E441" s="6" t="s">
        <v>804</v>
      </c>
      <c r="F441" s="7" t="s">
        <v>296</v>
      </c>
      <c r="G441" s="8" t="s">
        <v>164</v>
      </c>
      <c r="H441" s="9">
        <v>95134</v>
      </c>
      <c r="I441" s="10"/>
      <c r="J441" s="11" t="s">
        <v>805</v>
      </c>
      <c r="K441" s="12">
        <v>50</v>
      </c>
      <c r="L441" s="13">
        <v>34</v>
      </c>
      <c r="M441" s="14">
        <f t="shared" ref="M441:M443" si="714">L441*K441</f>
        <v>1700</v>
      </c>
      <c r="N441" s="15"/>
      <c r="O441" s="16" t="s">
        <v>111</v>
      </c>
      <c r="P441" s="17">
        <f>M441/1.12*0.01</f>
        <v>15.178571428571427</v>
      </c>
      <c r="Q441" s="18">
        <f>M441/1.12*0.12</f>
        <v>182.14285714285711</v>
      </c>
      <c r="R441" s="17">
        <f>M441+P441-Q441</f>
        <v>1533.0357142857142</v>
      </c>
      <c r="S441" s="19"/>
      <c r="T441" s="19"/>
      <c r="U441" s="19"/>
      <c r="V441" s="19"/>
      <c r="W441" s="17"/>
      <c r="X441" s="20"/>
      <c r="Y441" s="19"/>
      <c r="Z441" s="19"/>
      <c r="AA441" s="19"/>
      <c r="AB441" s="19"/>
      <c r="AC441" s="19"/>
      <c r="AD441" s="19"/>
      <c r="AE441" s="5"/>
      <c r="AF441" s="19"/>
      <c r="AG441" s="5"/>
      <c r="AH441" s="17"/>
      <c r="AI441" s="19"/>
      <c r="AJ441" s="19"/>
      <c r="AK441" s="19"/>
      <c r="AL441" s="19"/>
      <c r="AM441" s="17"/>
      <c r="AN441" s="19"/>
      <c r="AO441" s="19"/>
      <c r="AP441" s="19"/>
      <c r="AQ441" s="19"/>
      <c r="AR441" s="19"/>
      <c r="AS441" s="21"/>
      <c r="AT441" s="5"/>
      <c r="AU441" s="19"/>
      <c r="AV441" s="5"/>
      <c r="AW441" s="22"/>
      <c r="AX441" s="19"/>
      <c r="AY441" s="5"/>
      <c r="AZ441" s="19"/>
      <c r="BA441" s="5"/>
      <c r="BB441" s="5"/>
      <c r="BC441" s="19"/>
      <c r="BD441" s="19"/>
      <c r="BE441" s="19"/>
      <c r="BF441" s="19"/>
      <c r="BG441" s="19"/>
      <c r="BH441" s="19"/>
      <c r="BI441" s="19"/>
      <c r="BJ441" s="19"/>
      <c r="BK441" s="13"/>
      <c r="BL441" s="5"/>
      <c r="BM441" s="5"/>
      <c r="BN441" s="19"/>
      <c r="BO441" s="17"/>
      <c r="BP441" s="19"/>
      <c r="BQ441" s="17"/>
      <c r="BR441" s="19"/>
      <c r="BS441" s="13"/>
      <c r="BT441" s="5"/>
      <c r="BU441" s="23"/>
      <c r="BV441" s="23"/>
      <c r="BW441" s="24"/>
      <c r="BX441" s="5"/>
      <c r="BY441" s="5"/>
      <c r="BZ441" s="5"/>
      <c r="CA441" s="24"/>
      <c r="CB441" s="24"/>
      <c r="CC441" s="24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>
        <f t="shared" si="660"/>
        <v>1700</v>
      </c>
      <c r="CV441" s="25">
        <f t="shared" si="661"/>
        <v>0</v>
      </c>
    </row>
    <row r="442" spans="1:100" x14ac:dyDescent="0.2">
      <c r="A442" s="2"/>
      <c r="B442" s="3"/>
      <c r="C442" s="4"/>
      <c r="D442" s="5"/>
      <c r="E442" s="6"/>
      <c r="F442" s="7"/>
      <c r="G442" s="8"/>
      <c r="H442" s="9"/>
      <c r="I442" s="10"/>
      <c r="J442" s="11" t="s">
        <v>806</v>
      </c>
      <c r="K442" s="12">
        <v>30</v>
      </c>
      <c r="L442" s="13">
        <v>55.5</v>
      </c>
      <c r="M442" s="14">
        <f t="shared" si="714"/>
        <v>1665</v>
      </c>
      <c r="N442" s="15"/>
      <c r="O442" s="16" t="s">
        <v>111</v>
      </c>
      <c r="P442" s="17">
        <f t="shared" ref="P442:P443" si="715">M442/1.12*0.01</f>
        <v>14.866071428571427</v>
      </c>
      <c r="Q442" s="18">
        <f t="shared" ref="Q442:Q443" si="716">M442/1.12*0.12</f>
        <v>178.39285714285711</v>
      </c>
      <c r="R442" s="17">
        <f t="shared" ref="R442:R443" si="717">M442+P442-Q442</f>
        <v>1501.4732142857142</v>
      </c>
      <c r="S442" s="19"/>
      <c r="T442" s="19"/>
      <c r="U442" s="19"/>
      <c r="V442" s="19"/>
      <c r="W442" s="17"/>
      <c r="X442" s="20"/>
      <c r="Y442" s="19"/>
      <c r="Z442" s="19"/>
      <c r="AA442" s="19"/>
      <c r="AB442" s="19"/>
      <c r="AC442" s="19"/>
      <c r="AD442" s="19"/>
      <c r="AE442" s="5"/>
      <c r="AF442" s="19"/>
      <c r="AG442" s="5"/>
      <c r="AH442" s="17"/>
      <c r="AI442" s="19"/>
      <c r="AJ442" s="19"/>
      <c r="AK442" s="19"/>
      <c r="AL442" s="19"/>
      <c r="AM442" s="17"/>
      <c r="AN442" s="19"/>
      <c r="AO442" s="19"/>
      <c r="AP442" s="19"/>
      <c r="AQ442" s="19"/>
      <c r="AR442" s="19"/>
      <c r="AS442" s="21"/>
      <c r="AT442" s="5"/>
      <c r="AU442" s="19"/>
      <c r="AV442" s="5"/>
      <c r="AW442" s="22"/>
      <c r="AX442" s="19"/>
      <c r="AY442" s="5"/>
      <c r="AZ442" s="19"/>
      <c r="BA442" s="5"/>
      <c r="BB442" s="5"/>
      <c r="BC442" s="19"/>
      <c r="BD442" s="19"/>
      <c r="BE442" s="19"/>
      <c r="BF442" s="19"/>
      <c r="BG442" s="19"/>
      <c r="BH442" s="19"/>
      <c r="BI442" s="19"/>
      <c r="BJ442" s="19"/>
      <c r="BK442" s="13"/>
      <c r="BL442" s="5"/>
      <c r="BM442" s="5"/>
      <c r="BN442" s="19"/>
      <c r="BO442" s="17"/>
      <c r="BP442" s="19"/>
      <c r="BQ442" s="17"/>
      <c r="BR442" s="19"/>
      <c r="BS442" s="13"/>
      <c r="BT442" s="5"/>
      <c r="BU442" s="23"/>
      <c r="BV442" s="23"/>
      <c r="BW442" s="24"/>
      <c r="BX442" s="5"/>
      <c r="BY442" s="5"/>
      <c r="BZ442" s="5"/>
      <c r="CA442" s="24"/>
      <c r="CB442" s="24"/>
      <c r="CC442" s="24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>
        <f t="shared" si="660"/>
        <v>1665</v>
      </c>
      <c r="CV442" s="25">
        <f t="shared" si="661"/>
        <v>0</v>
      </c>
    </row>
    <row r="443" spans="1:100" x14ac:dyDescent="0.2">
      <c r="A443" s="2"/>
      <c r="B443" s="3"/>
      <c r="C443" s="4"/>
      <c r="D443" s="5"/>
      <c r="E443" s="6"/>
      <c r="F443" s="7"/>
      <c r="G443" s="8"/>
      <c r="H443" s="9"/>
      <c r="I443" s="10"/>
      <c r="J443" s="11" t="s">
        <v>807</v>
      </c>
      <c r="K443" s="12">
        <v>15</v>
      </c>
      <c r="L443" s="13">
        <v>86</v>
      </c>
      <c r="M443" s="14">
        <f t="shared" si="714"/>
        <v>1290</v>
      </c>
      <c r="N443" s="15"/>
      <c r="O443" s="16" t="s">
        <v>111</v>
      </c>
      <c r="P443" s="17">
        <f t="shared" si="715"/>
        <v>11.517857142857142</v>
      </c>
      <c r="Q443" s="18">
        <f t="shared" si="716"/>
        <v>138.21428571428569</v>
      </c>
      <c r="R443" s="17">
        <f t="shared" si="717"/>
        <v>1163.3035714285713</v>
      </c>
      <c r="S443" s="19"/>
      <c r="T443" s="19"/>
      <c r="U443" s="19"/>
      <c r="V443" s="19"/>
      <c r="W443" s="17"/>
      <c r="X443" s="20"/>
      <c r="Y443" s="19"/>
      <c r="Z443" s="19"/>
      <c r="AA443" s="19"/>
      <c r="AB443" s="19"/>
      <c r="AC443" s="19"/>
      <c r="AD443" s="19"/>
      <c r="AE443" s="5"/>
      <c r="AF443" s="19"/>
      <c r="AG443" s="5"/>
      <c r="AH443" s="17"/>
      <c r="AI443" s="19"/>
      <c r="AJ443" s="19"/>
      <c r="AK443" s="19"/>
      <c r="AL443" s="19"/>
      <c r="AM443" s="17"/>
      <c r="AN443" s="19"/>
      <c r="AO443" s="19"/>
      <c r="AP443" s="19"/>
      <c r="AQ443" s="19"/>
      <c r="AR443" s="19"/>
      <c r="AS443" s="21"/>
      <c r="AT443" s="5"/>
      <c r="AU443" s="19"/>
      <c r="AV443" s="5"/>
      <c r="AW443" s="22"/>
      <c r="AX443" s="19"/>
      <c r="AY443" s="5"/>
      <c r="AZ443" s="19"/>
      <c r="BA443" s="5"/>
      <c r="BB443" s="5"/>
      <c r="BC443" s="19"/>
      <c r="BD443" s="19"/>
      <c r="BE443" s="19"/>
      <c r="BF443" s="19"/>
      <c r="BG443" s="19"/>
      <c r="BH443" s="19"/>
      <c r="BI443" s="19"/>
      <c r="BJ443" s="19"/>
      <c r="BK443" s="13"/>
      <c r="BL443" s="5"/>
      <c r="BM443" s="5"/>
      <c r="BN443" s="19"/>
      <c r="BO443" s="17"/>
      <c r="BP443" s="19"/>
      <c r="BQ443" s="17"/>
      <c r="BR443" s="19"/>
      <c r="BS443" s="13"/>
      <c r="BT443" s="5"/>
      <c r="BU443" s="23"/>
      <c r="BV443" s="23"/>
      <c r="BW443" s="24"/>
      <c r="BX443" s="5"/>
      <c r="BY443" s="5"/>
      <c r="BZ443" s="5"/>
      <c r="CA443" s="24"/>
      <c r="CB443" s="24"/>
      <c r="CC443" s="24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>
        <f t="shared" si="660"/>
        <v>1290</v>
      </c>
      <c r="CV443" s="25">
        <f t="shared" si="661"/>
        <v>0</v>
      </c>
    </row>
    <row r="444" spans="1:100" x14ac:dyDescent="0.2">
      <c r="A444" s="27"/>
      <c r="B444" s="28"/>
      <c r="C444" s="29"/>
      <c r="D444" s="30"/>
      <c r="E444" s="31"/>
      <c r="F444" s="32"/>
      <c r="G444" s="33"/>
      <c r="H444" s="34"/>
      <c r="I444" s="34"/>
      <c r="J444" s="35"/>
      <c r="K444" s="36"/>
      <c r="L444" s="37"/>
      <c r="M444" s="38">
        <f>SUM(M441:M443)</f>
        <v>4655</v>
      </c>
      <c r="N444" s="38"/>
      <c r="O444" s="39" t="s">
        <v>111</v>
      </c>
      <c r="P444" s="38">
        <f>SUM(P441:P443)</f>
        <v>41.5625</v>
      </c>
      <c r="Q444" s="38">
        <f>SUM(Q441:Q443)</f>
        <v>498.74999999999989</v>
      </c>
      <c r="R444" s="38">
        <f>SUM(R441:R443)</f>
        <v>4197.8125</v>
      </c>
      <c r="S444" s="38">
        <f t="shared" ref="S444:AD444" si="718">SUM(S441:S441)</f>
        <v>0</v>
      </c>
      <c r="T444" s="38">
        <f t="shared" si="718"/>
        <v>0</v>
      </c>
      <c r="U444" s="38">
        <f t="shared" si="718"/>
        <v>0</v>
      </c>
      <c r="V444" s="38">
        <f t="shared" si="718"/>
        <v>0</v>
      </c>
      <c r="W444" s="38">
        <f t="shared" si="718"/>
        <v>0</v>
      </c>
      <c r="X444" s="38">
        <f t="shared" si="718"/>
        <v>0</v>
      </c>
      <c r="Y444" s="38">
        <f t="shared" si="718"/>
        <v>0</v>
      </c>
      <c r="Z444" s="38">
        <f t="shared" si="718"/>
        <v>0</v>
      </c>
      <c r="AA444" s="38">
        <f t="shared" si="718"/>
        <v>0</v>
      </c>
      <c r="AB444" s="38">
        <f t="shared" si="718"/>
        <v>0</v>
      </c>
      <c r="AC444" s="38">
        <f t="shared" si="718"/>
        <v>0</v>
      </c>
      <c r="AD444" s="38">
        <f t="shared" si="718"/>
        <v>0</v>
      </c>
      <c r="AE444" s="30"/>
      <c r="AF444" s="38">
        <f>SUM(AF441:AF441)</f>
        <v>0</v>
      </c>
      <c r="AG444" s="30"/>
      <c r="AH444" s="38">
        <f t="shared" ref="AH444:AZ444" si="719">SUM(AH441:AH441)</f>
        <v>0</v>
      </c>
      <c r="AI444" s="38">
        <f t="shared" si="719"/>
        <v>0</v>
      </c>
      <c r="AJ444" s="38">
        <f t="shared" si="719"/>
        <v>0</v>
      </c>
      <c r="AK444" s="38">
        <f t="shared" si="719"/>
        <v>0</v>
      </c>
      <c r="AL444" s="38">
        <f t="shared" si="719"/>
        <v>0</v>
      </c>
      <c r="AM444" s="38">
        <f t="shared" si="719"/>
        <v>0</v>
      </c>
      <c r="AN444" s="38">
        <f t="shared" si="719"/>
        <v>0</v>
      </c>
      <c r="AO444" s="38">
        <f t="shared" si="719"/>
        <v>0</v>
      </c>
      <c r="AP444" s="38">
        <f t="shared" si="719"/>
        <v>0</v>
      </c>
      <c r="AQ444" s="38">
        <f t="shared" si="719"/>
        <v>0</v>
      </c>
      <c r="AR444" s="38">
        <f t="shared" si="719"/>
        <v>0</v>
      </c>
      <c r="AS444" s="38">
        <f t="shared" si="719"/>
        <v>0</v>
      </c>
      <c r="AT444" s="38">
        <f t="shared" si="719"/>
        <v>0</v>
      </c>
      <c r="AU444" s="38">
        <f t="shared" si="719"/>
        <v>0</v>
      </c>
      <c r="AV444" s="38">
        <f t="shared" si="719"/>
        <v>0</v>
      </c>
      <c r="AW444" s="38">
        <f t="shared" si="719"/>
        <v>0</v>
      </c>
      <c r="AX444" s="38">
        <f t="shared" si="719"/>
        <v>0</v>
      </c>
      <c r="AY444" s="38">
        <f t="shared" si="719"/>
        <v>0</v>
      </c>
      <c r="AZ444" s="38">
        <f t="shared" si="719"/>
        <v>0</v>
      </c>
      <c r="BA444" s="30"/>
      <c r="BB444" s="38">
        <f t="shared" ref="BB444:CT444" si="720">SUM(BB441:BB441)</f>
        <v>0</v>
      </c>
      <c r="BC444" s="38">
        <f t="shared" si="720"/>
        <v>0</v>
      </c>
      <c r="BD444" s="38">
        <f t="shared" si="720"/>
        <v>0</v>
      </c>
      <c r="BE444" s="38">
        <f t="shared" si="720"/>
        <v>0</v>
      </c>
      <c r="BF444" s="38">
        <f t="shared" si="720"/>
        <v>0</v>
      </c>
      <c r="BG444" s="38">
        <f t="shared" si="720"/>
        <v>0</v>
      </c>
      <c r="BH444" s="38">
        <f t="shared" si="720"/>
        <v>0</v>
      </c>
      <c r="BI444" s="38">
        <f t="shared" si="720"/>
        <v>0</v>
      </c>
      <c r="BJ444" s="38">
        <f t="shared" si="720"/>
        <v>0</v>
      </c>
      <c r="BK444" s="38">
        <f t="shared" si="720"/>
        <v>0</v>
      </c>
      <c r="BL444" s="38">
        <f t="shared" si="720"/>
        <v>0</v>
      </c>
      <c r="BM444" s="38">
        <f t="shared" si="720"/>
        <v>0</v>
      </c>
      <c r="BN444" s="38">
        <f t="shared" si="720"/>
        <v>0</v>
      </c>
      <c r="BO444" s="38">
        <f t="shared" si="720"/>
        <v>0</v>
      </c>
      <c r="BP444" s="38">
        <f t="shared" si="720"/>
        <v>0</v>
      </c>
      <c r="BQ444" s="38">
        <f t="shared" si="720"/>
        <v>0</v>
      </c>
      <c r="BR444" s="38">
        <f t="shared" si="720"/>
        <v>0</v>
      </c>
      <c r="BS444" s="38">
        <f t="shared" si="720"/>
        <v>0</v>
      </c>
      <c r="BT444" s="38">
        <f t="shared" si="720"/>
        <v>0</v>
      </c>
      <c r="BU444" s="38">
        <f t="shared" si="720"/>
        <v>0</v>
      </c>
      <c r="BV444" s="38">
        <f t="shared" si="720"/>
        <v>0</v>
      </c>
      <c r="BW444" s="38">
        <f t="shared" si="720"/>
        <v>0</v>
      </c>
      <c r="BX444" s="38">
        <f t="shared" si="720"/>
        <v>0</v>
      </c>
      <c r="BY444" s="38">
        <f t="shared" si="720"/>
        <v>0</v>
      </c>
      <c r="BZ444" s="38">
        <f t="shared" si="720"/>
        <v>0</v>
      </c>
      <c r="CA444" s="38">
        <f t="shared" si="720"/>
        <v>0</v>
      </c>
      <c r="CB444" s="38">
        <f t="shared" si="720"/>
        <v>0</v>
      </c>
      <c r="CC444" s="38">
        <f t="shared" si="720"/>
        <v>0</v>
      </c>
      <c r="CD444" s="38">
        <f t="shared" si="720"/>
        <v>0</v>
      </c>
      <c r="CE444" s="38">
        <f t="shared" si="720"/>
        <v>0</v>
      </c>
      <c r="CF444" s="38">
        <f t="shared" si="720"/>
        <v>0</v>
      </c>
      <c r="CG444" s="38">
        <f t="shared" si="720"/>
        <v>0</v>
      </c>
      <c r="CH444" s="38">
        <f t="shared" si="720"/>
        <v>0</v>
      </c>
      <c r="CI444" s="38">
        <f t="shared" si="720"/>
        <v>0</v>
      </c>
      <c r="CJ444" s="38">
        <f t="shared" si="720"/>
        <v>0</v>
      </c>
      <c r="CK444" s="38">
        <f t="shared" si="720"/>
        <v>0</v>
      </c>
      <c r="CL444" s="38">
        <f t="shared" si="720"/>
        <v>0</v>
      </c>
      <c r="CM444" s="38">
        <f t="shared" si="720"/>
        <v>0</v>
      </c>
      <c r="CN444" s="38">
        <f t="shared" si="720"/>
        <v>0</v>
      </c>
      <c r="CO444" s="38">
        <f t="shared" si="720"/>
        <v>0</v>
      </c>
      <c r="CP444" s="38">
        <f t="shared" si="720"/>
        <v>0</v>
      </c>
      <c r="CQ444" s="38">
        <f t="shared" si="720"/>
        <v>0</v>
      </c>
      <c r="CR444" s="38">
        <f t="shared" si="720"/>
        <v>0</v>
      </c>
      <c r="CS444" s="38">
        <f t="shared" si="720"/>
        <v>0</v>
      </c>
      <c r="CT444" s="38">
        <f t="shared" si="720"/>
        <v>0</v>
      </c>
      <c r="CU444" s="17">
        <f t="shared" si="660"/>
        <v>4655</v>
      </c>
      <c r="CV444" s="25">
        <f t="shared" si="661"/>
        <v>0</v>
      </c>
    </row>
    <row r="445" spans="1:100" x14ac:dyDescent="0.2">
      <c r="A445" s="2">
        <v>45890</v>
      </c>
      <c r="B445" s="3" t="s">
        <v>801</v>
      </c>
      <c r="C445" s="4" t="s">
        <v>896</v>
      </c>
      <c r="D445" s="5" t="s">
        <v>122</v>
      </c>
      <c r="E445" s="6" t="s">
        <v>370</v>
      </c>
      <c r="F445" s="7" t="s">
        <v>229</v>
      </c>
      <c r="G445" s="8" t="s">
        <v>154</v>
      </c>
      <c r="H445" s="9" t="s">
        <v>808</v>
      </c>
      <c r="I445" s="10"/>
      <c r="J445" s="11" t="s">
        <v>809</v>
      </c>
      <c r="K445" s="12">
        <v>5</v>
      </c>
      <c r="L445" s="13">
        <v>32</v>
      </c>
      <c r="M445" s="14">
        <f t="shared" ref="M445:M446" si="721">L445*K445</f>
        <v>160</v>
      </c>
      <c r="N445" s="15"/>
      <c r="O445" s="16" t="s">
        <v>111</v>
      </c>
      <c r="P445" s="17">
        <f>M445/1.12*0.01</f>
        <v>1.4285714285714284</v>
      </c>
      <c r="Q445" s="18">
        <f>M445/1.12*0.12</f>
        <v>17.142857142857139</v>
      </c>
      <c r="R445" s="17">
        <f>M445+P445-Q445</f>
        <v>144.28571428571428</v>
      </c>
      <c r="S445" s="19"/>
      <c r="T445" s="19"/>
      <c r="U445" s="19"/>
      <c r="V445" s="19"/>
      <c r="W445" s="17"/>
      <c r="X445" s="20"/>
      <c r="Y445" s="19"/>
      <c r="Z445" s="19"/>
      <c r="AA445" s="19"/>
      <c r="AB445" s="19"/>
      <c r="AC445" s="19"/>
      <c r="AD445" s="19"/>
      <c r="AE445" s="5"/>
      <c r="AF445" s="19"/>
      <c r="AG445" s="5"/>
      <c r="AH445" s="17"/>
      <c r="AI445" s="19"/>
      <c r="AJ445" s="19"/>
      <c r="AK445" s="19"/>
      <c r="AL445" s="19"/>
      <c r="AM445" s="17"/>
      <c r="AN445" s="19"/>
      <c r="AO445" s="19"/>
      <c r="AP445" s="19"/>
      <c r="AQ445" s="19"/>
      <c r="AR445" s="19"/>
      <c r="AS445" s="21"/>
      <c r="AT445" s="5"/>
      <c r="AU445" s="19"/>
      <c r="AV445" s="5"/>
      <c r="AW445" s="22"/>
      <c r="AX445" s="19"/>
      <c r="AY445" s="5"/>
      <c r="AZ445" s="19"/>
      <c r="BA445" s="5"/>
      <c r="BB445" s="5"/>
      <c r="BC445" s="19"/>
      <c r="BD445" s="19"/>
      <c r="BE445" s="19"/>
      <c r="BF445" s="19"/>
      <c r="BG445" s="19"/>
      <c r="BH445" s="19"/>
      <c r="BI445" s="19"/>
      <c r="BJ445" s="19"/>
      <c r="BK445" s="13"/>
      <c r="BL445" s="5"/>
      <c r="BM445" s="5"/>
      <c r="BN445" s="19"/>
      <c r="BO445" s="17"/>
      <c r="BP445" s="19"/>
      <c r="BQ445" s="17"/>
      <c r="BR445" s="19"/>
      <c r="BS445" s="13"/>
      <c r="BT445" s="5"/>
      <c r="BU445" s="23"/>
      <c r="BV445" s="23"/>
      <c r="BW445" s="24"/>
      <c r="BX445" s="5"/>
      <c r="BY445" s="5"/>
      <c r="BZ445" s="5"/>
      <c r="CA445" s="24"/>
      <c r="CB445" s="24"/>
      <c r="CC445" s="24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>
        <f t="shared" si="660"/>
        <v>160</v>
      </c>
      <c r="CV445" s="25">
        <f t="shared" si="661"/>
        <v>0</v>
      </c>
    </row>
    <row r="446" spans="1:100" x14ac:dyDescent="0.2">
      <c r="A446" s="2"/>
      <c r="B446" s="3"/>
      <c r="C446" s="4"/>
      <c r="D446" s="5"/>
      <c r="E446" s="6"/>
      <c r="F446" s="7"/>
      <c r="G446" s="8"/>
      <c r="H446" s="9"/>
      <c r="I446" s="10"/>
      <c r="J446" s="11" t="s">
        <v>810</v>
      </c>
      <c r="K446" s="12">
        <v>10</v>
      </c>
      <c r="L446" s="13">
        <v>206</v>
      </c>
      <c r="M446" s="14">
        <f t="shared" si="721"/>
        <v>2060</v>
      </c>
      <c r="N446" s="15"/>
      <c r="O446" s="16" t="s">
        <v>111</v>
      </c>
      <c r="P446" s="17">
        <f t="shared" ref="P446" si="722">M446/1.12*0.01</f>
        <v>18.392857142857142</v>
      </c>
      <c r="Q446" s="18">
        <f t="shared" ref="Q446" si="723">M446/1.12*0.12</f>
        <v>220.71428571428569</v>
      </c>
      <c r="R446" s="17">
        <f t="shared" ref="R446" si="724">M446+P446-Q446</f>
        <v>1857.6785714285716</v>
      </c>
      <c r="S446" s="19"/>
      <c r="T446" s="19"/>
      <c r="U446" s="19"/>
      <c r="V446" s="19"/>
      <c r="W446" s="17"/>
      <c r="X446" s="20"/>
      <c r="Y446" s="19"/>
      <c r="Z446" s="19"/>
      <c r="AA446" s="19"/>
      <c r="AB446" s="19"/>
      <c r="AC446" s="19"/>
      <c r="AD446" s="19"/>
      <c r="AE446" s="5"/>
      <c r="AF446" s="19"/>
      <c r="AG446" s="5"/>
      <c r="AH446" s="17"/>
      <c r="AI446" s="19"/>
      <c r="AJ446" s="19"/>
      <c r="AK446" s="19"/>
      <c r="AL446" s="19"/>
      <c r="AM446" s="17"/>
      <c r="AN446" s="19"/>
      <c r="AO446" s="19"/>
      <c r="AP446" s="19"/>
      <c r="AQ446" s="19"/>
      <c r="AR446" s="19"/>
      <c r="AS446" s="21"/>
      <c r="AT446" s="5"/>
      <c r="AU446" s="19"/>
      <c r="AV446" s="5"/>
      <c r="AW446" s="22"/>
      <c r="AX446" s="19"/>
      <c r="AY446" s="5"/>
      <c r="AZ446" s="19"/>
      <c r="BA446" s="5"/>
      <c r="BB446" s="5"/>
      <c r="BC446" s="19"/>
      <c r="BD446" s="19"/>
      <c r="BE446" s="19"/>
      <c r="BF446" s="19"/>
      <c r="BG446" s="19"/>
      <c r="BH446" s="19"/>
      <c r="BI446" s="19"/>
      <c r="BJ446" s="19"/>
      <c r="BK446" s="13"/>
      <c r="BL446" s="5"/>
      <c r="BM446" s="5"/>
      <c r="BN446" s="19"/>
      <c r="BO446" s="17"/>
      <c r="BP446" s="19"/>
      <c r="BQ446" s="17"/>
      <c r="BR446" s="19"/>
      <c r="BS446" s="13"/>
      <c r="BT446" s="5"/>
      <c r="BU446" s="23"/>
      <c r="BV446" s="23"/>
      <c r="BW446" s="24"/>
      <c r="BX446" s="5"/>
      <c r="BY446" s="5"/>
      <c r="BZ446" s="5"/>
      <c r="CA446" s="24"/>
      <c r="CB446" s="24"/>
      <c r="CC446" s="24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>
        <f t="shared" si="660"/>
        <v>2060</v>
      </c>
      <c r="CV446" s="25">
        <f t="shared" si="661"/>
        <v>0</v>
      </c>
    </row>
    <row r="447" spans="1:100" x14ac:dyDescent="0.2">
      <c r="A447" s="27"/>
      <c r="B447" s="28"/>
      <c r="C447" s="29"/>
      <c r="D447" s="30"/>
      <c r="E447" s="31"/>
      <c r="F447" s="32"/>
      <c r="G447" s="33"/>
      <c r="H447" s="34"/>
      <c r="I447" s="34"/>
      <c r="J447" s="35"/>
      <c r="K447" s="36"/>
      <c r="L447" s="37"/>
      <c r="M447" s="38">
        <f>SUM(M445:M446)</f>
        <v>2220</v>
      </c>
      <c r="N447" s="38"/>
      <c r="O447" s="39" t="s">
        <v>111</v>
      </c>
      <c r="P447" s="38">
        <f>SUM(P445:P446)</f>
        <v>19.821428571428569</v>
      </c>
      <c r="Q447" s="38">
        <f>SUM(Q445:Q446)</f>
        <v>237.85714285714283</v>
      </c>
      <c r="R447" s="38">
        <f>SUM(R445:R446)</f>
        <v>2001.9642857142858</v>
      </c>
      <c r="S447" s="38">
        <f t="shared" ref="S447:AD447" si="725">SUM(S445:S445)</f>
        <v>0</v>
      </c>
      <c r="T447" s="38">
        <f t="shared" si="725"/>
        <v>0</v>
      </c>
      <c r="U447" s="38">
        <f t="shared" si="725"/>
        <v>0</v>
      </c>
      <c r="V447" s="38">
        <f t="shared" si="725"/>
        <v>0</v>
      </c>
      <c r="W447" s="38">
        <f t="shared" si="725"/>
        <v>0</v>
      </c>
      <c r="X447" s="38">
        <f t="shared" si="725"/>
        <v>0</v>
      </c>
      <c r="Y447" s="38">
        <f t="shared" si="725"/>
        <v>0</v>
      </c>
      <c r="Z447" s="38">
        <f t="shared" si="725"/>
        <v>0</v>
      </c>
      <c r="AA447" s="38">
        <f t="shared" si="725"/>
        <v>0</v>
      </c>
      <c r="AB447" s="38">
        <f t="shared" si="725"/>
        <v>0</v>
      </c>
      <c r="AC447" s="38">
        <f t="shared" si="725"/>
        <v>0</v>
      </c>
      <c r="AD447" s="38">
        <f t="shared" si="725"/>
        <v>0</v>
      </c>
      <c r="AE447" s="30"/>
      <c r="AF447" s="38">
        <f>SUM(AF445:AF445)</f>
        <v>0</v>
      </c>
      <c r="AG447" s="30"/>
      <c r="AH447" s="38">
        <f t="shared" ref="AH447:AZ447" si="726">SUM(AH445:AH445)</f>
        <v>0</v>
      </c>
      <c r="AI447" s="38">
        <f t="shared" si="726"/>
        <v>0</v>
      </c>
      <c r="AJ447" s="38">
        <f t="shared" si="726"/>
        <v>0</v>
      </c>
      <c r="AK447" s="38">
        <f t="shared" si="726"/>
        <v>0</v>
      </c>
      <c r="AL447" s="38">
        <f t="shared" si="726"/>
        <v>0</v>
      </c>
      <c r="AM447" s="38">
        <f t="shared" si="726"/>
        <v>0</v>
      </c>
      <c r="AN447" s="38">
        <f t="shared" si="726"/>
        <v>0</v>
      </c>
      <c r="AO447" s="38">
        <f t="shared" si="726"/>
        <v>0</v>
      </c>
      <c r="AP447" s="38">
        <f t="shared" si="726"/>
        <v>0</v>
      </c>
      <c r="AQ447" s="38">
        <f t="shared" si="726"/>
        <v>0</v>
      </c>
      <c r="AR447" s="38">
        <f t="shared" si="726"/>
        <v>0</v>
      </c>
      <c r="AS447" s="38">
        <f t="shared" si="726"/>
        <v>0</v>
      </c>
      <c r="AT447" s="38">
        <f t="shared" si="726"/>
        <v>0</v>
      </c>
      <c r="AU447" s="38">
        <f t="shared" si="726"/>
        <v>0</v>
      </c>
      <c r="AV447" s="38">
        <f t="shared" si="726"/>
        <v>0</v>
      </c>
      <c r="AW447" s="38">
        <f t="shared" si="726"/>
        <v>0</v>
      </c>
      <c r="AX447" s="38">
        <f t="shared" si="726"/>
        <v>0</v>
      </c>
      <c r="AY447" s="38">
        <f t="shared" si="726"/>
        <v>0</v>
      </c>
      <c r="AZ447" s="38">
        <f t="shared" si="726"/>
        <v>0</v>
      </c>
      <c r="BA447" s="30"/>
      <c r="BB447" s="38">
        <f t="shared" ref="BB447:CT447" si="727">SUM(BB445:BB445)</f>
        <v>0</v>
      </c>
      <c r="BC447" s="38">
        <f t="shared" si="727"/>
        <v>0</v>
      </c>
      <c r="BD447" s="38">
        <f t="shared" si="727"/>
        <v>0</v>
      </c>
      <c r="BE447" s="38">
        <f t="shared" si="727"/>
        <v>0</v>
      </c>
      <c r="BF447" s="38">
        <f t="shared" si="727"/>
        <v>0</v>
      </c>
      <c r="BG447" s="38">
        <f t="shared" si="727"/>
        <v>0</v>
      </c>
      <c r="BH447" s="38">
        <f t="shared" si="727"/>
        <v>0</v>
      </c>
      <c r="BI447" s="38">
        <f t="shared" si="727"/>
        <v>0</v>
      </c>
      <c r="BJ447" s="38">
        <f t="shared" si="727"/>
        <v>0</v>
      </c>
      <c r="BK447" s="38">
        <f t="shared" si="727"/>
        <v>0</v>
      </c>
      <c r="BL447" s="38">
        <f t="shared" si="727"/>
        <v>0</v>
      </c>
      <c r="BM447" s="38">
        <f t="shared" si="727"/>
        <v>0</v>
      </c>
      <c r="BN447" s="38">
        <f t="shared" si="727"/>
        <v>0</v>
      </c>
      <c r="BO447" s="38">
        <f t="shared" si="727"/>
        <v>0</v>
      </c>
      <c r="BP447" s="38">
        <f t="shared" si="727"/>
        <v>0</v>
      </c>
      <c r="BQ447" s="38">
        <f t="shared" si="727"/>
        <v>0</v>
      </c>
      <c r="BR447" s="38">
        <f t="shared" si="727"/>
        <v>0</v>
      </c>
      <c r="BS447" s="38">
        <f t="shared" si="727"/>
        <v>0</v>
      </c>
      <c r="BT447" s="38">
        <f t="shared" si="727"/>
        <v>0</v>
      </c>
      <c r="BU447" s="38">
        <f t="shared" si="727"/>
        <v>0</v>
      </c>
      <c r="BV447" s="38">
        <f t="shared" si="727"/>
        <v>0</v>
      </c>
      <c r="BW447" s="38">
        <f t="shared" si="727"/>
        <v>0</v>
      </c>
      <c r="BX447" s="38">
        <f t="shared" si="727"/>
        <v>0</v>
      </c>
      <c r="BY447" s="38">
        <f t="shared" si="727"/>
        <v>0</v>
      </c>
      <c r="BZ447" s="38">
        <f t="shared" si="727"/>
        <v>0</v>
      </c>
      <c r="CA447" s="38">
        <f t="shared" si="727"/>
        <v>0</v>
      </c>
      <c r="CB447" s="38">
        <f t="shared" si="727"/>
        <v>0</v>
      </c>
      <c r="CC447" s="38">
        <f t="shared" si="727"/>
        <v>0</v>
      </c>
      <c r="CD447" s="38">
        <f t="shared" si="727"/>
        <v>0</v>
      </c>
      <c r="CE447" s="38">
        <f t="shared" si="727"/>
        <v>0</v>
      </c>
      <c r="CF447" s="38">
        <f t="shared" si="727"/>
        <v>0</v>
      </c>
      <c r="CG447" s="38">
        <f t="shared" si="727"/>
        <v>0</v>
      </c>
      <c r="CH447" s="38">
        <f t="shared" si="727"/>
        <v>0</v>
      </c>
      <c r="CI447" s="38">
        <f t="shared" si="727"/>
        <v>0</v>
      </c>
      <c r="CJ447" s="38">
        <f t="shared" si="727"/>
        <v>0</v>
      </c>
      <c r="CK447" s="38">
        <f t="shared" si="727"/>
        <v>0</v>
      </c>
      <c r="CL447" s="38">
        <f t="shared" si="727"/>
        <v>0</v>
      </c>
      <c r="CM447" s="38">
        <f t="shared" si="727"/>
        <v>0</v>
      </c>
      <c r="CN447" s="38">
        <f t="shared" si="727"/>
        <v>0</v>
      </c>
      <c r="CO447" s="38">
        <f t="shared" si="727"/>
        <v>0</v>
      </c>
      <c r="CP447" s="38">
        <f t="shared" si="727"/>
        <v>0</v>
      </c>
      <c r="CQ447" s="38">
        <f t="shared" si="727"/>
        <v>0</v>
      </c>
      <c r="CR447" s="38">
        <f t="shared" si="727"/>
        <v>0</v>
      </c>
      <c r="CS447" s="38">
        <f t="shared" si="727"/>
        <v>0</v>
      </c>
      <c r="CT447" s="38">
        <f t="shared" si="727"/>
        <v>0</v>
      </c>
      <c r="CU447" s="17">
        <f t="shared" si="660"/>
        <v>2220</v>
      </c>
      <c r="CV447" s="25">
        <f t="shared" si="661"/>
        <v>0</v>
      </c>
    </row>
    <row r="448" spans="1:100" x14ac:dyDescent="0.2">
      <c r="A448" s="2">
        <v>45889</v>
      </c>
      <c r="B448" s="3" t="s">
        <v>801</v>
      </c>
      <c r="C448" s="4" t="s">
        <v>895</v>
      </c>
      <c r="D448" s="5" t="s">
        <v>122</v>
      </c>
      <c r="E448" s="6" t="s">
        <v>770</v>
      </c>
      <c r="F448" s="7" t="s">
        <v>229</v>
      </c>
      <c r="G448" s="8" t="s">
        <v>259</v>
      </c>
      <c r="H448" s="9">
        <v>141804</v>
      </c>
      <c r="I448" s="10" t="s">
        <v>811</v>
      </c>
      <c r="J448" s="11" t="s">
        <v>812</v>
      </c>
      <c r="K448" s="12">
        <v>10</v>
      </c>
      <c r="L448" s="13">
        <v>120</v>
      </c>
      <c r="M448" s="14">
        <f t="shared" ref="M448" si="728">L448*K448</f>
        <v>1200</v>
      </c>
      <c r="N448" s="15"/>
      <c r="O448" s="16" t="s">
        <v>111</v>
      </c>
      <c r="P448" s="17">
        <f>M448/1.12*0.01</f>
        <v>10.714285714285714</v>
      </c>
      <c r="Q448" s="18">
        <f>M448/1.12*0.12</f>
        <v>128.57142857142856</v>
      </c>
      <c r="R448" s="5"/>
      <c r="S448" s="19"/>
      <c r="T448" s="19"/>
      <c r="U448" s="19"/>
      <c r="V448" s="19"/>
      <c r="W448" s="17">
        <f>M448+P448-Q448</f>
        <v>1082.1428571428573</v>
      </c>
      <c r="X448" s="20"/>
      <c r="Y448" s="19"/>
      <c r="Z448" s="19"/>
      <c r="AA448" s="19"/>
      <c r="AB448" s="19"/>
      <c r="AC448" s="19"/>
      <c r="AD448" s="19"/>
      <c r="AE448" s="5"/>
      <c r="AF448" s="19"/>
      <c r="AG448" s="5"/>
      <c r="AH448" s="17"/>
      <c r="AI448" s="19"/>
      <c r="AJ448" s="19"/>
      <c r="AK448" s="19"/>
      <c r="AL448" s="19"/>
      <c r="AM448" s="17"/>
      <c r="AN448" s="19"/>
      <c r="AO448" s="19"/>
      <c r="AP448" s="19"/>
      <c r="AQ448" s="19"/>
      <c r="AR448" s="19"/>
      <c r="AS448" s="21"/>
      <c r="AT448" s="5"/>
      <c r="AU448" s="19"/>
      <c r="AV448" s="5"/>
      <c r="AW448" s="22"/>
      <c r="AX448" s="19"/>
      <c r="AY448" s="5"/>
      <c r="AZ448" s="19"/>
      <c r="BA448" s="5"/>
      <c r="BB448" s="5"/>
      <c r="BC448" s="19"/>
      <c r="BD448" s="19"/>
      <c r="BE448" s="19"/>
      <c r="BF448" s="19"/>
      <c r="BG448" s="19"/>
      <c r="BH448" s="19"/>
      <c r="BI448" s="19"/>
      <c r="BJ448" s="19"/>
      <c r="BK448" s="13"/>
      <c r="BL448" s="5"/>
      <c r="BM448" s="5"/>
      <c r="BN448" s="19"/>
      <c r="BO448" s="17"/>
      <c r="BP448" s="19"/>
      <c r="BQ448" s="17"/>
      <c r="BR448" s="19"/>
      <c r="BS448" s="13"/>
      <c r="BT448" s="5"/>
      <c r="BU448" s="23"/>
      <c r="BV448" s="23"/>
      <c r="BW448" s="24"/>
      <c r="BX448" s="5"/>
      <c r="BY448" s="5"/>
      <c r="BZ448" s="5"/>
      <c r="CA448" s="24"/>
      <c r="CB448" s="24"/>
      <c r="CC448" s="24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>
        <f t="shared" si="660"/>
        <v>1200</v>
      </c>
      <c r="CV448" s="25">
        <f t="shared" si="661"/>
        <v>0</v>
      </c>
    </row>
    <row r="449" spans="1:100" x14ac:dyDescent="0.2">
      <c r="A449" s="27"/>
      <c r="B449" s="28"/>
      <c r="C449" s="29"/>
      <c r="D449" s="30"/>
      <c r="E449" s="31"/>
      <c r="F449" s="32"/>
      <c r="G449" s="33"/>
      <c r="H449" s="34"/>
      <c r="I449" s="34"/>
      <c r="J449" s="35"/>
      <c r="K449" s="36"/>
      <c r="L449" s="37"/>
      <c r="M449" s="38">
        <f>SUM(M448:M448)</f>
        <v>1200</v>
      </c>
      <c r="N449" s="38"/>
      <c r="O449" s="39" t="s">
        <v>111</v>
      </c>
      <c r="P449" s="38">
        <f>SUM(P448:P448)</f>
        <v>10.714285714285714</v>
      </c>
      <c r="Q449" s="38">
        <f>SUM(Q448:Q448)</f>
        <v>128.57142857142856</v>
      </c>
      <c r="R449" s="30"/>
      <c r="S449" s="38">
        <f t="shared" ref="S449:AD449" si="729">SUM(S448:S448)</f>
        <v>0</v>
      </c>
      <c r="T449" s="38">
        <f t="shared" si="729"/>
        <v>0</v>
      </c>
      <c r="U449" s="38">
        <f t="shared" si="729"/>
        <v>0</v>
      </c>
      <c r="V449" s="38">
        <f t="shared" si="729"/>
        <v>0</v>
      </c>
      <c r="W449" s="38">
        <f>SUM(W448:W448)</f>
        <v>1082.1428571428573</v>
      </c>
      <c r="X449" s="38">
        <f t="shared" si="729"/>
        <v>0</v>
      </c>
      <c r="Y449" s="38">
        <f t="shared" si="729"/>
        <v>0</v>
      </c>
      <c r="Z449" s="38">
        <f t="shared" si="729"/>
        <v>0</v>
      </c>
      <c r="AA449" s="38">
        <f t="shared" si="729"/>
        <v>0</v>
      </c>
      <c r="AB449" s="38">
        <f t="shared" si="729"/>
        <v>0</v>
      </c>
      <c r="AC449" s="38">
        <f t="shared" si="729"/>
        <v>0</v>
      </c>
      <c r="AD449" s="38">
        <f t="shared" si="729"/>
        <v>0</v>
      </c>
      <c r="AE449" s="30"/>
      <c r="AF449" s="38">
        <f>SUM(AF448:AF448)</f>
        <v>0</v>
      </c>
      <c r="AG449" s="30"/>
      <c r="AH449" s="38">
        <f t="shared" ref="AH449:AZ449" si="730">SUM(AH448:AH448)</f>
        <v>0</v>
      </c>
      <c r="AI449" s="38">
        <f t="shared" si="730"/>
        <v>0</v>
      </c>
      <c r="AJ449" s="38">
        <f t="shared" si="730"/>
        <v>0</v>
      </c>
      <c r="AK449" s="38">
        <f t="shared" si="730"/>
        <v>0</v>
      </c>
      <c r="AL449" s="38">
        <f t="shared" si="730"/>
        <v>0</v>
      </c>
      <c r="AM449" s="38">
        <f t="shared" si="730"/>
        <v>0</v>
      </c>
      <c r="AN449" s="38">
        <f t="shared" si="730"/>
        <v>0</v>
      </c>
      <c r="AO449" s="38">
        <f t="shared" si="730"/>
        <v>0</v>
      </c>
      <c r="AP449" s="38">
        <f t="shared" si="730"/>
        <v>0</v>
      </c>
      <c r="AQ449" s="38">
        <f t="shared" si="730"/>
        <v>0</v>
      </c>
      <c r="AR449" s="38">
        <f t="shared" si="730"/>
        <v>0</v>
      </c>
      <c r="AS449" s="38">
        <f t="shared" si="730"/>
        <v>0</v>
      </c>
      <c r="AT449" s="38">
        <f t="shared" si="730"/>
        <v>0</v>
      </c>
      <c r="AU449" s="38">
        <f t="shared" si="730"/>
        <v>0</v>
      </c>
      <c r="AV449" s="38">
        <f t="shared" si="730"/>
        <v>0</v>
      </c>
      <c r="AW449" s="38">
        <f t="shared" si="730"/>
        <v>0</v>
      </c>
      <c r="AX449" s="38">
        <f t="shared" si="730"/>
        <v>0</v>
      </c>
      <c r="AY449" s="38">
        <f t="shared" si="730"/>
        <v>0</v>
      </c>
      <c r="AZ449" s="38">
        <f t="shared" si="730"/>
        <v>0</v>
      </c>
      <c r="BA449" s="30"/>
      <c r="BB449" s="38">
        <f t="shared" ref="BB449:CT449" si="731">SUM(BB448:BB448)</f>
        <v>0</v>
      </c>
      <c r="BC449" s="38">
        <f t="shared" si="731"/>
        <v>0</v>
      </c>
      <c r="BD449" s="38">
        <f t="shared" si="731"/>
        <v>0</v>
      </c>
      <c r="BE449" s="38">
        <f t="shared" si="731"/>
        <v>0</v>
      </c>
      <c r="BF449" s="38">
        <f t="shared" si="731"/>
        <v>0</v>
      </c>
      <c r="BG449" s="38">
        <f t="shared" si="731"/>
        <v>0</v>
      </c>
      <c r="BH449" s="38">
        <f t="shared" si="731"/>
        <v>0</v>
      </c>
      <c r="BI449" s="38">
        <f t="shared" si="731"/>
        <v>0</v>
      </c>
      <c r="BJ449" s="38">
        <f t="shared" si="731"/>
        <v>0</v>
      </c>
      <c r="BK449" s="38">
        <f t="shared" si="731"/>
        <v>0</v>
      </c>
      <c r="BL449" s="38">
        <f t="shared" si="731"/>
        <v>0</v>
      </c>
      <c r="BM449" s="38">
        <f t="shared" si="731"/>
        <v>0</v>
      </c>
      <c r="BN449" s="38">
        <f t="shared" si="731"/>
        <v>0</v>
      </c>
      <c r="BO449" s="38">
        <f t="shared" si="731"/>
        <v>0</v>
      </c>
      <c r="BP449" s="38">
        <f t="shared" si="731"/>
        <v>0</v>
      </c>
      <c r="BQ449" s="38">
        <f t="shared" si="731"/>
        <v>0</v>
      </c>
      <c r="BR449" s="38">
        <f t="shared" si="731"/>
        <v>0</v>
      </c>
      <c r="BS449" s="38">
        <f t="shared" si="731"/>
        <v>0</v>
      </c>
      <c r="BT449" s="38">
        <f t="shared" si="731"/>
        <v>0</v>
      </c>
      <c r="BU449" s="38">
        <f t="shared" si="731"/>
        <v>0</v>
      </c>
      <c r="BV449" s="38">
        <f t="shared" si="731"/>
        <v>0</v>
      </c>
      <c r="BW449" s="38">
        <f t="shared" si="731"/>
        <v>0</v>
      </c>
      <c r="BX449" s="38">
        <f t="shared" si="731"/>
        <v>0</v>
      </c>
      <c r="BY449" s="38">
        <f t="shared" si="731"/>
        <v>0</v>
      </c>
      <c r="BZ449" s="38">
        <f t="shared" si="731"/>
        <v>0</v>
      </c>
      <c r="CA449" s="38">
        <f t="shared" si="731"/>
        <v>0</v>
      </c>
      <c r="CB449" s="38">
        <f t="shared" si="731"/>
        <v>0</v>
      </c>
      <c r="CC449" s="38">
        <f t="shared" si="731"/>
        <v>0</v>
      </c>
      <c r="CD449" s="38">
        <f t="shared" si="731"/>
        <v>0</v>
      </c>
      <c r="CE449" s="38">
        <f t="shared" si="731"/>
        <v>0</v>
      </c>
      <c r="CF449" s="38">
        <f t="shared" si="731"/>
        <v>0</v>
      </c>
      <c r="CG449" s="38">
        <f t="shared" si="731"/>
        <v>0</v>
      </c>
      <c r="CH449" s="38">
        <f t="shared" si="731"/>
        <v>0</v>
      </c>
      <c r="CI449" s="38">
        <f t="shared" si="731"/>
        <v>0</v>
      </c>
      <c r="CJ449" s="38">
        <f t="shared" si="731"/>
        <v>0</v>
      </c>
      <c r="CK449" s="38">
        <f t="shared" si="731"/>
        <v>0</v>
      </c>
      <c r="CL449" s="38">
        <f t="shared" si="731"/>
        <v>0</v>
      </c>
      <c r="CM449" s="38">
        <f t="shared" si="731"/>
        <v>0</v>
      </c>
      <c r="CN449" s="38">
        <f t="shared" si="731"/>
        <v>0</v>
      </c>
      <c r="CO449" s="38">
        <f t="shared" si="731"/>
        <v>0</v>
      </c>
      <c r="CP449" s="38">
        <f t="shared" si="731"/>
        <v>0</v>
      </c>
      <c r="CQ449" s="38">
        <f t="shared" si="731"/>
        <v>0</v>
      </c>
      <c r="CR449" s="38">
        <f t="shared" si="731"/>
        <v>0</v>
      </c>
      <c r="CS449" s="38">
        <f t="shared" si="731"/>
        <v>0</v>
      </c>
      <c r="CT449" s="38">
        <f t="shared" si="731"/>
        <v>0</v>
      </c>
      <c r="CU449" s="17">
        <f t="shared" si="660"/>
        <v>1200</v>
      </c>
      <c r="CV449" s="25">
        <f t="shared" si="661"/>
        <v>0</v>
      </c>
    </row>
    <row r="450" spans="1:100" x14ac:dyDescent="0.2">
      <c r="A450" s="2">
        <v>45890</v>
      </c>
      <c r="B450" s="3" t="s">
        <v>801</v>
      </c>
      <c r="C450" s="4" t="s">
        <v>894</v>
      </c>
      <c r="D450" s="5" t="s">
        <v>122</v>
      </c>
      <c r="E450" s="6"/>
      <c r="F450" s="7"/>
      <c r="G450" s="8"/>
      <c r="H450" s="9">
        <v>2797497</v>
      </c>
      <c r="I450" s="10"/>
      <c r="J450" s="11" t="s">
        <v>226</v>
      </c>
      <c r="K450" s="12">
        <v>1</v>
      </c>
      <c r="L450" s="13">
        <v>120</v>
      </c>
      <c r="M450" s="14">
        <f t="shared" ref="M450" si="732">L450*K450</f>
        <v>120</v>
      </c>
      <c r="N450" s="15"/>
      <c r="O450" s="16" t="s">
        <v>137</v>
      </c>
      <c r="P450" s="17"/>
      <c r="Q450" s="18"/>
      <c r="R450" s="5"/>
      <c r="S450" s="19"/>
      <c r="T450" s="19"/>
      <c r="U450" s="19"/>
      <c r="V450" s="19"/>
      <c r="W450" s="17"/>
      <c r="X450" s="20"/>
      <c r="Y450" s="19"/>
      <c r="Z450" s="19"/>
      <c r="AA450" s="19"/>
      <c r="AB450" s="19"/>
      <c r="AC450" s="19"/>
      <c r="AD450" s="19"/>
      <c r="AE450" s="5"/>
      <c r="AF450" s="19"/>
      <c r="AG450" s="5"/>
      <c r="AH450" s="17"/>
      <c r="AI450" s="19"/>
      <c r="AJ450" s="19"/>
      <c r="AK450" s="19"/>
      <c r="AL450" s="19"/>
      <c r="AM450" s="17"/>
      <c r="AN450" s="19"/>
      <c r="AO450" s="19"/>
      <c r="AP450" s="19"/>
      <c r="AQ450" s="19"/>
      <c r="AR450" s="19"/>
      <c r="AS450" s="21"/>
      <c r="AT450" s="5"/>
      <c r="AU450" s="19"/>
      <c r="AV450" s="5"/>
      <c r="AW450" s="22"/>
      <c r="AX450" s="19"/>
      <c r="AY450" s="5"/>
      <c r="AZ450" s="19"/>
      <c r="BA450" s="5"/>
      <c r="BB450" s="5"/>
      <c r="BC450" s="17">
        <f>M450+P450-Q450</f>
        <v>120</v>
      </c>
      <c r="BD450" s="19"/>
      <c r="BE450" s="19"/>
      <c r="BF450" s="19"/>
      <c r="BG450" s="19"/>
      <c r="BH450" s="19"/>
      <c r="BI450" s="19"/>
      <c r="BJ450" s="19"/>
      <c r="BK450" s="13"/>
      <c r="BL450" s="5"/>
      <c r="BM450" s="5"/>
      <c r="BN450" s="19"/>
      <c r="BO450" s="17"/>
      <c r="BP450" s="19"/>
      <c r="BQ450" s="17"/>
      <c r="BR450" s="19"/>
      <c r="BS450" s="13"/>
      <c r="BT450" s="5"/>
      <c r="BU450" s="23"/>
      <c r="BV450" s="23"/>
      <c r="BW450" s="24"/>
      <c r="BX450" s="5"/>
      <c r="BY450" s="5"/>
      <c r="BZ450" s="5"/>
      <c r="CA450" s="24"/>
      <c r="CB450" s="24"/>
      <c r="CC450" s="24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>
        <f t="shared" si="660"/>
        <v>120</v>
      </c>
      <c r="CV450" s="25">
        <f t="shared" si="661"/>
        <v>0</v>
      </c>
    </row>
    <row r="451" spans="1:100" s="205" customFormat="1" x14ac:dyDescent="0.2">
      <c r="A451" s="192"/>
      <c r="B451" s="193"/>
      <c r="C451" s="194"/>
      <c r="D451" s="195"/>
      <c r="E451" s="196"/>
      <c r="F451" s="197"/>
      <c r="G451" s="198"/>
      <c r="H451" s="199"/>
      <c r="I451" s="199"/>
      <c r="J451" s="200"/>
      <c r="K451" s="201"/>
      <c r="L451" s="202"/>
      <c r="M451" s="203">
        <f>SUM(M450:M450)</f>
        <v>120</v>
      </c>
      <c r="N451" s="203">
        <f>M451+M449+M447+M444+M440</f>
        <v>9119.5</v>
      </c>
      <c r="O451" s="204" t="s">
        <v>137</v>
      </c>
      <c r="P451" s="203"/>
      <c r="Q451" s="203"/>
      <c r="R451" s="195"/>
      <c r="S451" s="203">
        <f t="shared" ref="S451:AD451" si="733">SUM(S450:S450)</f>
        <v>0</v>
      </c>
      <c r="T451" s="203">
        <f t="shared" si="733"/>
        <v>0</v>
      </c>
      <c r="U451" s="203">
        <f t="shared" si="733"/>
        <v>0</v>
      </c>
      <c r="V451" s="203">
        <f t="shared" si="733"/>
        <v>0</v>
      </c>
      <c r="W451" s="203">
        <f t="shared" si="733"/>
        <v>0</v>
      </c>
      <c r="X451" s="203">
        <f t="shared" si="733"/>
        <v>0</v>
      </c>
      <c r="Y451" s="203">
        <f t="shared" si="733"/>
        <v>0</v>
      </c>
      <c r="Z451" s="203">
        <f t="shared" si="733"/>
        <v>0</v>
      </c>
      <c r="AA451" s="203">
        <f t="shared" si="733"/>
        <v>0</v>
      </c>
      <c r="AB451" s="203">
        <f t="shared" si="733"/>
        <v>0</v>
      </c>
      <c r="AC451" s="203">
        <f t="shared" si="733"/>
        <v>0</v>
      </c>
      <c r="AD451" s="203">
        <f t="shared" si="733"/>
        <v>0</v>
      </c>
      <c r="AE451" s="195"/>
      <c r="AF451" s="203">
        <f>SUM(AF450:AF450)</f>
        <v>0</v>
      </c>
      <c r="AG451" s="195"/>
      <c r="AH451" s="203">
        <f t="shared" ref="AH451:AZ451" si="734">SUM(AH450:AH450)</f>
        <v>0</v>
      </c>
      <c r="AI451" s="203">
        <f t="shared" si="734"/>
        <v>0</v>
      </c>
      <c r="AJ451" s="203">
        <f t="shared" si="734"/>
        <v>0</v>
      </c>
      <c r="AK451" s="203">
        <f t="shared" si="734"/>
        <v>0</v>
      </c>
      <c r="AL451" s="203">
        <f t="shared" si="734"/>
        <v>0</v>
      </c>
      <c r="AM451" s="203">
        <f t="shared" si="734"/>
        <v>0</v>
      </c>
      <c r="AN451" s="203">
        <f t="shared" si="734"/>
        <v>0</v>
      </c>
      <c r="AO451" s="203">
        <f t="shared" si="734"/>
        <v>0</v>
      </c>
      <c r="AP451" s="203">
        <f t="shared" si="734"/>
        <v>0</v>
      </c>
      <c r="AQ451" s="203">
        <f t="shared" si="734"/>
        <v>0</v>
      </c>
      <c r="AR451" s="203">
        <f t="shared" si="734"/>
        <v>0</v>
      </c>
      <c r="AS451" s="203">
        <f t="shared" si="734"/>
        <v>0</v>
      </c>
      <c r="AT451" s="203">
        <f t="shared" si="734"/>
        <v>0</v>
      </c>
      <c r="AU451" s="203">
        <f t="shared" si="734"/>
        <v>0</v>
      </c>
      <c r="AV451" s="203">
        <f t="shared" si="734"/>
        <v>0</v>
      </c>
      <c r="AW451" s="203">
        <f t="shared" si="734"/>
        <v>0</v>
      </c>
      <c r="AX451" s="203">
        <f t="shared" si="734"/>
        <v>0</v>
      </c>
      <c r="AY451" s="203">
        <f t="shared" si="734"/>
        <v>0</v>
      </c>
      <c r="AZ451" s="203">
        <f t="shared" si="734"/>
        <v>0</v>
      </c>
      <c r="BA451" s="195"/>
      <c r="BB451" s="203">
        <f t="shared" ref="BB451:CT451" si="735">SUM(BB450:BB450)</f>
        <v>0</v>
      </c>
      <c r="BC451" s="203">
        <f>SUM(BC450:BC450)</f>
        <v>120</v>
      </c>
      <c r="BD451" s="203">
        <f t="shared" si="735"/>
        <v>0</v>
      </c>
      <c r="BE451" s="203">
        <f t="shared" si="735"/>
        <v>0</v>
      </c>
      <c r="BF451" s="203">
        <f t="shared" si="735"/>
        <v>0</v>
      </c>
      <c r="BG451" s="203">
        <f t="shared" si="735"/>
        <v>0</v>
      </c>
      <c r="BH451" s="203">
        <f t="shared" si="735"/>
        <v>0</v>
      </c>
      <c r="BI451" s="203">
        <f t="shared" si="735"/>
        <v>0</v>
      </c>
      <c r="BJ451" s="203">
        <f t="shared" si="735"/>
        <v>0</v>
      </c>
      <c r="BK451" s="203">
        <f t="shared" si="735"/>
        <v>0</v>
      </c>
      <c r="BL451" s="203">
        <f t="shared" si="735"/>
        <v>0</v>
      </c>
      <c r="BM451" s="203">
        <f t="shared" si="735"/>
        <v>0</v>
      </c>
      <c r="BN451" s="203">
        <f t="shared" si="735"/>
        <v>0</v>
      </c>
      <c r="BO451" s="203">
        <f t="shared" si="735"/>
        <v>0</v>
      </c>
      <c r="BP451" s="203">
        <f t="shared" si="735"/>
        <v>0</v>
      </c>
      <c r="BQ451" s="203">
        <f t="shared" si="735"/>
        <v>0</v>
      </c>
      <c r="BR451" s="203">
        <f t="shared" si="735"/>
        <v>0</v>
      </c>
      <c r="BS451" s="203">
        <f t="shared" si="735"/>
        <v>0</v>
      </c>
      <c r="BT451" s="203">
        <f t="shared" si="735"/>
        <v>0</v>
      </c>
      <c r="BU451" s="203">
        <f t="shared" si="735"/>
        <v>0</v>
      </c>
      <c r="BV451" s="203">
        <f t="shared" si="735"/>
        <v>0</v>
      </c>
      <c r="BW451" s="203">
        <f t="shared" si="735"/>
        <v>0</v>
      </c>
      <c r="BX451" s="203">
        <f t="shared" si="735"/>
        <v>0</v>
      </c>
      <c r="BY451" s="203">
        <f t="shared" si="735"/>
        <v>0</v>
      </c>
      <c r="BZ451" s="203">
        <f t="shared" si="735"/>
        <v>0</v>
      </c>
      <c r="CA451" s="203">
        <f t="shared" si="735"/>
        <v>0</v>
      </c>
      <c r="CB451" s="203">
        <f t="shared" si="735"/>
        <v>0</v>
      </c>
      <c r="CC451" s="203">
        <f t="shared" si="735"/>
        <v>0</v>
      </c>
      <c r="CD451" s="203">
        <f t="shared" si="735"/>
        <v>0</v>
      </c>
      <c r="CE451" s="203">
        <f t="shared" si="735"/>
        <v>0</v>
      </c>
      <c r="CF451" s="203">
        <f t="shared" si="735"/>
        <v>0</v>
      </c>
      <c r="CG451" s="203">
        <f t="shared" si="735"/>
        <v>0</v>
      </c>
      <c r="CH451" s="203">
        <f t="shared" si="735"/>
        <v>0</v>
      </c>
      <c r="CI451" s="203">
        <f t="shared" si="735"/>
        <v>0</v>
      </c>
      <c r="CJ451" s="203">
        <f t="shared" si="735"/>
        <v>0</v>
      </c>
      <c r="CK451" s="203">
        <f t="shared" si="735"/>
        <v>0</v>
      </c>
      <c r="CL451" s="203">
        <f t="shared" si="735"/>
        <v>0</v>
      </c>
      <c r="CM451" s="203">
        <f t="shared" si="735"/>
        <v>0</v>
      </c>
      <c r="CN451" s="203">
        <f t="shared" si="735"/>
        <v>0</v>
      </c>
      <c r="CO451" s="203">
        <f t="shared" si="735"/>
        <v>0</v>
      </c>
      <c r="CP451" s="203">
        <f t="shared" si="735"/>
        <v>0</v>
      </c>
      <c r="CQ451" s="203">
        <f t="shared" si="735"/>
        <v>0</v>
      </c>
      <c r="CR451" s="203">
        <f t="shared" si="735"/>
        <v>0</v>
      </c>
      <c r="CS451" s="203">
        <f t="shared" si="735"/>
        <v>0</v>
      </c>
      <c r="CT451" s="203">
        <f t="shared" si="735"/>
        <v>0</v>
      </c>
      <c r="CU451" s="17">
        <f t="shared" si="660"/>
        <v>120</v>
      </c>
      <c r="CV451" s="25">
        <f t="shared" si="661"/>
        <v>0</v>
      </c>
    </row>
    <row r="452" spans="1:100" x14ac:dyDescent="0.2">
      <c r="A452" s="2">
        <v>45891</v>
      </c>
      <c r="B452" s="3" t="s">
        <v>814</v>
      </c>
      <c r="C452" s="4" t="s">
        <v>893</v>
      </c>
      <c r="D452" s="5" t="s">
        <v>815</v>
      </c>
      <c r="E452" s="6" t="s">
        <v>816</v>
      </c>
      <c r="F452" s="7"/>
      <c r="G452" s="8"/>
      <c r="H452" s="9"/>
      <c r="I452" s="10"/>
      <c r="J452" s="11" t="s">
        <v>760</v>
      </c>
      <c r="K452" s="12">
        <v>1</v>
      </c>
      <c r="L452" s="13">
        <v>320</v>
      </c>
      <c r="M452" s="14">
        <f t="shared" ref="M452" si="736">L452*K452</f>
        <v>320</v>
      </c>
      <c r="N452" s="15"/>
      <c r="O452" s="16" t="s">
        <v>137</v>
      </c>
      <c r="P452" s="17"/>
      <c r="Q452" s="18"/>
      <c r="R452" s="17">
        <f>M452+P452-Q452</f>
        <v>320</v>
      </c>
      <c r="S452" s="19"/>
      <c r="T452" s="19"/>
      <c r="U452" s="19"/>
      <c r="V452" s="19"/>
      <c r="W452" s="17"/>
      <c r="X452" s="20"/>
      <c r="Y452" s="19"/>
      <c r="Z452" s="19"/>
      <c r="AA452" s="19"/>
      <c r="AB452" s="19"/>
      <c r="AC452" s="19"/>
      <c r="AD452" s="19"/>
      <c r="AE452" s="5"/>
      <c r="AF452" s="19"/>
      <c r="AG452" s="5"/>
      <c r="AH452" s="17"/>
      <c r="AI452" s="19"/>
      <c r="AJ452" s="19"/>
      <c r="AK452" s="19"/>
      <c r="AL452" s="19"/>
      <c r="AM452" s="17"/>
      <c r="AN452" s="19"/>
      <c r="AO452" s="19"/>
      <c r="AP452" s="19"/>
      <c r="AQ452" s="19"/>
      <c r="AR452" s="19"/>
      <c r="AS452" s="21"/>
      <c r="AT452" s="5"/>
      <c r="AU452" s="19"/>
      <c r="AV452" s="5"/>
      <c r="AW452" s="22"/>
      <c r="AX452" s="19"/>
      <c r="AY452" s="5"/>
      <c r="AZ452" s="19"/>
      <c r="BA452" s="5"/>
      <c r="BB452" s="5"/>
      <c r="BC452" s="19"/>
      <c r="BD452" s="19"/>
      <c r="BE452" s="19"/>
      <c r="BF452" s="19"/>
      <c r="BG452" s="19"/>
      <c r="BH452" s="19"/>
      <c r="BI452" s="19"/>
      <c r="BJ452" s="19"/>
      <c r="BK452" s="13"/>
      <c r="BL452" s="5"/>
      <c r="BM452" s="5"/>
      <c r="BN452" s="19"/>
      <c r="BO452" s="17"/>
      <c r="BP452" s="19"/>
      <c r="BQ452" s="17"/>
      <c r="BR452" s="19"/>
      <c r="BS452" s="13"/>
      <c r="BT452" s="5"/>
      <c r="BU452" s="23"/>
      <c r="BV452" s="23"/>
      <c r="BW452" s="24"/>
      <c r="BX452" s="5"/>
      <c r="BY452" s="5"/>
      <c r="BZ452" s="5"/>
      <c r="CA452" s="24"/>
      <c r="CB452" s="24"/>
      <c r="CC452" s="24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>
        <f t="shared" si="660"/>
        <v>320</v>
      </c>
      <c r="CV452" s="25">
        <f t="shared" si="661"/>
        <v>0</v>
      </c>
    </row>
    <row r="453" spans="1:100" s="205" customFormat="1" x14ac:dyDescent="0.2">
      <c r="A453" s="192"/>
      <c r="B453" s="193"/>
      <c r="C453" s="194"/>
      <c r="D453" s="195"/>
      <c r="E453" s="196"/>
      <c r="F453" s="197"/>
      <c r="G453" s="198"/>
      <c r="H453" s="199"/>
      <c r="I453" s="199"/>
      <c r="J453" s="200"/>
      <c r="K453" s="201"/>
      <c r="L453" s="202"/>
      <c r="M453" s="203">
        <f>SUM(M452:M452)</f>
        <v>320</v>
      </c>
      <c r="N453" s="203">
        <f>M453</f>
        <v>320</v>
      </c>
      <c r="O453" s="204" t="s">
        <v>137</v>
      </c>
      <c r="P453" s="203"/>
      <c r="Q453" s="203"/>
      <c r="R453" s="203">
        <f>SUM(R452:R452)</f>
        <v>320</v>
      </c>
      <c r="S453" s="203">
        <f t="shared" ref="S453:AD453" si="737">SUM(S452:S452)</f>
        <v>0</v>
      </c>
      <c r="T453" s="203">
        <f t="shared" si="737"/>
        <v>0</v>
      </c>
      <c r="U453" s="203">
        <f t="shared" si="737"/>
        <v>0</v>
      </c>
      <c r="V453" s="203">
        <f t="shared" si="737"/>
        <v>0</v>
      </c>
      <c r="W453" s="203">
        <f t="shared" si="737"/>
        <v>0</v>
      </c>
      <c r="X453" s="203">
        <f t="shared" si="737"/>
        <v>0</v>
      </c>
      <c r="Y453" s="203">
        <f t="shared" si="737"/>
        <v>0</v>
      </c>
      <c r="Z453" s="203">
        <f t="shared" si="737"/>
        <v>0</v>
      </c>
      <c r="AA453" s="203">
        <f t="shared" si="737"/>
        <v>0</v>
      </c>
      <c r="AB453" s="203">
        <f t="shared" si="737"/>
        <v>0</v>
      </c>
      <c r="AC453" s="203">
        <f t="shared" si="737"/>
        <v>0</v>
      </c>
      <c r="AD453" s="203">
        <f t="shared" si="737"/>
        <v>0</v>
      </c>
      <c r="AE453" s="195"/>
      <c r="AF453" s="203">
        <f>SUM(AF452:AF452)</f>
        <v>0</v>
      </c>
      <c r="AG453" s="195"/>
      <c r="AH453" s="203">
        <f t="shared" ref="AH453:AZ453" si="738">SUM(AH452:AH452)</f>
        <v>0</v>
      </c>
      <c r="AI453" s="203">
        <f t="shared" si="738"/>
        <v>0</v>
      </c>
      <c r="AJ453" s="203">
        <f t="shared" si="738"/>
        <v>0</v>
      </c>
      <c r="AK453" s="203">
        <f t="shared" si="738"/>
        <v>0</v>
      </c>
      <c r="AL453" s="203">
        <f t="shared" si="738"/>
        <v>0</v>
      </c>
      <c r="AM453" s="203">
        <f t="shared" si="738"/>
        <v>0</v>
      </c>
      <c r="AN453" s="203">
        <f t="shared" si="738"/>
        <v>0</v>
      </c>
      <c r="AO453" s="203">
        <f t="shared" si="738"/>
        <v>0</v>
      </c>
      <c r="AP453" s="203">
        <f t="shared" si="738"/>
        <v>0</v>
      </c>
      <c r="AQ453" s="203">
        <f t="shared" si="738"/>
        <v>0</v>
      </c>
      <c r="AR453" s="203">
        <f t="shared" si="738"/>
        <v>0</v>
      </c>
      <c r="AS453" s="203">
        <f t="shared" si="738"/>
        <v>0</v>
      </c>
      <c r="AT453" s="203">
        <f t="shared" si="738"/>
        <v>0</v>
      </c>
      <c r="AU453" s="203">
        <f t="shared" si="738"/>
        <v>0</v>
      </c>
      <c r="AV453" s="203">
        <f t="shared" si="738"/>
        <v>0</v>
      </c>
      <c r="AW453" s="203">
        <f t="shared" si="738"/>
        <v>0</v>
      </c>
      <c r="AX453" s="203">
        <f t="shared" si="738"/>
        <v>0</v>
      </c>
      <c r="AY453" s="203">
        <f t="shared" si="738"/>
        <v>0</v>
      </c>
      <c r="AZ453" s="203">
        <f t="shared" si="738"/>
        <v>0</v>
      </c>
      <c r="BA453" s="195"/>
      <c r="BB453" s="203">
        <f t="shared" ref="BB453:CT453" si="739">SUM(BB452:BB452)</f>
        <v>0</v>
      </c>
      <c r="BC453" s="203">
        <f t="shared" si="739"/>
        <v>0</v>
      </c>
      <c r="BD453" s="203">
        <f t="shared" si="739"/>
        <v>0</v>
      </c>
      <c r="BE453" s="203">
        <f t="shared" si="739"/>
        <v>0</v>
      </c>
      <c r="BF453" s="203">
        <f t="shared" si="739"/>
        <v>0</v>
      </c>
      <c r="BG453" s="203">
        <f t="shared" si="739"/>
        <v>0</v>
      </c>
      <c r="BH453" s="203">
        <f t="shared" si="739"/>
        <v>0</v>
      </c>
      <c r="BI453" s="203">
        <f t="shared" si="739"/>
        <v>0</v>
      </c>
      <c r="BJ453" s="203">
        <f t="shared" si="739"/>
        <v>0</v>
      </c>
      <c r="BK453" s="203">
        <f t="shared" si="739"/>
        <v>0</v>
      </c>
      <c r="BL453" s="203">
        <f t="shared" si="739"/>
        <v>0</v>
      </c>
      <c r="BM453" s="203">
        <f t="shared" si="739"/>
        <v>0</v>
      </c>
      <c r="BN453" s="203">
        <f t="shared" si="739"/>
        <v>0</v>
      </c>
      <c r="BO453" s="203">
        <f t="shared" si="739"/>
        <v>0</v>
      </c>
      <c r="BP453" s="203">
        <f t="shared" si="739"/>
        <v>0</v>
      </c>
      <c r="BQ453" s="203">
        <f t="shared" si="739"/>
        <v>0</v>
      </c>
      <c r="BR453" s="203">
        <f t="shared" si="739"/>
        <v>0</v>
      </c>
      <c r="BS453" s="203">
        <f t="shared" si="739"/>
        <v>0</v>
      </c>
      <c r="BT453" s="203">
        <f t="shared" si="739"/>
        <v>0</v>
      </c>
      <c r="BU453" s="203">
        <f t="shared" si="739"/>
        <v>0</v>
      </c>
      <c r="BV453" s="203">
        <f t="shared" si="739"/>
        <v>0</v>
      </c>
      <c r="BW453" s="203">
        <f t="shared" si="739"/>
        <v>0</v>
      </c>
      <c r="BX453" s="203">
        <f t="shared" si="739"/>
        <v>0</v>
      </c>
      <c r="BY453" s="203">
        <f t="shared" si="739"/>
        <v>0</v>
      </c>
      <c r="BZ453" s="203">
        <f t="shared" si="739"/>
        <v>0</v>
      </c>
      <c r="CA453" s="203">
        <f t="shared" si="739"/>
        <v>0</v>
      </c>
      <c r="CB453" s="203">
        <f t="shared" si="739"/>
        <v>0</v>
      </c>
      <c r="CC453" s="203">
        <f t="shared" si="739"/>
        <v>0</v>
      </c>
      <c r="CD453" s="203">
        <f t="shared" si="739"/>
        <v>0</v>
      </c>
      <c r="CE453" s="203">
        <f t="shared" si="739"/>
        <v>0</v>
      </c>
      <c r="CF453" s="203">
        <f t="shared" si="739"/>
        <v>0</v>
      </c>
      <c r="CG453" s="203">
        <f t="shared" si="739"/>
        <v>0</v>
      </c>
      <c r="CH453" s="203">
        <f t="shared" si="739"/>
        <v>0</v>
      </c>
      <c r="CI453" s="203">
        <f t="shared" si="739"/>
        <v>0</v>
      </c>
      <c r="CJ453" s="203">
        <f t="shared" si="739"/>
        <v>0</v>
      </c>
      <c r="CK453" s="203">
        <f t="shared" si="739"/>
        <v>0</v>
      </c>
      <c r="CL453" s="203">
        <f t="shared" si="739"/>
        <v>0</v>
      </c>
      <c r="CM453" s="203">
        <f t="shared" si="739"/>
        <v>0</v>
      </c>
      <c r="CN453" s="203">
        <f t="shared" si="739"/>
        <v>0</v>
      </c>
      <c r="CO453" s="203">
        <f t="shared" si="739"/>
        <v>0</v>
      </c>
      <c r="CP453" s="203">
        <f t="shared" si="739"/>
        <v>0</v>
      </c>
      <c r="CQ453" s="203">
        <f t="shared" si="739"/>
        <v>0</v>
      </c>
      <c r="CR453" s="203">
        <f t="shared" si="739"/>
        <v>0</v>
      </c>
      <c r="CS453" s="203">
        <f t="shared" si="739"/>
        <v>0</v>
      </c>
      <c r="CT453" s="203">
        <f t="shared" si="739"/>
        <v>0</v>
      </c>
      <c r="CU453" s="17">
        <f t="shared" si="660"/>
        <v>320</v>
      </c>
      <c r="CV453" s="25">
        <f t="shared" si="661"/>
        <v>0</v>
      </c>
    </row>
    <row r="454" spans="1:100" x14ac:dyDescent="0.2">
      <c r="A454" s="2">
        <v>45891</v>
      </c>
      <c r="B454" s="3" t="s">
        <v>817</v>
      </c>
      <c r="C454" s="4" t="s">
        <v>892</v>
      </c>
      <c r="D454" s="5" t="s">
        <v>133</v>
      </c>
      <c r="E454" s="6" t="s">
        <v>818</v>
      </c>
      <c r="F454" s="7"/>
      <c r="G454" s="8"/>
      <c r="H454" s="9">
        <v>20645</v>
      </c>
      <c r="I454" s="10" t="s">
        <v>819</v>
      </c>
      <c r="J454" s="11" t="s">
        <v>820</v>
      </c>
      <c r="K454" s="12">
        <v>5</v>
      </c>
      <c r="L454" s="13">
        <v>270</v>
      </c>
      <c r="M454" s="14">
        <f t="shared" ref="M454" si="740">L454*K454</f>
        <v>1350</v>
      </c>
      <c r="N454" s="15"/>
      <c r="O454" s="16" t="s">
        <v>137</v>
      </c>
      <c r="P454" s="17"/>
      <c r="Q454" s="18"/>
      <c r="R454" s="17">
        <f>M454+P454-Q454</f>
        <v>1350</v>
      </c>
      <c r="S454" s="19"/>
      <c r="T454" s="19"/>
      <c r="U454" s="19"/>
      <c r="V454" s="19"/>
      <c r="W454" s="17"/>
      <c r="X454" s="20"/>
      <c r="Y454" s="19"/>
      <c r="Z454" s="19"/>
      <c r="AA454" s="19"/>
      <c r="AB454" s="19"/>
      <c r="AC454" s="19"/>
      <c r="AD454" s="19"/>
      <c r="AE454" s="5"/>
      <c r="AF454" s="19"/>
      <c r="AG454" s="5"/>
      <c r="AH454" s="17"/>
      <c r="AI454" s="19"/>
      <c r="AJ454" s="19"/>
      <c r="AK454" s="19"/>
      <c r="AL454" s="19"/>
      <c r="AM454" s="17"/>
      <c r="AN454" s="19"/>
      <c r="AO454" s="19"/>
      <c r="AP454" s="19"/>
      <c r="AQ454" s="19"/>
      <c r="AR454" s="19"/>
      <c r="AS454" s="21"/>
      <c r="AT454" s="5"/>
      <c r="AU454" s="19"/>
      <c r="AV454" s="5"/>
      <c r="AW454" s="22"/>
      <c r="AX454" s="19"/>
      <c r="AY454" s="5"/>
      <c r="AZ454" s="19"/>
      <c r="BA454" s="5"/>
      <c r="BB454" s="5"/>
      <c r="BC454" s="19"/>
      <c r="BD454" s="19"/>
      <c r="BE454" s="19"/>
      <c r="BF454" s="19"/>
      <c r="BG454" s="19"/>
      <c r="BH454" s="19"/>
      <c r="BI454" s="19"/>
      <c r="BJ454" s="19"/>
      <c r="BK454" s="13"/>
      <c r="BL454" s="5"/>
      <c r="BM454" s="5"/>
      <c r="BN454" s="19"/>
      <c r="BO454" s="17"/>
      <c r="BP454" s="19"/>
      <c r="BQ454" s="17"/>
      <c r="BR454" s="19"/>
      <c r="BS454" s="13"/>
      <c r="BT454" s="5"/>
      <c r="BU454" s="23"/>
      <c r="BV454" s="23"/>
      <c r="BW454" s="24"/>
      <c r="BX454" s="5"/>
      <c r="BY454" s="5"/>
      <c r="BZ454" s="5"/>
      <c r="CA454" s="24"/>
      <c r="CB454" s="24"/>
      <c r="CC454" s="24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>
        <f t="shared" si="660"/>
        <v>1350</v>
      </c>
      <c r="CV454" s="25">
        <f t="shared" si="661"/>
        <v>0</v>
      </c>
    </row>
    <row r="455" spans="1:100" x14ac:dyDescent="0.2">
      <c r="A455" s="27"/>
      <c r="B455" s="28"/>
      <c r="C455" s="29"/>
      <c r="D455" s="30"/>
      <c r="E455" s="31"/>
      <c r="F455" s="32"/>
      <c r="G455" s="33"/>
      <c r="H455" s="34"/>
      <c r="I455" s="34"/>
      <c r="J455" s="35"/>
      <c r="K455" s="36"/>
      <c r="L455" s="37"/>
      <c r="M455" s="38">
        <f>SUM(M454:M454)</f>
        <v>1350</v>
      </c>
      <c r="N455" s="38"/>
      <c r="O455" s="39" t="s">
        <v>137</v>
      </c>
      <c r="P455" s="38"/>
      <c r="Q455" s="38"/>
      <c r="R455" s="38">
        <f>SUM(R454:R454)</f>
        <v>1350</v>
      </c>
      <c r="S455" s="38">
        <f t="shared" ref="S455:AD455" si="741">SUM(S454:S454)</f>
        <v>0</v>
      </c>
      <c r="T455" s="38">
        <f t="shared" si="741"/>
        <v>0</v>
      </c>
      <c r="U455" s="38">
        <f t="shared" si="741"/>
        <v>0</v>
      </c>
      <c r="V455" s="38">
        <f t="shared" si="741"/>
        <v>0</v>
      </c>
      <c r="W455" s="38">
        <f t="shared" si="741"/>
        <v>0</v>
      </c>
      <c r="X455" s="38">
        <f t="shared" si="741"/>
        <v>0</v>
      </c>
      <c r="Y455" s="38">
        <f t="shared" si="741"/>
        <v>0</v>
      </c>
      <c r="Z455" s="38">
        <f t="shared" si="741"/>
        <v>0</v>
      </c>
      <c r="AA455" s="38">
        <f t="shared" si="741"/>
        <v>0</v>
      </c>
      <c r="AB455" s="38">
        <f t="shared" si="741"/>
        <v>0</v>
      </c>
      <c r="AC455" s="38">
        <f t="shared" si="741"/>
        <v>0</v>
      </c>
      <c r="AD455" s="38">
        <f t="shared" si="741"/>
        <v>0</v>
      </c>
      <c r="AE455" s="30"/>
      <c r="AF455" s="38">
        <f>SUM(AF454:AF454)</f>
        <v>0</v>
      </c>
      <c r="AG455" s="30"/>
      <c r="AH455" s="38">
        <f t="shared" ref="AH455:AZ455" si="742">SUM(AH454:AH454)</f>
        <v>0</v>
      </c>
      <c r="AI455" s="38">
        <f t="shared" si="742"/>
        <v>0</v>
      </c>
      <c r="AJ455" s="38">
        <f t="shared" si="742"/>
        <v>0</v>
      </c>
      <c r="AK455" s="38">
        <f t="shared" si="742"/>
        <v>0</v>
      </c>
      <c r="AL455" s="38">
        <f t="shared" si="742"/>
        <v>0</v>
      </c>
      <c r="AM455" s="38">
        <f t="shared" si="742"/>
        <v>0</v>
      </c>
      <c r="AN455" s="38">
        <f t="shared" si="742"/>
        <v>0</v>
      </c>
      <c r="AO455" s="38">
        <f t="shared" si="742"/>
        <v>0</v>
      </c>
      <c r="AP455" s="38">
        <f t="shared" si="742"/>
        <v>0</v>
      </c>
      <c r="AQ455" s="38">
        <f t="shared" si="742"/>
        <v>0</v>
      </c>
      <c r="AR455" s="38">
        <f t="shared" si="742"/>
        <v>0</v>
      </c>
      <c r="AS455" s="38">
        <f t="shared" si="742"/>
        <v>0</v>
      </c>
      <c r="AT455" s="38">
        <f t="shared" si="742"/>
        <v>0</v>
      </c>
      <c r="AU455" s="38">
        <f t="shared" si="742"/>
        <v>0</v>
      </c>
      <c r="AV455" s="38">
        <f t="shared" si="742"/>
        <v>0</v>
      </c>
      <c r="AW455" s="38">
        <f t="shared" si="742"/>
        <v>0</v>
      </c>
      <c r="AX455" s="38">
        <f t="shared" si="742"/>
        <v>0</v>
      </c>
      <c r="AY455" s="38">
        <f t="shared" si="742"/>
        <v>0</v>
      </c>
      <c r="AZ455" s="38">
        <f t="shared" si="742"/>
        <v>0</v>
      </c>
      <c r="BA455" s="30"/>
      <c r="BB455" s="38">
        <f t="shared" ref="BB455:CT455" si="743">SUM(BB454:BB454)</f>
        <v>0</v>
      </c>
      <c r="BC455" s="38">
        <f t="shared" si="743"/>
        <v>0</v>
      </c>
      <c r="BD455" s="38">
        <f t="shared" si="743"/>
        <v>0</v>
      </c>
      <c r="BE455" s="38">
        <f t="shared" si="743"/>
        <v>0</v>
      </c>
      <c r="BF455" s="38">
        <f t="shared" si="743"/>
        <v>0</v>
      </c>
      <c r="BG455" s="38">
        <f t="shared" si="743"/>
        <v>0</v>
      </c>
      <c r="BH455" s="38">
        <f t="shared" si="743"/>
        <v>0</v>
      </c>
      <c r="BI455" s="38">
        <f t="shared" si="743"/>
        <v>0</v>
      </c>
      <c r="BJ455" s="38">
        <f t="shared" si="743"/>
        <v>0</v>
      </c>
      <c r="BK455" s="38">
        <f t="shared" si="743"/>
        <v>0</v>
      </c>
      <c r="BL455" s="38">
        <f t="shared" si="743"/>
        <v>0</v>
      </c>
      <c r="BM455" s="38">
        <f t="shared" si="743"/>
        <v>0</v>
      </c>
      <c r="BN455" s="38">
        <f t="shared" si="743"/>
        <v>0</v>
      </c>
      <c r="BO455" s="38">
        <f t="shared" si="743"/>
        <v>0</v>
      </c>
      <c r="BP455" s="38">
        <f t="shared" si="743"/>
        <v>0</v>
      </c>
      <c r="BQ455" s="38">
        <f t="shared" si="743"/>
        <v>0</v>
      </c>
      <c r="BR455" s="38">
        <f t="shared" si="743"/>
        <v>0</v>
      </c>
      <c r="BS455" s="38">
        <f t="shared" si="743"/>
        <v>0</v>
      </c>
      <c r="BT455" s="38">
        <f t="shared" si="743"/>
        <v>0</v>
      </c>
      <c r="BU455" s="38">
        <f t="shared" si="743"/>
        <v>0</v>
      </c>
      <c r="BV455" s="38">
        <f t="shared" si="743"/>
        <v>0</v>
      </c>
      <c r="BW455" s="38">
        <f t="shared" si="743"/>
        <v>0</v>
      </c>
      <c r="BX455" s="38">
        <f t="shared" si="743"/>
        <v>0</v>
      </c>
      <c r="BY455" s="38">
        <f t="shared" si="743"/>
        <v>0</v>
      </c>
      <c r="BZ455" s="38">
        <f t="shared" si="743"/>
        <v>0</v>
      </c>
      <c r="CA455" s="38">
        <f t="shared" si="743"/>
        <v>0</v>
      </c>
      <c r="CB455" s="38">
        <f t="shared" si="743"/>
        <v>0</v>
      </c>
      <c r="CC455" s="38">
        <f t="shared" si="743"/>
        <v>0</v>
      </c>
      <c r="CD455" s="38">
        <f t="shared" si="743"/>
        <v>0</v>
      </c>
      <c r="CE455" s="38">
        <f t="shared" si="743"/>
        <v>0</v>
      </c>
      <c r="CF455" s="38">
        <f t="shared" si="743"/>
        <v>0</v>
      </c>
      <c r="CG455" s="38">
        <f t="shared" si="743"/>
        <v>0</v>
      </c>
      <c r="CH455" s="38">
        <f t="shared" si="743"/>
        <v>0</v>
      </c>
      <c r="CI455" s="38">
        <f t="shared" si="743"/>
        <v>0</v>
      </c>
      <c r="CJ455" s="38">
        <f t="shared" si="743"/>
        <v>0</v>
      </c>
      <c r="CK455" s="38">
        <f t="shared" si="743"/>
        <v>0</v>
      </c>
      <c r="CL455" s="38">
        <f t="shared" si="743"/>
        <v>0</v>
      </c>
      <c r="CM455" s="38">
        <f t="shared" si="743"/>
        <v>0</v>
      </c>
      <c r="CN455" s="38">
        <f t="shared" si="743"/>
        <v>0</v>
      </c>
      <c r="CO455" s="38">
        <f t="shared" si="743"/>
        <v>0</v>
      </c>
      <c r="CP455" s="38">
        <f t="shared" si="743"/>
        <v>0</v>
      </c>
      <c r="CQ455" s="38">
        <f t="shared" si="743"/>
        <v>0</v>
      </c>
      <c r="CR455" s="38">
        <f t="shared" si="743"/>
        <v>0</v>
      </c>
      <c r="CS455" s="38">
        <f t="shared" si="743"/>
        <v>0</v>
      </c>
      <c r="CT455" s="38">
        <f t="shared" si="743"/>
        <v>0</v>
      </c>
      <c r="CU455" s="17">
        <f t="shared" si="660"/>
        <v>1350</v>
      </c>
      <c r="CV455" s="25">
        <f t="shared" si="661"/>
        <v>0</v>
      </c>
    </row>
    <row r="456" spans="1:100" x14ac:dyDescent="0.2">
      <c r="A456" s="2">
        <v>45892</v>
      </c>
      <c r="B456" s="3" t="s">
        <v>817</v>
      </c>
      <c r="C456" s="4" t="s">
        <v>891</v>
      </c>
      <c r="D456" s="5" t="s">
        <v>122</v>
      </c>
      <c r="E456" s="6" t="s">
        <v>821</v>
      </c>
      <c r="F456" s="7" t="s">
        <v>229</v>
      </c>
      <c r="G456" s="8" t="s">
        <v>248</v>
      </c>
      <c r="H456" s="9">
        <v>119611</v>
      </c>
      <c r="I456" s="10" t="s">
        <v>822</v>
      </c>
      <c r="J456" s="11" t="s">
        <v>823</v>
      </c>
      <c r="K456" s="12">
        <v>24</v>
      </c>
      <c r="L456" s="13">
        <v>100</v>
      </c>
      <c r="M456" s="14">
        <f t="shared" ref="M456" si="744">L456*K456</f>
        <v>2400</v>
      </c>
      <c r="N456" s="15"/>
      <c r="O456" s="16" t="s">
        <v>111</v>
      </c>
      <c r="P456" s="17">
        <f>M456/1.12*0.01</f>
        <v>21.428571428571427</v>
      </c>
      <c r="Q456" s="18">
        <f>M456/1.12*0.12</f>
        <v>257.14285714285711</v>
      </c>
      <c r="R456" s="5"/>
      <c r="S456" s="19"/>
      <c r="T456" s="19"/>
      <c r="U456" s="19"/>
      <c r="V456" s="19"/>
      <c r="W456" s="17"/>
      <c r="X456" s="20"/>
      <c r="Y456" s="19"/>
      <c r="Z456" s="19"/>
      <c r="AA456" s="19"/>
      <c r="AB456" s="19"/>
      <c r="AC456" s="19"/>
      <c r="AD456" s="19"/>
      <c r="AE456" s="5"/>
      <c r="AF456" s="19"/>
      <c r="AG456" s="5"/>
      <c r="AH456" s="17"/>
      <c r="AI456" s="19"/>
      <c r="AJ456" s="19"/>
      <c r="AK456" s="19"/>
      <c r="AL456" s="19"/>
      <c r="AM456" s="17"/>
      <c r="AN456" s="5"/>
      <c r="AO456" s="19"/>
      <c r="AP456" s="17">
        <f>M456+P456-Q456</f>
        <v>2164.2857142857147</v>
      </c>
      <c r="AQ456" s="19"/>
      <c r="AR456" s="19"/>
      <c r="AS456" s="21"/>
      <c r="AT456" s="5"/>
      <c r="AU456" s="19"/>
      <c r="AV456" s="5"/>
      <c r="AW456" s="22"/>
      <c r="AX456" s="19"/>
      <c r="AY456" s="5"/>
      <c r="AZ456" s="19"/>
      <c r="BA456" s="5"/>
      <c r="BB456" s="5"/>
      <c r="BC456" s="19"/>
      <c r="BD456" s="19"/>
      <c r="BE456" s="19"/>
      <c r="BF456" s="19"/>
      <c r="BG456" s="19"/>
      <c r="BH456" s="19"/>
      <c r="BI456" s="19"/>
      <c r="BJ456" s="19"/>
      <c r="BK456" s="13"/>
      <c r="BL456" s="5"/>
      <c r="BM456" s="5"/>
      <c r="BN456" s="19"/>
      <c r="BO456" s="17"/>
      <c r="BP456" s="19"/>
      <c r="BQ456" s="17"/>
      <c r="BR456" s="19"/>
      <c r="BS456" s="13"/>
      <c r="BT456" s="5"/>
      <c r="BU456" s="23"/>
      <c r="BV456" s="23"/>
      <c r="BW456" s="24"/>
      <c r="BX456" s="5"/>
      <c r="BY456" s="5"/>
      <c r="BZ456" s="5"/>
      <c r="CA456" s="24"/>
      <c r="CB456" s="24"/>
      <c r="CC456" s="24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>
        <f t="shared" si="660"/>
        <v>2400</v>
      </c>
      <c r="CV456" s="25">
        <f t="shared" si="661"/>
        <v>0</v>
      </c>
    </row>
    <row r="457" spans="1:100" s="205" customFormat="1" x14ac:dyDescent="0.2">
      <c r="A457" s="192"/>
      <c r="B457" s="193"/>
      <c r="C457" s="194"/>
      <c r="D457" s="195"/>
      <c r="E457" s="196"/>
      <c r="F457" s="197"/>
      <c r="G457" s="198"/>
      <c r="H457" s="199"/>
      <c r="I457" s="199"/>
      <c r="J457" s="200"/>
      <c r="K457" s="201"/>
      <c r="L457" s="202"/>
      <c r="M457" s="203">
        <f>SUM(M456:M456)</f>
        <v>2400</v>
      </c>
      <c r="N457" s="203">
        <f>M457+M455</f>
        <v>3750</v>
      </c>
      <c r="O457" s="204" t="s">
        <v>111</v>
      </c>
      <c r="P457" s="203">
        <f>SUM(P456:P456)</f>
        <v>21.428571428571427</v>
      </c>
      <c r="Q457" s="203">
        <f>SUM(Q456:Q456)</f>
        <v>257.14285714285711</v>
      </c>
      <c r="R457" s="195"/>
      <c r="S457" s="203">
        <f t="shared" ref="S457:AD457" si="745">SUM(S456:S456)</f>
        <v>0</v>
      </c>
      <c r="T457" s="203">
        <f t="shared" si="745"/>
        <v>0</v>
      </c>
      <c r="U457" s="203">
        <f t="shared" si="745"/>
        <v>0</v>
      </c>
      <c r="V457" s="203">
        <f t="shared" si="745"/>
        <v>0</v>
      </c>
      <c r="W457" s="203">
        <f t="shared" si="745"/>
        <v>0</v>
      </c>
      <c r="X457" s="203">
        <f t="shared" si="745"/>
        <v>0</v>
      </c>
      <c r="Y457" s="203">
        <f t="shared" si="745"/>
        <v>0</v>
      </c>
      <c r="Z457" s="203">
        <f t="shared" si="745"/>
        <v>0</v>
      </c>
      <c r="AA457" s="203">
        <f t="shared" si="745"/>
        <v>0</v>
      </c>
      <c r="AB457" s="203">
        <f t="shared" si="745"/>
        <v>0</v>
      </c>
      <c r="AC457" s="203">
        <f t="shared" si="745"/>
        <v>0</v>
      </c>
      <c r="AD457" s="203">
        <f t="shared" si="745"/>
        <v>0</v>
      </c>
      <c r="AE457" s="195"/>
      <c r="AF457" s="203">
        <f>SUM(AF456:AF456)</f>
        <v>0</v>
      </c>
      <c r="AG457" s="195"/>
      <c r="AH457" s="203">
        <f t="shared" ref="AH457:AZ457" si="746">SUM(AH456:AH456)</f>
        <v>0</v>
      </c>
      <c r="AI457" s="203">
        <f t="shared" si="746"/>
        <v>0</v>
      </c>
      <c r="AJ457" s="203">
        <f t="shared" si="746"/>
        <v>0</v>
      </c>
      <c r="AK457" s="203">
        <f t="shared" si="746"/>
        <v>0</v>
      </c>
      <c r="AL457" s="203">
        <f t="shared" si="746"/>
        <v>0</v>
      </c>
      <c r="AM457" s="203">
        <f t="shared" si="746"/>
        <v>0</v>
      </c>
      <c r="AN457" s="195"/>
      <c r="AO457" s="203">
        <f t="shared" si="746"/>
        <v>0</v>
      </c>
      <c r="AP457" s="203">
        <f>SUM(AP456:AP456)</f>
        <v>2164.2857142857147</v>
      </c>
      <c r="AQ457" s="203">
        <f t="shared" si="746"/>
        <v>0</v>
      </c>
      <c r="AR457" s="203">
        <f t="shared" si="746"/>
        <v>0</v>
      </c>
      <c r="AS457" s="203">
        <f t="shared" si="746"/>
        <v>0</v>
      </c>
      <c r="AT457" s="203">
        <f t="shared" si="746"/>
        <v>0</v>
      </c>
      <c r="AU457" s="203">
        <f t="shared" si="746"/>
        <v>0</v>
      </c>
      <c r="AV457" s="203">
        <f t="shared" si="746"/>
        <v>0</v>
      </c>
      <c r="AW457" s="203">
        <f t="shared" si="746"/>
        <v>0</v>
      </c>
      <c r="AX457" s="203">
        <f t="shared" si="746"/>
        <v>0</v>
      </c>
      <c r="AY457" s="203">
        <f t="shared" si="746"/>
        <v>0</v>
      </c>
      <c r="AZ457" s="203">
        <f t="shared" si="746"/>
        <v>0</v>
      </c>
      <c r="BA457" s="195"/>
      <c r="BB457" s="203">
        <f t="shared" ref="BB457:CT457" si="747">SUM(BB456:BB456)</f>
        <v>0</v>
      </c>
      <c r="BC457" s="203">
        <f t="shared" si="747"/>
        <v>0</v>
      </c>
      <c r="BD457" s="203">
        <f t="shared" si="747"/>
        <v>0</v>
      </c>
      <c r="BE457" s="203">
        <f t="shared" si="747"/>
        <v>0</v>
      </c>
      <c r="BF457" s="203">
        <f t="shared" si="747"/>
        <v>0</v>
      </c>
      <c r="BG457" s="203">
        <f t="shared" si="747"/>
        <v>0</v>
      </c>
      <c r="BH457" s="203">
        <f t="shared" si="747"/>
        <v>0</v>
      </c>
      <c r="BI457" s="203">
        <f t="shared" si="747"/>
        <v>0</v>
      </c>
      <c r="BJ457" s="203">
        <f t="shared" si="747"/>
        <v>0</v>
      </c>
      <c r="BK457" s="203">
        <f t="shared" si="747"/>
        <v>0</v>
      </c>
      <c r="BL457" s="203">
        <f t="shared" si="747"/>
        <v>0</v>
      </c>
      <c r="BM457" s="203">
        <f t="shared" si="747"/>
        <v>0</v>
      </c>
      <c r="BN457" s="203">
        <f t="shared" si="747"/>
        <v>0</v>
      </c>
      <c r="BO457" s="203">
        <f t="shared" si="747"/>
        <v>0</v>
      </c>
      <c r="BP457" s="203">
        <f t="shared" si="747"/>
        <v>0</v>
      </c>
      <c r="BQ457" s="203">
        <f t="shared" si="747"/>
        <v>0</v>
      </c>
      <c r="BR457" s="203">
        <f t="shared" si="747"/>
        <v>0</v>
      </c>
      <c r="BS457" s="203">
        <f t="shared" si="747"/>
        <v>0</v>
      </c>
      <c r="BT457" s="203">
        <f t="shared" si="747"/>
        <v>0</v>
      </c>
      <c r="BU457" s="203">
        <f t="shared" si="747"/>
        <v>0</v>
      </c>
      <c r="BV457" s="203">
        <f t="shared" si="747"/>
        <v>0</v>
      </c>
      <c r="BW457" s="203">
        <f t="shared" si="747"/>
        <v>0</v>
      </c>
      <c r="BX457" s="203">
        <f t="shared" si="747"/>
        <v>0</v>
      </c>
      <c r="BY457" s="203">
        <f t="shared" si="747"/>
        <v>0</v>
      </c>
      <c r="BZ457" s="203">
        <f t="shared" si="747"/>
        <v>0</v>
      </c>
      <c r="CA457" s="203">
        <f t="shared" si="747"/>
        <v>0</v>
      </c>
      <c r="CB457" s="203">
        <f t="shared" si="747"/>
        <v>0</v>
      </c>
      <c r="CC457" s="203">
        <f t="shared" si="747"/>
        <v>0</v>
      </c>
      <c r="CD457" s="203">
        <f t="shared" si="747"/>
        <v>0</v>
      </c>
      <c r="CE457" s="203">
        <f t="shared" si="747"/>
        <v>0</v>
      </c>
      <c r="CF457" s="203">
        <f t="shared" si="747"/>
        <v>0</v>
      </c>
      <c r="CG457" s="203">
        <f t="shared" si="747"/>
        <v>0</v>
      </c>
      <c r="CH457" s="203">
        <f t="shared" si="747"/>
        <v>0</v>
      </c>
      <c r="CI457" s="203">
        <f t="shared" si="747"/>
        <v>0</v>
      </c>
      <c r="CJ457" s="203">
        <f t="shared" si="747"/>
        <v>0</v>
      </c>
      <c r="CK457" s="203">
        <f t="shared" si="747"/>
        <v>0</v>
      </c>
      <c r="CL457" s="203">
        <f t="shared" si="747"/>
        <v>0</v>
      </c>
      <c r="CM457" s="203">
        <f t="shared" si="747"/>
        <v>0</v>
      </c>
      <c r="CN457" s="203">
        <f t="shared" si="747"/>
        <v>0</v>
      </c>
      <c r="CO457" s="203">
        <f t="shared" si="747"/>
        <v>0</v>
      </c>
      <c r="CP457" s="203">
        <f t="shared" si="747"/>
        <v>0</v>
      </c>
      <c r="CQ457" s="203">
        <f t="shared" si="747"/>
        <v>0</v>
      </c>
      <c r="CR457" s="203">
        <f t="shared" si="747"/>
        <v>0</v>
      </c>
      <c r="CS457" s="203">
        <f t="shared" si="747"/>
        <v>0</v>
      </c>
      <c r="CT457" s="203">
        <f t="shared" si="747"/>
        <v>0</v>
      </c>
      <c r="CU457" s="17">
        <f t="shared" si="660"/>
        <v>2400</v>
      </c>
      <c r="CV457" s="25">
        <f t="shared" si="661"/>
        <v>0</v>
      </c>
    </row>
    <row r="458" spans="1:100" x14ac:dyDescent="0.2">
      <c r="A458" s="2">
        <v>45896</v>
      </c>
      <c r="B458" s="3" t="s">
        <v>824</v>
      </c>
      <c r="C458" s="4" t="s">
        <v>890</v>
      </c>
      <c r="D458" s="5" t="s">
        <v>122</v>
      </c>
      <c r="E458" s="6" t="s">
        <v>825</v>
      </c>
      <c r="F458" s="7" t="s">
        <v>826</v>
      </c>
      <c r="G458" s="8"/>
      <c r="H458" s="9"/>
      <c r="I458" s="10"/>
      <c r="J458" s="11" t="s">
        <v>827</v>
      </c>
      <c r="K458" s="12">
        <v>1</v>
      </c>
      <c r="L458" s="13">
        <v>150</v>
      </c>
      <c r="M458" s="14">
        <f t="shared" ref="M458:M459" si="748">L458*K458</f>
        <v>150</v>
      </c>
      <c r="N458" s="15"/>
      <c r="O458" s="16" t="s">
        <v>137</v>
      </c>
      <c r="P458" s="17"/>
      <c r="Q458" s="18"/>
      <c r="R458" s="17">
        <f>M458+P458-Q458</f>
        <v>150</v>
      </c>
      <c r="S458" s="19"/>
      <c r="T458" s="19"/>
      <c r="U458" s="19"/>
      <c r="V458" s="19"/>
      <c r="W458" s="17"/>
      <c r="X458" s="20"/>
      <c r="Y458" s="19"/>
      <c r="Z458" s="19"/>
      <c r="AA458" s="19"/>
      <c r="AB458" s="19"/>
      <c r="AC458" s="19"/>
      <c r="AD458" s="19"/>
      <c r="AE458" s="5"/>
      <c r="AF458" s="19"/>
      <c r="AG458" s="5"/>
      <c r="AH458" s="17"/>
      <c r="AI458" s="19"/>
      <c r="AJ458" s="19"/>
      <c r="AK458" s="19"/>
      <c r="AL458" s="19"/>
      <c r="AM458" s="17"/>
      <c r="AN458" s="19"/>
      <c r="AO458" s="19"/>
      <c r="AP458" s="19"/>
      <c r="AQ458" s="19"/>
      <c r="AR458" s="19"/>
      <c r="AS458" s="21"/>
      <c r="AT458" s="5"/>
      <c r="AU458" s="19"/>
      <c r="AV458" s="5"/>
      <c r="AW458" s="22"/>
      <c r="AX458" s="19"/>
      <c r="AY458" s="5"/>
      <c r="AZ458" s="19"/>
      <c r="BA458" s="5"/>
      <c r="BB458" s="5"/>
      <c r="BC458" s="19"/>
      <c r="BD458" s="19"/>
      <c r="BE458" s="19"/>
      <c r="BF458" s="19"/>
      <c r="BG458" s="19"/>
      <c r="BH458" s="19"/>
      <c r="BI458" s="19"/>
      <c r="BJ458" s="19"/>
      <c r="BK458" s="13"/>
      <c r="BL458" s="5"/>
      <c r="BM458" s="5"/>
      <c r="BN458" s="19"/>
      <c r="BO458" s="17"/>
      <c r="BP458" s="19"/>
      <c r="BQ458" s="17"/>
      <c r="BR458" s="19"/>
      <c r="BS458" s="13"/>
      <c r="BT458" s="5"/>
      <c r="BU458" s="23"/>
      <c r="BV458" s="23"/>
      <c r="BW458" s="24"/>
      <c r="BX458" s="5"/>
      <c r="BY458" s="5"/>
      <c r="BZ458" s="5"/>
      <c r="CA458" s="24"/>
      <c r="CB458" s="24"/>
      <c r="CC458" s="24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>
        <f t="shared" si="660"/>
        <v>150</v>
      </c>
      <c r="CV458" s="25">
        <f t="shared" si="661"/>
        <v>0</v>
      </c>
    </row>
    <row r="459" spans="1:100" x14ac:dyDescent="0.2">
      <c r="A459" s="2"/>
      <c r="B459" s="3"/>
      <c r="C459" s="4"/>
      <c r="D459" s="5"/>
      <c r="E459" s="6"/>
      <c r="F459" s="7"/>
      <c r="G459" s="8"/>
      <c r="H459" s="9"/>
      <c r="I459" s="10"/>
      <c r="J459" s="11" t="s">
        <v>828</v>
      </c>
      <c r="K459" s="12">
        <v>1</v>
      </c>
      <c r="L459" s="13">
        <v>225</v>
      </c>
      <c r="M459" s="14">
        <f t="shared" si="748"/>
        <v>225</v>
      </c>
      <c r="N459" s="15"/>
      <c r="O459" s="16" t="s">
        <v>137</v>
      </c>
      <c r="P459" s="17"/>
      <c r="Q459" s="18"/>
      <c r="R459" s="17">
        <f t="shared" ref="R459" si="749">M459+P459-Q459</f>
        <v>225</v>
      </c>
      <c r="S459" s="19"/>
      <c r="T459" s="19"/>
      <c r="U459" s="19"/>
      <c r="V459" s="19"/>
      <c r="W459" s="17"/>
      <c r="X459" s="20"/>
      <c r="Y459" s="19"/>
      <c r="Z459" s="19"/>
      <c r="AA459" s="19"/>
      <c r="AB459" s="19"/>
      <c r="AC459" s="19"/>
      <c r="AD459" s="19"/>
      <c r="AE459" s="5"/>
      <c r="AF459" s="19"/>
      <c r="AG459" s="5"/>
      <c r="AH459" s="17"/>
      <c r="AI459" s="19"/>
      <c r="AJ459" s="19"/>
      <c r="AK459" s="19"/>
      <c r="AL459" s="19"/>
      <c r="AM459" s="17"/>
      <c r="AN459" s="19"/>
      <c r="AO459" s="19"/>
      <c r="AP459" s="19"/>
      <c r="AQ459" s="19"/>
      <c r="AR459" s="19"/>
      <c r="AS459" s="21"/>
      <c r="AT459" s="5"/>
      <c r="AU459" s="19"/>
      <c r="AV459" s="5"/>
      <c r="AW459" s="22"/>
      <c r="AX459" s="19"/>
      <c r="AY459" s="5"/>
      <c r="AZ459" s="19"/>
      <c r="BA459" s="5"/>
      <c r="BB459" s="5"/>
      <c r="BC459" s="19"/>
      <c r="BD459" s="19"/>
      <c r="BE459" s="19"/>
      <c r="BF459" s="19"/>
      <c r="BG459" s="19"/>
      <c r="BH459" s="19"/>
      <c r="BI459" s="19"/>
      <c r="BJ459" s="19"/>
      <c r="BK459" s="13"/>
      <c r="BL459" s="5"/>
      <c r="BM459" s="5"/>
      <c r="BN459" s="19"/>
      <c r="BO459" s="17"/>
      <c r="BP459" s="19"/>
      <c r="BQ459" s="17"/>
      <c r="BR459" s="19"/>
      <c r="BS459" s="13"/>
      <c r="BT459" s="5"/>
      <c r="BU459" s="23"/>
      <c r="BV459" s="23"/>
      <c r="BW459" s="24"/>
      <c r="BX459" s="5"/>
      <c r="BY459" s="5"/>
      <c r="BZ459" s="5"/>
      <c r="CA459" s="24"/>
      <c r="CB459" s="24"/>
      <c r="CC459" s="24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>
        <f t="shared" si="660"/>
        <v>225</v>
      </c>
      <c r="CV459" s="25">
        <f t="shared" si="661"/>
        <v>0</v>
      </c>
    </row>
    <row r="460" spans="1:100" x14ac:dyDescent="0.2">
      <c r="A460" s="27"/>
      <c r="B460" s="28"/>
      <c r="C460" s="29"/>
      <c r="D460" s="30"/>
      <c r="E460" s="31"/>
      <c r="F460" s="32"/>
      <c r="G460" s="33"/>
      <c r="H460" s="34"/>
      <c r="I460" s="34"/>
      <c r="J460" s="35"/>
      <c r="K460" s="36"/>
      <c r="L460" s="37"/>
      <c r="M460" s="38">
        <f>SUM(M458:M459)</f>
        <v>375</v>
      </c>
      <c r="N460" s="38"/>
      <c r="O460" s="39" t="s">
        <v>137</v>
      </c>
      <c r="P460" s="38"/>
      <c r="Q460" s="38"/>
      <c r="R460" s="38">
        <f>SUM(R458:R459)</f>
        <v>375</v>
      </c>
      <c r="S460" s="38">
        <f t="shared" ref="S460:AD460" si="750">SUM(S458:S458)</f>
        <v>0</v>
      </c>
      <c r="T460" s="38">
        <f t="shared" si="750"/>
        <v>0</v>
      </c>
      <c r="U460" s="38">
        <f t="shared" si="750"/>
        <v>0</v>
      </c>
      <c r="V460" s="38">
        <f t="shared" si="750"/>
        <v>0</v>
      </c>
      <c r="W460" s="38">
        <f t="shared" si="750"/>
        <v>0</v>
      </c>
      <c r="X460" s="38">
        <f t="shared" si="750"/>
        <v>0</v>
      </c>
      <c r="Y460" s="38">
        <f t="shared" si="750"/>
        <v>0</v>
      </c>
      <c r="Z460" s="38">
        <f t="shared" si="750"/>
        <v>0</v>
      </c>
      <c r="AA460" s="38">
        <f t="shared" si="750"/>
        <v>0</v>
      </c>
      <c r="AB460" s="38">
        <f t="shared" si="750"/>
        <v>0</v>
      </c>
      <c r="AC460" s="38">
        <f t="shared" si="750"/>
        <v>0</v>
      </c>
      <c r="AD460" s="38">
        <f t="shared" si="750"/>
        <v>0</v>
      </c>
      <c r="AE460" s="30"/>
      <c r="AF460" s="38">
        <f>SUM(AF458:AF458)</f>
        <v>0</v>
      </c>
      <c r="AG460" s="30"/>
      <c r="AH460" s="38">
        <f t="shared" ref="AH460:AZ460" si="751">SUM(AH458:AH458)</f>
        <v>0</v>
      </c>
      <c r="AI460" s="38">
        <f t="shared" si="751"/>
        <v>0</v>
      </c>
      <c r="AJ460" s="38">
        <f t="shared" si="751"/>
        <v>0</v>
      </c>
      <c r="AK460" s="38">
        <f t="shared" si="751"/>
        <v>0</v>
      </c>
      <c r="AL460" s="38">
        <f t="shared" si="751"/>
        <v>0</v>
      </c>
      <c r="AM460" s="38">
        <f t="shared" si="751"/>
        <v>0</v>
      </c>
      <c r="AN460" s="38">
        <f t="shared" si="751"/>
        <v>0</v>
      </c>
      <c r="AO460" s="38">
        <f t="shared" si="751"/>
        <v>0</v>
      </c>
      <c r="AP460" s="38">
        <f t="shared" si="751"/>
        <v>0</v>
      </c>
      <c r="AQ460" s="38">
        <f t="shared" si="751"/>
        <v>0</v>
      </c>
      <c r="AR460" s="38">
        <f t="shared" si="751"/>
        <v>0</v>
      </c>
      <c r="AS460" s="38">
        <f t="shared" si="751"/>
        <v>0</v>
      </c>
      <c r="AT460" s="38">
        <f t="shared" si="751"/>
        <v>0</v>
      </c>
      <c r="AU460" s="38">
        <f t="shared" si="751"/>
        <v>0</v>
      </c>
      <c r="AV460" s="38">
        <f t="shared" si="751"/>
        <v>0</v>
      </c>
      <c r="AW460" s="38">
        <f t="shared" si="751"/>
        <v>0</v>
      </c>
      <c r="AX460" s="38">
        <f t="shared" si="751"/>
        <v>0</v>
      </c>
      <c r="AY460" s="38">
        <f t="shared" si="751"/>
        <v>0</v>
      </c>
      <c r="AZ460" s="38">
        <f t="shared" si="751"/>
        <v>0</v>
      </c>
      <c r="BA460" s="30"/>
      <c r="BB460" s="38">
        <f t="shared" ref="BB460:CT460" si="752">SUM(BB458:BB458)</f>
        <v>0</v>
      </c>
      <c r="BC460" s="38">
        <f t="shared" si="752"/>
        <v>0</v>
      </c>
      <c r="BD460" s="38">
        <f t="shared" si="752"/>
        <v>0</v>
      </c>
      <c r="BE460" s="38">
        <f t="shared" si="752"/>
        <v>0</v>
      </c>
      <c r="BF460" s="38">
        <f t="shared" si="752"/>
        <v>0</v>
      </c>
      <c r="BG460" s="38">
        <f t="shared" si="752"/>
        <v>0</v>
      </c>
      <c r="BH460" s="38">
        <f t="shared" si="752"/>
        <v>0</v>
      </c>
      <c r="BI460" s="38">
        <f t="shared" si="752"/>
        <v>0</v>
      </c>
      <c r="BJ460" s="38">
        <f t="shared" si="752"/>
        <v>0</v>
      </c>
      <c r="BK460" s="38">
        <f t="shared" si="752"/>
        <v>0</v>
      </c>
      <c r="BL460" s="38">
        <f t="shared" si="752"/>
        <v>0</v>
      </c>
      <c r="BM460" s="38">
        <f t="shared" si="752"/>
        <v>0</v>
      </c>
      <c r="BN460" s="38">
        <f t="shared" si="752"/>
        <v>0</v>
      </c>
      <c r="BO460" s="38">
        <f t="shared" si="752"/>
        <v>0</v>
      </c>
      <c r="BP460" s="38">
        <f t="shared" si="752"/>
        <v>0</v>
      </c>
      <c r="BQ460" s="38">
        <f t="shared" si="752"/>
        <v>0</v>
      </c>
      <c r="BR460" s="38">
        <f t="shared" si="752"/>
        <v>0</v>
      </c>
      <c r="BS460" s="38">
        <f t="shared" si="752"/>
        <v>0</v>
      </c>
      <c r="BT460" s="38">
        <f t="shared" si="752"/>
        <v>0</v>
      </c>
      <c r="BU460" s="38">
        <f t="shared" si="752"/>
        <v>0</v>
      </c>
      <c r="BV460" s="38">
        <f t="shared" si="752"/>
        <v>0</v>
      </c>
      <c r="BW460" s="38">
        <f t="shared" si="752"/>
        <v>0</v>
      </c>
      <c r="BX460" s="38">
        <f t="shared" si="752"/>
        <v>0</v>
      </c>
      <c r="BY460" s="38">
        <f t="shared" si="752"/>
        <v>0</v>
      </c>
      <c r="BZ460" s="38">
        <f t="shared" si="752"/>
        <v>0</v>
      </c>
      <c r="CA460" s="38">
        <f t="shared" si="752"/>
        <v>0</v>
      </c>
      <c r="CB460" s="38">
        <f t="shared" si="752"/>
        <v>0</v>
      </c>
      <c r="CC460" s="38">
        <f t="shared" si="752"/>
        <v>0</v>
      </c>
      <c r="CD460" s="38">
        <f t="shared" si="752"/>
        <v>0</v>
      </c>
      <c r="CE460" s="38">
        <f t="shared" si="752"/>
        <v>0</v>
      </c>
      <c r="CF460" s="38">
        <f t="shared" si="752"/>
        <v>0</v>
      </c>
      <c r="CG460" s="38">
        <f t="shared" si="752"/>
        <v>0</v>
      </c>
      <c r="CH460" s="38">
        <f t="shared" si="752"/>
        <v>0</v>
      </c>
      <c r="CI460" s="38">
        <f t="shared" si="752"/>
        <v>0</v>
      </c>
      <c r="CJ460" s="38">
        <f t="shared" si="752"/>
        <v>0</v>
      </c>
      <c r="CK460" s="38">
        <f t="shared" si="752"/>
        <v>0</v>
      </c>
      <c r="CL460" s="38">
        <f t="shared" si="752"/>
        <v>0</v>
      </c>
      <c r="CM460" s="38">
        <f t="shared" si="752"/>
        <v>0</v>
      </c>
      <c r="CN460" s="38">
        <f t="shared" si="752"/>
        <v>0</v>
      </c>
      <c r="CO460" s="38">
        <f t="shared" si="752"/>
        <v>0</v>
      </c>
      <c r="CP460" s="38">
        <f t="shared" si="752"/>
        <v>0</v>
      </c>
      <c r="CQ460" s="38">
        <f t="shared" si="752"/>
        <v>0</v>
      </c>
      <c r="CR460" s="38">
        <f t="shared" si="752"/>
        <v>0</v>
      </c>
      <c r="CS460" s="38">
        <f t="shared" si="752"/>
        <v>0</v>
      </c>
      <c r="CT460" s="38">
        <f t="shared" si="752"/>
        <v>0</v>
      </c>
      <c r="CU460" s="17">
        <f t="shared" si="660"/>
        <v>375</v>
      </c>
      <c r="CV460" s="25">
        <f t="shared" si="661"/>
        <v>0</v>
      </c>
    </row>
    <row r="461" spans="1:100" x14ac:dyDescent="0.2">
      <c r="A461" s="2">
        <v>45896</v>
      </c>
      <c r="B461" s="3" t="s">
        <v>824</v>
      </c>
      <c r="C461" s="4" t="s">
        <v>889</v>
      </c>
      <c r="D461" s="5" t="s">
        <v>122</v>
      </c>
      <c r="E461" s="6" t="s">
        <v>266</v>
      </c>
      <c r="F461" s="7"/>
      <c r="G461" s="8"/>
      <c r="H461" s="9"/>
      <c r="I461" s="10"/>
      <c r="J461" s="11" t="s">
        <v>664</v>
      </c>
      <c r="K461" s="12">
        <v>2</v>
      </c>
      <c r="L461" s="13">
        <v>170</v>
      </c>
      <c r="M461" s="14">
        <f t="shared" ref="M461:M463" si="753">L461*K461</f>
        <v>340</v>
      </c>
      <c r="N461" s="15"/>
      <c r="O461" s="16" t="s">
        <v>137</v>
      </c>
      <c r="P461" s="17"/>
      <c r="Q461" s="18"/>
      <c r="R461" s="17">
        <f>M461+P461-Q461</f>
        <v>340</v>
      </c>
      <c r="S461" s="19"/>
      <c r="T461" s="19"/>
      <c r="U461" s="19"/>
      <c r="V461" s="19"/>
      <c r="W461" s="17"/>
      <c r="X461" s="20"/>
      <c r="Y461" s="19"/>
      <c r="Z461" s="19"/>
      <c r="AA461" s="19"/>
      <c r="AB461" s="19"/>
      <c r="AC461" s="19"/>
      <c r="AD461" s="19"/>
      <c r="AE461" s="5"/>
      <c r="AF461" s="19"/>
      <c r="AG461" s="5"/>
      <c r="AH461" s="17"/>
      <c r="AI461" s="19"/>
      <c r="AJ461" s="19"/>
      <c r="AK461" s="19"/>
      <c r="AL461" s="19"/>
      <c r="AM461" s="17"/>
      <c r="AN461" s="19"/>
      <c r="AO461" s="19"/>
      <c r="AP461" s="19"/>
      <c r="AQ461" s="19"/>
      <c r="AR461" s="19"/>
      <c r="AS461" s="21"/>
      <c r="AT461" s="5"/>
      <c r="AU461" s="19"/>
      <c r="AV461" s="5"/>
      <c r="AW461" s="22"/>
      <c r="AX461" s="19"/>
      <c r="AY461" s="5"/>
      <c r="AZ461" s="19"/>
      <c r="BA461" s="5"/>
      <c r="BB461" s="5"/>
      <c r="BC461" s="19"/>
      <c r="BD461" s="19"/>
      <c r="BE461" s="19"/>
      <c r="BF461" s="19"/>
      <c r="BG461" s="19"/>
      <c r="BH461" s="19"/>
      <c r="BI461" s="19"/>
      <c r="BJ461" s="19"/>
      <c r="BK461" s="13"/>
      <c r="BL461" s="5"/>
      <c r="BM461" s="5"/>
      <c r="BN461" s="19"/>
      <c r="BO461" s="17"/>
      <c r="BP461" s="19"/>
      <c r="BQ461" s="17"/>
      <c r="BR461" s="19"/>
      <c r="BS461" s="13"/>
      <c r="BT461" s="5"/>
      <c r="BU461" s="23"/>
      <c r="BV461" s="23"/>
      <c r="BW461" s="24"/>
      <c r="BX461" s="5"/>
      <c r="BY461" s="5"/>
      <c r="BZ461" s="5"/>
      <c r="CA461" s="24"/>
      <c r="CB461" s="24"/>
      <c r="CC461" s="24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>
        <f t="shared" si="660"/>
        <v>340</v>
      </c>
      <c r="CV461" s="25">
        <f t="shared" si="661"/>
        <v>0</v>
      </c>
    </row>
    <row r="462" spans="1:100" x14ac:dyDescent="0.2">
      <c r="A462" s="2"/>
      <c r="B462" s="3"/>
      <c r="C462" s="4"/>
      <c r="D462" s="5"/>
      <c r="E462" s="6"/>
      <c r="F462" s="7"/>
      <c r="G462" s="8"/>
      <c r="H462" s="9"/>
      <c r="I462" s="10"/>
      <c r="J462" s="11" t="s">
        <v>829</v>
      </c>
      <c r="K462" s="12">
        <v>1.5</v>
      </c>
      <c r="L462" s="13">
        <v>120</v>
      </c>
      <c r="M462" s="14">
        <f t="shared" si="753"/>
        <v>180</v>
      </c>
      <c r="N462" s="15"/>
      <c r="O462" s="16" t="s">
        <v>137</v>
      </c>
      <c r="P462" s="17"/>
      <c r="Q462" s="18"/>
      <c r="R462" s="17">
        <f t="shared" ref="R462:R463" si="754">M462+P462-Q462</f>
        <v>180</v>
      </c>
      <c r="S462" s="19"/>
      <c r="T462" s="19"/>
      <c r="U462" s="19"/>
      <c r="V462" s="19"/>
      <c r="W462" s="17"/>
      <c r="X462" s="20"/>
      <c r="Y462" s="19"/>
      <c r="Z462" s="19"/>
      <c r="AA462" s="19"/>
      <c r="AB462" s="19"/>
      <c r="AC462" s="19"/>
      <c r="AD462" s="19"/>
      <c r="AE462" s="5"/>
      <c r="AF462" s="19"/>
      <c r="AG462" s="5"/>
      <c r="AH462" s="17"/>
      <c r="AI462" s="19"/>
      <c r="AJ462" s="19"/>
      <c r="AK462" s="19"/>
      <c r="AL462" s="19"/>
      <c r="AM462" s="17"/>
      <c r="AN462" s="19"/>
      <c r="AO462" s="19"/>
      <c r="AP462" s="19"/>
      <c r="AQ462" s="19"/>
      <c r="AR462" s="19"/>
      <c r="AS462" s="21"/>
      <c r="AT462" s="5"/>
      <c r="AU462" s="19"/>
      <c r="AV462" s="5"/>
      <c r="AW462" s="22"/>
      <c r="AX462" s="19"/>
      <c r="AY462" s="5"/>
      <c r="AZ462" s="19"/>
      <c r="BA462" s="5"/>
      <c r="BB462" s="5"/>
      <c r="BC462" s="19"/>
      <c r="BD462" s="19"/>
      <c r="BE462" s="19"/>
      <c r="BF462" s="19"/>
      <c r="BG462" s="19"/>
      <c r="BH462" s="19"/>
      <c r="BI462" s="19"/>
      <c r="BJ462" s="19"/>
      <c r="BK462" s="13"/>
      <c r="BL462" s="5"/>
      <c r="BM462" s="5"/>
      <c r="BN462" s="19"/>
      <c r="BO462" s="17"/>
      <c r="BP462" s="19"/>
      <c r="BQ462" s="17"/>
      <c r="BR462" s="19"/>
      <c r="BS462" s="13"/>
      <c r="BT462" s="5"/>
      <c r="BU462" s="23"/>
      <c r="BV462" s="23"/>
      <c r="BW462" s="24"/>
      <c r="BX462" s="5"/>
      <c r="BY462" s="5"/>
      <c r="BZ462" s="5"/>
      <c r="CA462" s="24"/>
      <c r="CB462" s="24"/>
      <c r="CC462" s="24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>
        <f t="shared" si="660"/>
        <v>180</v>
      </c>
      <c r="CV462" s="25">
        <f t="shared" si="661"/>
        <v>0</v>
      </c>
    </row>
    <row r="463" spans="1:100" x14ac:dyDescent="0.2">
      <c r="A463" s="2"/>
      <c r="B463" s="3"/>
      <c r="C463" s="4"/>
      <c r="D463" s="5"/>
      <c r="E463" s="6"/>
      <c r="F463" s="7"/>
      <c r="G463" s="8"/>
      <c r="H463" s="9"/>
      <c r="I463" s="10"/>
      <c r="J463" s="11" t="s">
        <v>830</v>
      </c>
      <c r="K463" s="12">
        <v>1.5</v>
      </c>
      <c r="L463" s="13">
        <v>200</v>
      </c>
      <c r="M463" s="14">
        <f t="shared" si="753"/>
        <v>300</v>
      </c>
      <c r="N463" s="15"/>
      <c r="O463" s="16" t="s">
        <v>137</v>
      </c>
      <c r="P463" s="17"/>
      <c r="Q463" s="18"/>
      <c r="R463" s="17">
        <f t="shared" si="754"/>
        <v>300</v>
      </c>
      <c r="S463" s="19"/>
      <c r="T463" s="19"/>
      <c r="U463" s="19"/>
      <c r="V463" s="19"/>
      <c r="W463" s="17"/>
      <c r="X463" s="20"/>
      <c r="Y463" s="19"/>
      <c r="Z463" s="19"/>
      <c r="AA463" s="19"/>
      <c r="AB463" s="19"/>
      <c r="AC463" s="19"/>
      <c r="AD463" s="19"/>
      <c r="AE463" s="5"/>
      <c r="AF463" s="19"/>
      <c r="AG463" s="5"/>
      <c r="AH463" s="17"/>
      <c r="AI463" s="19"/>
      <c r="AJ463" s="19"/>
      <c r="AK463" s="19"/>
      <c r="AL463" s="19"/>
      <c r="AM463" s="17"/>
      <c r="AN463" s="19"/>
      <c r="AO463" s="19"/>
      <c r="AP463" s="19"/>
      <c r="AQ463" s="19"/>
      <c r="AR463" s="19"/>
      <c r="AS463" s="21"/>
      <c r="AT463" s="5"/>
      <c r="AU463" s="19"/>
      <c r="AV463" s="5"/>
      <c r="AW463" s="22"/>
      <c r="AX463" s="19"/>
      <c r="AY463" s="5"/>
      <c r="AZ463" s="19"/>
      <c r="BA463" s="5"/>
      <c r="BB463" s="5"/>
      <c r="BC463" s="19"/>
      <c r="BD463" s="19"/>
      <c r="BE463" s="19"/>
      <c r="BF463" s="19"/>
      <c r="BG463" s="19"/>
      <c r="BH463" s="19"/>
      <c r="BI463" s="19"/>
      <c r="BJ463" s="19"/>
      <c r="BK463" s="13"/>
      <c r="BL463" s="5"/>
      <c r="BM463" s="5"/>
      <c r="BN463" s="19"/>
      <c r="BO463" s="17"/>
      <c r="BP463" s="19"/>
      <c r="BQ463" s="17"/>
      <c r="BR463" s="19"/>
      <c r="BS463" s="13"/>
      <c r="BT463" s="5"/>
      <c r="BU463" s="23"/>
      <c r="BV463" s="23"/>
      <c r="BW463" s="24"/>
      <c r="BX463" s="5"/>
      <c r="BY463" s="5"/>
      <c r="BZ463" s="5"/>
      <c r="CA463" s="24"/>
      <c r="CB463" s="24"/>
      <c r="CC463" s="24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>
        <f t="shared" si="660"/>
        <v>300</v>
      </c>
      <c r="CV463" s="25">
        <f t="shared" si="661"/>
        <v>0</v>
      </c>
    </row>
    <row r="464" spans="1:100" x14ac:dyDescent="0.2">
      <c r="A464" s="27"/>
      <c r="B464" s="28"/>
      <c r="C464" s="29"/>
      <c r="D464" s="30"/>
      <c r="E464" s="31"/>
      <c r="F464" s="32"/>
      <c r="G464" s="33"/>
      <c r="H464" s="34"/>
      <c r="I464" s="34"/>
      <c r="J464" s="35"/>
      <c r="K464" s="36"/>
      <c r="L464" s="37"/>
      <c r="M464" s="38">
        <f>SUM(M461:M463)</f>
        <v>820</v>
      </c>
      <c r="N464" s="38"/>
      <c r="O464" s="39" t="s">
        <v>137</v>
      </c>
      <c r="P464" s="38"/>
      <c r="Q464" s="38"/>
      <c r="R464" s="38">
        <f>SUM(R461:R463)</f>
        <v>820</v>
      </c>
      <c r="S464" s="38">
        <f t="shared" ref="S464:AD464" si="755">SUM(S461:S461)</f>
        <v>0</v>
      </c>
      <c r="T464" s="38">
        <f t="shared" si="755"/>
        <v>0</v>
      </c>
      <c r="U464" s="38">
        <f t="shared" si="755"/>
        <v>0</v>
      </c>
      <c r="V464" s="38">
        <f t="shared" si="755"/>
        <v>0</v>
      </c>
      <c r="W464" s="38">
        <f t="shared" si="755"/>
        <v>0</v>
      </c>
      <c r="X464" s="38">
        <f t="shared" si="755"/>
        <v>0</v>
      </c>
      <c r="Y464" s="38">
        <f t="shared" si="755"/>
        <v>0</v>
      </c>
      <c r="Z464" s="38">
        <f t="shared" si="755"/>
        <v>0</v>
      </c>
      <c r="AA464" s="38">
        <f t="shared" si="755"/>
        <v>0</v>
      </c>
      <c r="AB464" s="38">
        <f t="shared" si="755"/>
        <v>0</v>
      </c>
      <c r="AC464" s="38">
        <f t="shared" si="755"/>
        <v>0</v>
      </c>
      <c r="AD464" s="38">
        <f t="shared" si="755"/>
        <v>0</v>
      </c>
      <c r="AE464" s="30"/>
      <c r="AF464" s="38">
        <f>SUM(AF461:AF461)</f>
        <v>0</v>
      </c>
      <c r="AG464" s="30"/>
      <c r="AH464" s="38">
        <f t="shared" ref="AH464:AZ464" si="756">SUM(AH461:AH461)</f>
        <v>0</v>
      </c>
      <c r="AI464" s="38">
        <f t="shared" si="756"/>
        <v>0</v>
      </c>
      <c r="AJ464" s="38">
        <f t="shared" si="756"/>
        <v>0</v>
      </c>
      <c r="AK464" s="38">
        <f t="shared" si="756"/>
        <v>0</v>
      </c>
      <c r="AL464" s="38">
        <f t="shared" si="756"/>
        <v>0</v>
      </c>
      <c r="AM464" s="38">
        <f t="shared" si="756"/>
        <v>0</v>
      </c>
      <c r="AN464" s="38">
        <f t="shared" si="756"/>
        <v>0</v>
      </c>
      <c r="AO464" s="38">
        <f t="shared" si="756"/>
        <v>0</v>
      </c>
      <c r="AP464" s="38">
        <f t="shared" si="756"/>
        <v>0</v>
      </c>
      <c r="AQ464" s="38">
        <f t="shared" si="756"/>
        <v>0</v>
      </c>
      <c r="AR464" s="38">
        <f t="shared" si="756"/>
        <v>0</v>
      </c>
      <c r="AS464" s="38">
        <f t="shared" si="756"/>
        <v>0</v>
      </c>
      <c r="AT464" s="38">
        <f t="shared" si="756"/>
        <v>0</v>
      </c>
      <c r="AU464" s="38">
        <f t="shared" si="756"/>
        <v>0</v>
      </c>
      <c r="AV464" s="38">
        <f t="shared" si="756"/>
        <v>0</v>
      </c>
      <c r="AW464" s="38">
        <f t="shared" si="756"/>
        <v>0</v>
      </c>
      <c r="AX464" s="38">
        <f t="shared" si="756"/>
        <v>0</v>
      </c>
      <c r="AY464" s="38">
        <f t="shared" si="756"/>
        <v>0</v>
      </c>
      <c r="AZ464" s="38">
        <f t="shared" si="756"/>
        <v>0</v>
      </c>
      <c r="BA464" s="30"/>
      <c r="BB464" s="38">
        <f t="shared" ref="BB464:CT464" si="757">SUM(BB461:BB461)</f>
        <v>0</v>
      </c>
      <c r="BC464" s="38">
        <f t="shared" si="757"/>
        <v>0</v>
      </c>
      <c r="BD464" s="38">
        <f t="shared" si="757"/>
        <v>0</v>
      </c>
      <c r="BE464" s="38">
        <f t="shared" si="757"/>
        <v>0</v>
      </c>
      <c r="BF464" s="38">
        <f t="shared" si="757"/>
        <v>0</v>
      </c>
      <c r="BG464" s="38">
        <f t="shared" si="757"/>
        <v>0</v>
      </c>
      <c r="BH464" s="38">
        <f t="shared" si="757"/>
        <v>0</v>
      </c>
      <c r="BI464" s="38">
        <f t="shared" si="757"/>
        <v>0</v>
      </c>
      <c r="BJ464" s="38">
        <f t="shared" si="757"/>
        <v>0</v>
      </c>
      <c r="BK464" s="38">
        <f t="shared" si="757"/>
        <v>0</v>
      </c>
      <c r="BL464" s="38">
        <f t="shared" si="757"/>
        <v>0</v>
      </c>
      <c r="BM464" s="38">
        <f t="shared" si="757"/>
        <v>0</v>
      </c>
      <c r="BN464" s="38">
        <f t="shared" si="757"/>
        <v>0</v>
      </c>
      <c r="BO464" s="38">
        <f t="shared" si="757"/>
        <v>0</v>
      </c>
      <c r="BP464" s="38">
        <f t="shared" si="757"/>
        <v>0</v>
      </c>
      <c r="BQ464" s="38">
        <f t="shared" si="757"/>
        <v>0</v>
      </c>
      <c r="BR464" s="38">
        <f t="shared" si="757"/>
        <v>0</v>
      </c>
      <c r="BS464" s="38">
        <f t="shared" si="757"/>
        <v>0</v>
      </c>
      <c r="BT464" s="38">
        <f t="shared" si="757"/>
        <v>0</v>
      </c>
      <c r="BU464" s="38">
        <f t="shared" si="757"/>
        <v>0</v>
      </c>
      <c r="BV464" s="38">
        <f t="shared" si="757"/>
        <v>0</v>
      </c>
      <c r="BW464" s="38">
        <f t="shared" si="757"/>
        <v>0</v>
      </c>
      <c r="BX464" s="38">
        <f t="shared" si="757"/>
        <v>0</v>
      </c>
      <c r="BY464" s="38">
        <f t="shared" si="757"/>
        <v>0</v>
      </c>
      <c r="BZ464" s="38">
        <f t="shared" si="757"/>
        <v>0</v>
      </c>
      <c r="CA464" s="38">
        <f t="shared" si="757"/>
        <v>0</v>
      </c>
      <c r="CB464" s="38">
        <f t="shared" si="757"/>
        <v>0</v>
      </c>
      <c r="CC464" s="38">
        <f t="shared" si="757"/>
        <v>0</v>
      </c>
      <c r="CD464" s="38">
        <f t="shared" si="757"/>
        <v>0</v>
      </c>
      <c r="CE464" s="38">
        <f t="shared" si="757"/>
        <v>0</v>
      </c>
      <c r="CF464" s="38">
        <f t="shared" si="757"/>
        <v>0</v>
      </c>
      <c r="CG464" s="38">
        <f t="shared" si="757"/>
        <v>0</v>
      </c>
      <c r="CH464" s="38">
        <f t="shared" si="757"/>
        <v>0</v>
      </c>
      <c r="CI464" s="38">
        <f t="shared" si="757"/>
        <v>0</v>
      </c>
      <c r="CJ464" s="38">
        <f t="shared" si="757"/>
        <v>0</v>
      </c>
      <c r="CK464" s="38">
        <f t="shared" si="757"/>
        <v>0</v>
      </c>
      <c r="CL464" s="38">
        <f t="shared" si="757"/>
        <v>0</v>
      </c>
      <c r="CM464" s="38">
        <f t="shared" si="757"/>
        <v>0</v>
      </c>
      <c r="CN464" s="38">
        <f t="shared" si="757"/>
        <v>0</v>
      </c>
      <c r="CO464" s="38">
        <f t="shared" si="757"/>
        <v>0</v>
      </c>
      <c r="CP464" s="38">
        <f t="shared" si="757"/>
        <v>0</v>
      </c>
      <c r="CQ464" s="38">
        <f t="shared" si="757"/>
        <v>0</v>
      </c>
      <c r="CR464" s="38">
        <f t="shared" si="757"/>
        <v>0</v>
      </c>
      <c r="CS464" s="38">
        <f t="shared" si="757"/>
        <v>0</v>
      </c>
      <c r="CT464" s="38">
        <f t="shared" si="757"/>
        <v>0</v>
      </c>
      <c r="CU464" s="17">
        <f t="shared" si="660"/>
        <v>820</v>
      </c>
      <c r="CV464" s="25">
        <f t="shared" si="661"/>
        <v>0</v>
      </c>
    </row>
    <row r="465" spans="1:100" x14ac:dyDescent="0.2">
      <c r="A465" s="2">
        <v>45896</v>
      </c>
      <c r="B465" s="3" t="s">
        <v>824</v>
      </c>
      <c r="C465" s="4" t="s">
        <v>888</v>
      </c>
      <c r="D465" s="5" t="s">
        <v>122</v>
      </c>
      <c r="E465" s="6" t="s">
        <v>266</v>
      </c>
      <c r="F465" s="7"/>
      <c r="G465" s="8"/>
      <c r="H465" s="9"/>
      <c r="I465" s="10"/>
      <c r="J465" s="11" t="s">
        <v>831</v>
      </c>
      <c r="K465" s="12">
        <v>2.0699999999999998</v>
      </c>
      <c r="L465" s="13">
        <v>380</v>
      </c>
      <c r="M465" s="14">
        <v>786.6</v>
      </c>
      <c r="N465" s="15"/>
      <c r="O465" s="16" t="s">
        <v>137</v>
      </c>
      <c r="P465" s="17"/>
      <c r="Q465" s="18"/>
      <c r="R465" s="17">
        <f>M465+P465-Q465</f>
        <v>786.6</v>
      </c>
      <c r="S465" s="19"/>
      <c r="T465" s="19"/>
      <c r="U465" s="19"/>
      <c r="V465" s="19"/>
      <c r="W465" s="17"/>
      <c r="X465" s="20"/>
      <c r="Y465" s="19"/>
      <c r="Z465" s="19"/>
      <c r="AA465" s="19"/>
      <c r="AB465" s="19"/>
      <c r="AC465" s="19"/>
      <c r="AD465" s="19"/>
      <c r="AE465" s="5"/>
      <c r="AF465" s="19"/>
      <c r="AG465" s="5"/>
      <c r="AH465" s="17"/>
      <c r="AI465" s="19"/>
      <c r="AJ465" s="19"/>
      <c r="AK465" s="19"/>
      <c r="AL465" s="19"/>
      <c r="AM465" s="17"/>
      <c r="AN465" s="19"/>
      <c r="AO465" s="19"/>
      <c r="AP465" s="19"/>
      <c r="AQ465" s="19"/>
      <c r="AR465" s="19"/>
      <c r="AS465" s="21"/>
      <c r="AT465" s="5"/>
      <c r="AU465" s="19"/>
      <c r="AV465" s="5"/>
      <c r="AW465" s="22"/>
      <c r="AX465" s="19"/>
      <c r="AY465" s="5"/>
      <c r="AZ465" s="19"/>
      <c r="BA465" s="5"/>
      <c r="BB465" s="5"/>
      <c r="BC465" s="19"/>
      <c r="BD465" s="19"/>
      <c r="BE465" s="19"/>
      <c r="BF465" s="19"/>
      <c r="BG465" s="19"/>
      <c r="BH465" s="19"/>
      <c r="BI465" s="19"/>
      <c r="BJ465" s="19"/>
      <c r="BK465" s="13"/>
      <c r="BL465" s="5"/>
      <c r="BM465" s="5"/>
      <c r="BN465" s="19"/>
      <c r="BO465" s="17"/>
      <c r="BP465" s="19"/>
      <c r="BQ465" s="17"/>
      <c r="BR465" s="19"/>
      <c r="BS465" s="13"/>
      <c r="BT465" s="5"/>
      <c r="BU465" s="23"/>
      <c r="BV465" s="23"/>
      <c r="BW465" s="24"/>
      <c r="BX465" s="5"/>
      <c r="BY465" s="5"/>
      <c r="BZ465" s="5"/>
      <c r="CA465" s="24"/>
      <c r="CB465" s="24"/>
      <c r="CC465" s="24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>
        <f t="shared" si="660"/>
        <v>786.6</v>
      </c>
      <c r="CV465" s="25">
        <f t="shared" si="661"/>
        <v>0</v>
      </c>
    </row>
    <row r="466" spans="1:100" x14ac:dyDescent="0.2">
      <c r="A466" s="2"/>
      <c r="B466" s="3"/>
      <c r="C466" s="4"/>
      <c r="D466" s="5"/>
      <c r="E466" s="6"/>
      <c r="F466" s="7"/>
      <c r="G466" s="8"/>
      <c r="H466" s="9"/>
      <c r="I466" s="10"/>
      <c r="J466" s="11" t="s">
        <v>832</v>
      </c>
      <c r="K466" s="12">
        <v>2.2200000000000002</v>
      </c>
      <c r="L466" s="13">
        <v>250</v>
      </c>
      <c r="M466" s="14">
        <v>555</v>
      </c>
      <c r="N466" s="15"/>
      <c r="O466" s="16" t="s">
        <v>137</v>
      </c>
      <c r="P466" s="17"/>
      <c r="Q466" s="18"/>
      <c r="R466" s="17">
        <f>M466+P466-Q466</f>
        <v>555</v>
      </c>
      <c r="S466" s="19"/>
      <c r="T466" s="19"/>
      <c r="U466" s="19"/>
      <c r="V466" s="19"/>
      <c r="W466" s="17"/>
      <c r="X466" s="20"/>
      <c r="Y466" s="19"/>
      <c r="Z466" s="19"/>
      <c r="AA466" s="19"/>
      <c r="AB466" s="19"/>
      <c r="AC466" s="19"/>
      <c r="AD466" s="19"/>
      <c r="AE466" s="5"/>
      <c r="AF466" s="19"/>
      <c r="AG466" s="5"/>
      <c r="AH466" s="17"/>
      <c r="AI466" s="19"/>
      <c r="AJ466" s="19"/>
      <c r="AK466" s="19"/>
      <c r="AL466" s="19"/>
      <c r="AM466" s="17"/>
      <c r="AN466" s="19"/>
      <c r="AO466" s="19"/>
      <c r="AP466" s="19"/>
      <c r="AQ466" s="19"/>
      <c r="AR466" s="19"/>
      <c r="AS466" s="21"/>
      <c r="AT466" s="5"/>
      <c r="AU466" s="19"/>
      <c r="AV466" s="5"/>
      <c r="AW466" s="22"/>
      <c r="AX466" s="19"/>
      <c r="AY466" s="5"/>
      <c r="AZ466" s="19"/>
      <c r="BA466" s="5"/>
      <c r="BB466" s="5"/>
      <c r="BC466" s="19"/>
      <c r="BD466" s="19"/>
      <c r="BE466" s="19"/>
      <c r="BF466" s="19"/>
      <c r="BG466" s="19"/>
      <c r="BH466" s="19"/>
      <c r="BI466" s="19"/>
      <c r="BJ466" s="19"/>
      <c r="BK466" s="13"/>
      <c r="BL466" s="5"/>
      <c r="BM466" s="5"/>
      <c r="BN466" s="19"/>
      <c r="BO466" s="17"/>
      <c r="BP466" s="19"/>
      <c r="BQ466" s="17"/>
      <c r="BR466" s="19"/>
      <c r="BS466" s="13"/>
      <c r="BT466" s="5"/>
      <c r="BU466" s="23"/>
      <c r="BV466" s="23"/>
      <c r="BW466" s="24"/>
      <c r="BX466" s="5"/>
      <c r="BY466" s="5"/>
      <c r="BZ466" s="5"/>
      <c r="CA466" s="24"/>
      <c r="CB466" s="24"/>
      <c r="CC466" s="24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>
        <f t="shared" si="660"/>
        <v>555</v>
      </c>
      <c r="CV466" s="25">
        <f t="shared" si="661"/>
        <v>0</v>
      </c>
    </row>
    <row r="467" spans="1:100" s="205" customFormat="1" x14ac:dyDescent="0.2">
      <c r="A467" s="192"/>
      <c r="B467" s="193"/>
      <c r="C467" s="194"/>
      <c r="D467" s="195"/>
      <c r="E467" s="196"/>
      <c r="F467" s="197"/>
      <c r="G467" s="198"/>
      <c r="H467" s="199"/>
      <c r="I467" s="199"/>
      <c r="J467" s="200"/>
      <c r="K467" s="201"/>
      <c r="L467" s="202"/>
      <c r="M467" s="203">
        <f>SUM(M465:M466)</f>
        <v>1341.6</v>
      </c>
      <c r="N467" s="203">
        <f>M467+M464+M460</f>
        <v>2536.6</v>
      </c>
      <c r="O467" s="204" t="s">
        <v>137</v>
      </c>
      <c r="P467" s="203"/>
      <c r="Q467" s="203"/>
      <c r="R467" s="203">
        <f>SUM(R465:R466)</f>
        <v>1341.6</v>
      </c>
      <c r="S467" s="203">
        <f t="shared" ref="S467:AD467" si="758">SUM(S465:S465)</f>
        <v>0</v>
      </c>
      <c r="T467" s="203">
        <f t="shared" si="758"/>
        <v>0</v>
      </c>
      <c r="U467" s="203">
        <f t="shared" si="758"/>
        <v>0</v>
      </c>
      <c r="V467" s="203">
        <f t="shared" si="758"/>
        <v>0</v>
      </c>
      <c r="W467" s="203">
        <f t="shared" si="758"/>
        <v>0</v>
      </c>
      <c r="X467" s="203">
        <f t="shared" si="758"/>
        <v>0</v>
      </c>
      <c r="Y467" s="203">
        <f t="shared" si="758"/>
        <v>0</v>
      </c>
      <c r="Z467" s="203">
        <f t="shared" si="758"/>
        <v>0</v>
      </c>
      <c r="AA467" s="203">
        <f t="shared" si="758"/>
        <v>0</v>
      </c>
      <c r="AB467" s="203">
        <f t="shared" si="758"/>
        <v>0</v>
      </c>
      <c r="AC467" s="203">
        <f t="shared" si="758"/>
        <v>0</v>
      </c>
      <c r="AD467" s="203">
        <f t="shared" si="758"/>
        <v>0</v>
      </c>
      <c r="AE467" s="195"/>
      <c r="AF467" s="203">
        <f>SUM(AF465:AF465)</f>
        <v>0</v>
      </c>
      <c r="AG467" s="195"/>
      <c r="AH467" s="203">
        <f t="shared" ref="AH467:AZ467" si="759">SUM(AH465:AH465)</f>
        <v>0</v>
      </c>
      <c r="AI467" s="203">
        <f t="shared" si="759"/>
        <v>0</v>
      </c>
      <c r="AJ467" s="203">
        <f t="shared" si="759"/>
        <v>0</v>
      </c>
      <c r="AK467" s="203">
        <f t="shared" si="759"/>
        <v>0</v>
      </c>
      <c r="AL467" s="203">
        <f t="shared" si="759"/>
        <v>0</v>
      </c>
      <c r="AM467" s="203">
        <f t="shared" si="759"/>
        <v>0</v>
      </c>
      <c r="AN467" s="203">
        <f t="shared" si="759"/>
        <v>0</v>
      </c>
      <c r="AO467" s="203">
        <f t="shared" si="759"/>
        <v>0</v>
      </c>
      <c r="AP467" s="203">
        <f t="shared" si="759"/>
        <v>0</v>
      </c>
      <c r="AQ467" s="203">
        <f t="shared" si="759"/>
        <v>0</v>
      </c>
      <c r="AR467" s="203">
        <f t="shared" si="759"/>
        <v>0</v>
      </c>
      <c r="AS467" s="203">
        <f t="shared" si="759"/>
        <v>0</v>
      </c>
      <c r="AT467" s="203">
        <f t="shared" si="759"/>
        <v>0</v>
      </c>
      <c r="AU467" s="203">
        <f t="shared" si="759"/>
        <v>0</v>
      </c>
      <c r="AV467" s="203">
        <f t="shared" si="759"/>
        <v>0</v>
      </c>
      <c r="AW467" s="203">
        <f t="shared" si="759"/>
        <v>0</v>
      </c>
      <c r="AX467" s="203">
        <f t="shared" si="759"/>
        <v>0</v>
      </c>
      <c r="AY467" s="203">
        <f t="shared" si="759"/>
        <v>0</v>
      </c>
      <c r="AZ467" s="203">
        <f t="shared" si="759"/>
        <v>0</v>
      </c>
      <c r="BA467" s="195"/>
      <c r="BB467" s="203">
        <f t="shared" ref="BB467:CT467" si="760">SUM(BB465:BB465)</f>
        <v>0</v>
      </c>
      <c r="BC467" s="203">
        <f t="shared" si="760"/>
        <v>0</v>
      </c>
      <c r="BD467" s="203">
        <f t="shared" si="760"/>
        <v>0</v>
      </c>
      <c r="BE467" s="203">
        <f t="shared" si="760"/>
        <v>0</v>
      </c>
      <c r="BF467" s="203">
        <f t="shared" si="760"/>
        <v>0</v>
      </c>
      <c r="BG467" s="203">
        <f t="shared" si="760"/>
        <v>0</v>
      </c>
      <c r="BH467" s="203">
        <f t="shared" si="760"/>
        <v>0</v>
      </c>
      <c r="BI467" s="203">
        <f t="shared" si="760"/>
        <v>0</v>
      </c>
      <c r="BJ467" s="203">
        <f t="shared" si="760"/>
        <v>0</v>
      </c>
      <c r="BK467" s="203">
        <f t="shared" si="760"/>
        <v>0</v>
      </c>
      <c r="BL467" s="203">
        <f t="shared" si="760"/>
        <v>0</v>
      </c>
      <c r="BM467" s="203">
        <f t="shared" si="760"/>
        <v>0</v>
      </c>
      <c r="BN467" s="203">
        <f t="shared" si="760"/>
        <v>0</v>
      </c>
      <c r="BO467" s="203">
        <f t="shared" si="760"/>
        <v>0</v>
      </c>
      <c r="BP467" s="203">
        <f t="shared" si="760"/>
        <v>0</v>
      </c>
      <c r="BQ467" s="203">
        <f t="shared" si="760"/>
        <v>0</v>
      </c>
      <c r="BR467" s="203">
        <f t="shared" si="760"/>
        <v>0</v>
      </c>
      <c r="BS467" s="203">
        <f t="shared" si="760"/>
        <v>0</v>
      </c>
      <c r="BT467" s="203">
        <f t="shared" si="760"/>
        <v>0</v>
      </c>
      <c r="BU467" s="203">
        <f t="shared" si="760"/>
        <v>0</v>
      </c>
      <c r="BV467" s="203">
        <f t="shared" si="760"/>
        <v>0</v>
      </c>
      <c r="BW467" s="203">
        <f t="shared" si="760"/>
        <v>0</v>
      </c>
      <c r="BX467" s="203">
        <f t="shared" si="760"/>
        <v>0</v>
      </c>
      <c r="BY467" s="203">
        <f t="shared" si="760"/>
        <v>0</v>
      </c>
      <c r="BZ467" s="203">
        <f t="shared" si="760"/>
        <v>0</v>
      </c>
      <c r="CA467" s="203">
        <f t="shared" si="760"/>
        <v>0</v>
      </c>
      <c r="CB467" s="203">
        <f t="shared" si="760"/>
        <v>0</v>
      </c>
      <c r="CC467" s="203">
        <f t="shared" si="760"/>
        <v>0</v>
      </c>
      <c r="CD467" s="203">
        <f t="shared" si="760"/>
        <v>0</v>
      </c>
      <c r="CE467" s="203">
        <f t="shared" si="760"/>
        <v>0</v>
      </c>
      <c r="CF467" s="203">
        <f t="shared" si="760"/>
        <v>0</v>
      </c>
      <c r="CG467" s="203">
        <f t="shared" si="760"/>
        <v>0</v>
      </c>
      <c r="CH467" s="203">
        <f t="shared" si="760"/>
        <v>0</v>
      </c>
      <c r="CI467" s="203">
        <f t="shared" si="760"/>
        <v>0</v>
      </c>
      <c r="CJ467" s="203">
        <f t="shared" si="760"/>
        <v>0</v>
      </c>
      <c r="CK467" s="203">
        <f t="shared" si="760"/>
        <v>0</v>
      </c>
      <c r="CL467" s="203">
        <f t="shared" si="760"/>
        <v>0</v>
      </c>
      <c r="CM467" s="203">
        <f t="shared" si="760"/>
        <v>0</v>
      </c>
      <c r="CN467" s="203">
        <f t="shared" si="760"/>
        <v>0</v>
      </c>
      <c r="CO467" s="203">
        <f t="shared" si="760"/>
        <v>0</v>
      </c>
      <c r="CP467" s="203">
        <f t="shared" si="760"/>
        <v>0</v>
      </c>
      <c r="CQ467" s="203">
        <f t="shared" si="760"/>
        <v>0</v>
      </c>
      <c r="CR467" s="203">
        <f t="shared" si="760"/>
        <v>0</v>
      </c>
      <c r="CS467" s="203">
        <f t="shared" si="760"/>
        <v>0</v>
      </c>
      <c r="CT467" s="203">
        <f t="shared" si="760"/>
        <v>0</v>
      </c>
      <c r="CU467" s="17">
        <f t="shared" si="660"/>
        <v>1341.6</v>
      </c>
      <c r="CV467" s="25">
        <f t="shared" si="661"/>
        <v>0</v>
      </c>
    </row>
    <row r="468" spans="1:100" x14ac:dyDescent="0.2">
      <c r="A468" s="2">
        <v>45896</v>
      </c>
      <c r="B468" s="3" t="s">
        <v>841</v>
      </c>
      <c r="C468" s="4" t="s">
        <v>887</v>
      </c>
      <c r="D468" s="5" t="s">
        <v>122</v>
      </c>
      <c r="E468" s="6" t="s">
        <v>370</v>
      </c>
      <c r="F468" s="7" t="s">
        <v>336</v>
      </c>
      <c r="G468" s="8" t="s">
        <v>199</v>
      </c>
      <c r="H468" s="9" t="s">
        <v>833</v>
      </c>
      <c r="I468" s="10"/>
      <c r="J468" s="11" t="s">
        <v>834</v>
      </c>
      <c r="K468" s="12">
        <v>3</v>
      </c>
      <c r="L468" s="13">
        <v>35.5</v>
      </c>
      <c r="M468" s="14">
        <f t="shared" ref="M468:M475" si="761">L468*K468</f>
        <v>106.5</v>
      </c>
      <c r="N468" s="15"/>
      <c r="O468" s="16" t="s">
        <v>111</v>
      </c>
      <c r="P468" s="17">
        <f>M468/1.12*0.01</f>
        <v>0.9508928571428571</v>
      </c>
      <c r="Q468" s="18">
        <f>M468/1.12*0.12</f>
        <v>11.410714285714285</v>
      </c>
      <c r="R468" s="17">
        <f>M468+P468-Q468</f>
        <v>96.040178571428584</v>
      </c>
      <c r="S468" s="19"/>
      <c r="T468" s="19"/>
      <c r="U468" s="19"/>
      <c r="V468" s="19"/>
      <c r="W468" s="17"/>
      <c r="X468" s="20"/>
      <c r="Y468" s="19"/>
      <c r="Z468" s="19"/>
      <c r="AA468" s="19"/>
      <c r="AB468" s="19"/>
      <c r="AC468" s="19"/>
      <c r="AD468" s="19"/>
      <c r="AE468" s="5"/>
      <c r="AF468" s="19"/>
      <c r="AG468" s="5"/>
      <c r="AH468" s="17"/>
      <c r="AI468" s="19"/>
      <c r="AJ468" s="19"/>
      <c r="AK468" s="19"/>
      <c r="AL468" s="19"/>
      <c r="AM468" s="17"/>
      <c r="AN468" s="19"/>
      <c r="AO468" s="19"/>
      <c r="AP468" s="19"/>
      <c r="AQ468" s="19"/>
      <c r="AR468" s="19"/>
      <c r="AS468" s="21"/>
      <c r="AT468" s="5"/>
      <c r="AU468" s="19"/>
      <c r="AV468" s="5"/>
      <c r="AW468" s="22"/>
      <c r="AX468" s="19"/>
      <c r="AY468" s="5"/>
      <c r="AZ468" s="19"/>
      <c r="BA468" s="5"/>
      <c r="BB468" s="5"/>
      <c r="BC468" s="19"/>
      <c r="BD468" s="19"/>
      <c r="BE468" s="19"/>
      <c r="BF468" s="19"/>
      <c r="BG468" s="19"/>
      <c r="BH468" s="19"/>
      <c r="BI468" s="19"/>
      <c r="BJ468" s="19"/>
      <c r="BK468" s="13"/>
      <c r="BL468" s="5"/>
      <c r="BM468" s="5"/>
      <c r="BN468" s="19"/>
      <c r="BO468" s="17"/>
      <c r="BP468" s="19"/>
      <c r="BQ468" s="17"/>
      <c r="BR468" s="19"/>
      <c r="BS468" s="13"/>
      <c r="BT468" s="5"/>
      <c r="BU468" s="23"/>
      <c r="BV468" s="23"/>
      <c r="BW468" s="24"/>
      <c r="BX468" s="5"/>
      <c r="BY468" s="5"/>
      <c r="BZ468" s="5"/>
      <c r="CA468" s="24"/>
      <c r="CB468" s="24"/>
      <c r="CC468" s="24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>
        <f t="shared" si="660"/>
        <v>106.5</v>
      </c>
      <c r="CV468" s="25">
        <f t="shared" si="661"/>
        <v>0</v>
      </c>
    </row>
    <row r="469" spans="1:100" x14ac:dyDescent="0.2">
      <c r="A469" s="2"/>
      <c r="B469" s="3"/>
      <c r="C469" s="4"/>
      <c r="D469" s="5"/>
      <c r="E469" s="6"/>
      <c r="F469" s="7"/>
      <c r="G469" s="8"/>
      <c r="H469" s="9"/>
      <c r="I469" s="10"/>
      <c r="J469" s="11" t="s">
        <v>835</v>
      </c>
      <c r="K469" s="12">
        <v>1</v>
      </c>
      <c r="L469" s="13">
        <v>54.5</v>
      </c>
      <c r="M469" s="14">
        <f t="shared" si="761"/>
        <v>54.5</v>
      </c>
      <c r="N469" s="15"/>
      <c r="O469" s="16" t="s">
        <v>111</v>
      </c>
      <c r="P469" s="17">
        <f t="shared" ref="P469:P474" si="762">M469/1.12*0.01</f>
        <v>0.48660714285714279</v>
      </c>
      <c r="Q469" s="18">
        <f t="shared" ref="Q469:Q474" si="763">M469/1.12*0.12</f>
        <v>5.8392857142857135</v>
      </c>
      <c r="R469" s="17">
        <f t="shared" ref="R469:R474" si="764">M469+P469-Q469</f>
        <v>49.147321428571431</v>
      </c>
      <c r="S469" s="19"/>
      <c r="T469" s="19"/>
      <c r="U469" s="19"/>
      <c r="V469" s="19"/>
      <c r="W469" s="17"/>
      <c r="X469" s="20"/>
      <c r="Y469" s="19"/>
      <c r="Z469" s="19"/>
      <c r="AA469" s="19"/>
      <c r="AB469" s="19"/>
      <c r="AC469" s="19"/>
      <c r="AD469" s="19"/>
      <c r="AE469" s="5"/>
      <c r="AF469" s="19"/>
      <c r="AG469" s="5"/>
      <c r="AH469" s="17"/>
      <c r="AI469" s="19"/>
      <c r="AJ469" s="19"/>
      <c r="AK469" s="19"/>
      <c r="AL469" s="19"/>
      <c r="AM469" s="17"/>
      <c r="AN469" s="19"/>
      <c r="AO469" s="19"/>
      <c r="AP469" s="19"/>
      <c r="AQ469" s="19"/>
      <c r="AR469" s="19"/>
      <c r="AS469" s="21"/>
      <c r="AT469" s="5"/>
      <c r="AU469" s="19"/>
      <c r="AV469" s="5"/>
      <c r="AW469" s="22"/>
      <c r="AX469" s="19"/>
      <c r="AY469" s="5"/>
      <c r="AZ469" s="19"/>
      <c r="BA469" s="5"/>
      <c r="BB469" s="5"/>
      <c r="BC469" s="19"/>
      <c r="BD469" s="19"/>
      <c r="BE469" s="19"/>
      <c r="BF469" s="19"/>
      <c r="BG469" s="19"/>
      <c r="BH469" s="19"/>
      <c r="BI469" s="19"/>
      <c r="BJ469" s="19"/>
      <c r="BK469" s="13"/>
      <c r="BL469" s="5"/>
      <c r="BM469" s="5"/>
      <c r="BN469" s="19"/>
      <c r="BO469" s="17"/>
      <c r="BP469" s="19"/>
      <c r="BQ469" s="17"/>
      <c r="BR469" s="19"/>
      <c r="BS469" s="13"/>
      <c r="BT469" s="5"/>
      <c r="BU469" s="23"/>
      <c r="BV469" s="23"/>
      <c r="BW469" s="24"/>
      <c r="BX469" s="5"/>
      <c r="BY469" s="5"/>
      <c r="BZ469" s="5"/>
      <c r="CA469" s="24"/>
      <c r="CB469" s="24"/>
      <c r="CC469" s="24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>
        <f t="shared" si="660"/>
        <v>54.5</v>
      </c>
      <c r="CV469" s="25">
        <f t="shared" si="661"/>
        <v>0</v>
      </c>
    </row>
    <row r="470" spans="1:100" x14ac:dyDescent="0.2">
      <c r="A470" s="2"/>
      <c r="B470" s="3"/>
      <c r="C470" s="4"/>
      <c r="D470" s="5"/>
      <c r="E470" s="6"/>
      <c r="F470" s="7"/>
      <c r="G470" s="8"/>
      <c r="H470" s="9"/>
      <c r="I470" s="10"/>
      <c r="J470" s="11" t="s">
        <v>836</v>
      </c>
      <c r="K470" s="12">
        <v>1</v>
      </c>
      <c r="L470" s="13">
        <v>61.5</v>
      </c>
      <c r="M470" s="14">
        <f t="shared" si="761"/>
        <v>61.5</v>
      </c>
      <c r="N470" s="15"/>
      <c r="O470" s="16" t="s">
        <v>111</v>
      </c>
      <c r="P470" s="17">
        <f t="shared" si="762"/>
        <v>0.54910714285714279</v>
      </c>
      <c r="Q470" s="18">
        <f t="shared" si="763"/>
        <v>6.5892857142857126</v>
      </c>
      <c r="R470" s="17">
        <f t="shared" si="764"/>
        <v>55.459821428571431</v>
      </c>
      <c r="S470" s="19"/>
      <c r="T470" s="19"/>
      <c r="U470" s="19"/>
      <c r="V470" s="19"/>
      <c r="W470" s="17"/>
      <c r="X470" s="20"/>
      <c r="Y470" s="19"/>
      <c r="Z470" s="19"/>
      <c r="AA470" s="19"/>
      <c r="AB470" s="19"/>
      <c r="AC470" s="19"/>
      <c r="AD470" s="19"/>
      <c r="AE470" s="5"/>
      <c r="AF470" s="19"/>
      <c r="AG470" s="5"/>
      <c r="AH470" s="17"/>
      <c r="AI470" s="19"/>
      <c r="AJ470" s="19"/>
      <c r="AK470" s="19"/>
      <c r="AL470" s="19"/>
      <c r="AM470" s="17"/>
      <c r="AN470" s="19"/>
      <c r="AO470" s="19"/>
      <c r="AP470" s="19"/>
      <c r="AQ470" s="19"/>
      <c r="AR470" s="19"/>
      <c r="AS470" s="21"/>
      <c r="AT470" s="5"/>
      <c r="AU470" s="19"/>
      <c r="AV470" s="5"/>
      <c r="AW470" s="22"/>
      <c r="AX470" s="19"/>
      <c r="AY470" s="5"/>
      <c r="AZ470" s="19"/>
      <c r="BA470" s="5"/>
      <c r="BB470" s="5"/>
      <c r="BC470" s="19"/>
      <c r="BD470" s="19"/>
      <c r="BE470" s="19"/>
      <c r="BF470" s="19"/>
      <c r="BG470" s="19"/>
      <c r="BH470" s="19"/>
      <c r="BI470" s="19"/>
      <c r="BJ470" s="19"/>
      <c r="BK470" s="13"/>
      <c r="BL470" s="5"/>
      <c r="BM470" s="5"/>
      <c r="BN470" s="19"/>
      <c r="BO470" s="17"/>
      <c r="BP470" s="19"/>
      <c r="BQ470" s="17"/>
      <c r="BR470" s="19"/>
      <c r="BS470" s="13"/>
      <c r="BT470" s="5"/>
      <c r="BU470" s="23"/>
      <c r="BV470" s="23"/>
      <c r="BW470" s="24"/>
      <c r="BX470" s="5"/>
      <c r="BY470" s="5"/>
      <c r="BZ470" s="5"/>
      <c r="CA470" s="24"/>
      <c r="CB470" s="24"/>
      <c r="CC470" s="24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>
        <f t="shared" si="660"/>
        <v>61.5</v>
      </c>
      <c r="CV470" s="25">
        <f t="shared" si="661"/>
        <v>0</v>
      </c>
    </row>
    <row r="471" spans="1:100" x14ac:dyDescent="0.2">
      <c r="A471" s="2"/>
      <c r="B471" s="3"/>
      <c r="C471" s="4"/>
      <c r="D471" s="5"/>
      <c r="E471" s="6"/>
      <c r="F471" s="7"/>
      <c r="G471" s="8"/>
      <c r="H471" s="9"/>
      <c r="I471" s="10"/>
      <c r="J471" s="11" t="s">
        <v>837</v>
      </c>
      <c r="K471" s="12">
        <v>4</v>
      </c>
      <c r="L471" s="13">
        <v>107</v>
      </c>
      <c r="M471" s="14">
        <f t="shared" si="761"/>
        <v>428</v>
      </c>
      <c r="N471" s="15"/>
      <c r="O471" s="16" t="s">
        <v>111</v>
      </c>
      <c r="P471" s="17">
        <f t="shared" si="762"/>
        <v>3.8214285714285712</v>
      </c>
      <c r="Q471" s="18">
        <f t="shared" si="763"/>
        <v>45.857142857142854</v>
      </c>
      <c r="R471" s="17">
        <f t="shared" si="764"/>
        <v>385.96428571428572</v>
      </c>
      <c r="S471" s="19"/>
      <c r="T471" s="19"/>
      <c r="U471" s="19"/>
      <c r="V471" s="19"/>
      <c r="W471" s="17"/>
      <c r="X471" s="20"/>
      <c r="Y471" s="19"/>
      <c r="Z471" s="19"/>
      <c r="AA471" s="19"/>
      <c r="AB471" s="19"/>
      <c r="AC471" s="19"/>
      <c r="AD471" s="19"/>
      <c r="AE471" s="5"/>
      <c r="AF471" s="19"/>
      <c r="AG471" s="5"/>
      <c r="AH471" s="17"/>
      <c r="AI471" s="19"/>
      <c r="AJ471" s="19"/>
      <c r="AK471" s="19"/>
      <c r="AL471" s="19"/>
      <c r="AM471" s="17"/>
      <c r="AN471" s="19"/>
      <c r="AO471" s="19"/>
      <c r="AP471" s="19"/>
      <c r="AQ471" s="19"/>
      <c r="AR471" s="19"/>
      <c r="AS471" s="21"/>
      <c r="AT471" s="5"/>
      <c r="AU471" s="19"/>
      <c r="AV471" s="5"/>
      <c r="AW471" s="22"/>
      <c r="AX471" s="19"/>
      <c r="AY471" s="5"/>
      <c r="AZ471" s="19"/>
      <c r="BA471" s="5"/>
      <c r="BB471" s="5"/>
      <c r="BC471" s="19"/>
      <c r="BD471" s="19"/>
      <c r="BE471" s="19"/>
      <c r="BF471" s="19"/>
      <c r="BG471" s="19"/>
      <c r="BH471" s="19"/>
      <c r="BI471" s="19"/>
      <c r="BJ471" s="19"/>
      <c r="BK471" s="13"/>
      <c r="BL471" s="5"/>
      <c r="BM471" s="5"/>
      <c r="BN471" s="19"/>
      <c r="BO471" s="17"/>
      <c r="BP471" s="19"/>
      <c r="BQ471" s="17"/>
      <c r="BR471" s="19"/>
      <c r="BS471" s="13"/>
      <c r="BT471" s="5"/>
      <c r="BU471" s="23"/>
      <c r="BV471" s="23"/>
      <c r="BW471" s="24"/>
      <c r="BX471" s="5"/>
      <c r="BY471" s="5"/>
      <c r="BZ471" s="5"/>
      <c r="CA471" s="24"/>
      <c r="CB471" s="24"/>
      <c r="CC471" s="24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>
        <f t="shared" si="660"/>
        <v>428</v>
      </c>
      <c r="CV471" s="25">
        <f t="shared" si="661"/>
        <v>0</v>
      </c>
    </row>
    <row r="472" spans="1:100" x14ac:dyDescent="0.2">
      <c r="A472" s="2"/>
      <c r="B472" s="3"/>
      <c r="C472" s="4"/>
      <c r="D472" s="5"/>
      <c r="E472" s="6"/>
      <c r="F472" s="7"/>
      <c r="G472" s="8"/>
      <c r="H472" s="9"/>
      <c r="I472" s="10"/>
      <c r="J472" s="11" t="s">
        <v>838</v>
      </c>
      <c r="K472" s="12">
        <v>1</v>
      </c>
      <c r="L472" s="13">
        <v>119</v>
      </c>
      <c r="M472" s="14">
        <f t="shared" si="761"/>
        <v>119</v>
      </c>
      <c r="N472" s="15"/>
      <c r="O472" s="16" t="s">
        <v>111</v>
      </c>
      <c r="P472" s="17">
        <f t="shared" si="762"/>
        <v>1.0624999999999998</v>
      </c>
      <c r="Q472" s="18">
        <f t="shared" si="763"/>
        <v>12.749999999999998</v>
      </c>
      <c r="R472" s="17">
        <f t="shared" si="764"/>
        <v>107.3125</v>
      </c>
      <c r="S472" s="19"/>
      <c r="T472" s="19"/>
      <c r="U472" s="19"/>
      <c r="V472" s="19"/>
      <c r="W472" s="17"/>
      <c r="X472" s="20"/>
      <c r="Y472" s="19"/>
      <c r="Z472" s="19"/>
      <c r="AA472" s="19"/>
      <c r="AB472" s="19"/>
      <c r="AC472" s="19"/>
      <c r="AD472" s="19"/>
      <c r="AE472" s="5"/>
      <c r="AF472" s="19"/>
      <c r="AG472" s="5"/>
      <c r="AH472" s="17"/>
      <c r="AI472" s="19"/>
      <c r="AJ472" s="19"/>
      <c r="AK472" s="19"/>
      <c r="AL472" s="19"/>
      <c r="AM472" s="17"/>
      <c r="AN472" s="19"/>
      <c r="AO472" s="19"/>
      <c r="AP472" s="19"/>
      <c r="AQ472" s="19"/>
      <c r="AR472" s="19"/>
      <c r="AS472" s="21"/>
      <c r="AT472" s="5"/>
      <c r="AU472" s="19"/>
      <c r="AV472" s="5"/>
      <c r="AW472" s="22"/>
      <c r="AX472" s="19"/>
      <c r="AY472" s="5"/>
      <c r="AZ472" s="19"/>
      <c r="BA472" s="5"/>
      <c r="BB472" s="5"/>
      <c r="BC472" s="19"/>
      <c r="BD472" s="19"/>
      <c r="BE472" s="19"/>
      <c r="BF472" s="19"/>
      <c r="BG472" s="19"/>
      <c r="BH472" s="19"/>
      <c r="BI472" s="19"/>
      <c r="BJ472" s="19"/>
      <c r="BK472" s="13"/>
      <c r="BL472" s="5"/>
      <c r="BM472" s="5"/>
      <c r="BN472" s="19"/>
      <c r="BO472" s="17"/>
      <c r="BP472" s="19"/>
      <c r="BQ472" s="17"/>
      <c r="BR472" s="19"/>
      <c r="BS472" s="13"/>
      <c r="BT472" s="5"/>
      <c r="BU472" s="23"/>
      <c r="BV472" s="23"/>
      <c r="BW472" s="24"/>
      <c r="BX472" s="5"/>
      <c r="BY472" s="5"/>
      <c r="BZ472" s="5"/>
      <c r="CA472" s="24"/>
      <c r="CB472" s="24"/>
      <c r="CC472" s="24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>
        <f t="shared" si="660"/>
        <v>119</v>
      </c>
      <c r="CV472" s="25">
        <f t="shared" si="661"/>
        <v>0</v>
      </c>
    </row>
    <row r="473" spans="1:100" x14ac:dyDescent="0.2">
      <c r="A473" s="2"/>
      <c r="B473" s="3"/>
      <c r="C473" s="4"/>
      <c r="D473" s="5"/>
      <c r="E473" s="6"/>
      <c r="F473" s="7"/>
      <c r="G473" s="8"/>
      <c r="H473" s="9"/>
      <c r="I473" s="10"/>
      <c r="J473" s="11" t="s">
        <v>839</v>
      </c>
      <c r="K473" s="12">
        <v>1</v>
      </c>
      <c r="L473" s="13">
        <v>79.5</v>
      </c>
      <c r="M473" s="14">
        <f t="shared" si="761"/>
        <v>79.5</v>
      </c>
      <c r="N473" s="15"/>
      <c r="O473" s="16" t="s">
        <v>111</v>
      </c>
      <c r="P473" s="17">
        <f t="shared" si="762"/>
        <v>0.70982142857142849</v>
      </c>
      <c r="Q473" s="18">
        <f t="shared" si="763"/>
        <v>8.5178571428571406</v>
      </c>
      <c r="R473" s="17">
        <f t="shared" si="764"/>
        <v>71.691964285714292</v>
      </c>
      <c r="S473" s="19"/>
      <c r="T473" s="19"/>
      <c r="U473" s="19"/>
      <c r="V473" s="19"/>
      <c r="W473" s="17"/>
      <c r="X473" s="20"/>
      <c r="Y473" s="19"/>
      <c r="Z473" s="19"/>
      <c r="AA473" s="19"/>
      <c r="AB473" s="19"/>
      <c r="AC473" s="19"/>
      <c r="AD473" s="19"/>
      <c r="AE473" s="5"/>
      <c r="AF473" s="19"/>
      <c r="AG473" s="5"/>
      <c r="AH473" s="17"/>
      <c r="AI473" s="19"/>
      <c r="AJ473" s="19"/>
      <c r="AK473" s="19"/>
      <c r="AL473" s="19"/>
      <c r="AM473" s="17"/>
      <c r="AN473" s="19"/>
      <c r="AO473" s="19"/>
      <c r="AP473" s="19"/>
      <c r="AQ473" s="19"/>
      <c r="AR473" s="19"/>
      <c r="AS473" s="21"/>
      <c r="AT473" s="5"/>
      <c r="AU473" s="19"/>
      <c r="AV473" s="5"/>
      <c r="AW473" s="22"/>
      <c r="AX473" s="19"/>
      <c r="AY473" s="5"/>
      <c r="AZ473" s="19"/>
      <c r="BA473" s="5"/>
      <c r="BB473" s="5"/>
      <c r="BC473" s="19"/>
      <c r="BD473" s="19"/>
      <c r="BE473" s="19"/>
      <c r="BF473" s="19"/>
      <c r="BG473" s="19"/>
      <c r="BH473" s="19"/>
      <c r="BI473" s="19"/>
      <c r="BJ473" s="19"/>
      <c r="BK473" s="13"/>
      <c r="BL473" s="5"/>
      <c r="BM473" s="5"/>
      <c r="BN473" s="19"/>
      <c r="BO473" s="17"/>
      <c r="BP473" s="19"/>
      <c r="BQ473" s="17"/>
      <c r="BR473" s="19"/>
      <c r="BS473" s="13"/>
      <c r="BT473" s="5"/>
      <c r="BU473" s="23"/>
      <c r="BV473" s="23"/>
      <c r="BW473" s="24"/>
      <c r="BX473" s="5"/>
      <c r="BY473" s="5"/>
      <c r="BZ473" s="5"/>
      <c r="CA473" s="24"/>
      <c r="CB473" s="24"/>
      <c r="CC473" s="24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>
        <f t="shared" si="660"/>
        <v>79.5</v>
      </c>
      <c r="CV473" s="25">
        <f t="shared" si="661"/>
        <v>0</v>
      </c>
    </row>
    <row r="474" spans="1:100" x14ac:dyDescent="0.2">
      <c r="A474" s="2"/>
      <c r="B474" s="3"/>
      <c r="C474" s="4"/>
      <c r="D474" s="5"/>
      <c r="E474" s="6"/>
      <c r="F474" s="7"/>
      <c r="G474" s="8"/>
      <c r="H474" s="9"/>
      <c r="I474" s="10"/>
      <c r="J474" s="11" t="s">
        <v>840</v>
      </c>
      <c r="K474" s="12">
        <v>1</v>
      </c>
      <c r="L474" s="13">
        <v>106.5</v>
      </c>
      <c r="M474" s="14">
        <f t="shared" si="761"/>
        <v>106.5</v>
      </c>
      <c r="N474" s="15"/>
      <c r="O474" s="16" t="s">
        <v>111</v>
      </c>
      <c r="P474" s="17">
        <f t="shared" si="762"/>
        <v>0.9508928571428571</v>
      </c>
      <c r="Q474" s="18">
        <f t="shared" si="763"/>
        <v>11.410714285714285</v>
      </c>
      <c r="R474" s="17">
        <f t="shared" si="764"/>
        <v>96.040178571428584</v>
      </c>
      <c r="S474" s="19"/>
      <c r="T474" s="19"/>
      <c r="U474" s="19"/>
      <c r="V474" s="19"/>
      <c r="W474" s="17"/>
      <c r="X474" s="20"/>
      <c r="Y474" s="19"/>
      <c r="Z474" s="19"/>
      <c r="AA474" s="19"/>
      <c r="AB474" s="19"/>
      <c r="AC474" s="19"/>
      <c r="AD474" s="19"/>
      <c r="AE474" s="5"/>
      <c r="AF474" s="19"/>
      <c r="AG474" s="5"/>
      <c r="AH474" s="17"/>
      <c r="AI474" s="19"/>
      <c r="AJ474" s="19"/>
      <c r="AK474" s="19"/>
      <c r="AL474" s="19"/>
      <c r="AM474" s="17"/>
      <c r="AN474" s="19"/>
      <c r="AO474" s="19"/>
      <c r="AP474" s="19"/>
      <c r="AQ474" s="19"/>
      <c r="AR474" s="19"/>
      <c r="AS474" s="21"/>
      <c r="AT474" s="5"/>
      <c r="AU474" s="19"/>
      <c r="AV474" s="5"/>
      <c r="AW474" s="22"/>
      <c r="AX474" s="19"/>
      <c r="AY474" s="5"/>
      <c r="AZ474" s="19"/>
      <c r="BA474" s="5"/>
      <c r="BB474" s="5"/>
      <c r="BC474" s="19"/>
      <c r="BD474" s="19"/>
      <c r="BE474" s="19"/>
      <c r="BF474" s="19"/>
      <c r="BG474" s="19"/>
      <c r="BH474" s="19"/>
      <c r="BI474" s="19"/>
      <c r="BJ474" s="19"/>
      <c r="BK474" s="13"/>
      <c r="BL474" s="5"/>
      <c r="BM474" s="5"/>
      <c r="BN474" s="19"/>
      <c r="BO474" s="17"/>
      <c r="BP474" s="19"/>
      <c r="BQ474" s="17"/>
      <c r="BR474" s="19"/>
      <c r="BS474" s="13"/>
      <c r="BT474" s="5"/>
      <c r="BU474" s="23"/>
      <c r="BV474" s="23"/>
      <c r="BW474" s="24"/>
      <c r="BX474" s="5"/>
      <c r="BY474" s="5"/>
      <c r="BZ474" s="5"/>
      <c r="CA474" s="24"/>
      <c r="CB474" s="24"/>
      <c r="CC474" s="24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>
        <f t="shared" ref="CU474:CU487" si="765">SUM(Q474:CT474)-P474</f>
        <v>106.5</v>
      </c>
      <c r="CV474" s="25">
        <f t="shared" ref="CV474:CV487" si="766">CU474-M474</f>
        <v>0</v>
      </c>
    </row>
    <row r="475" spans="1:100" x14ac:dyDescent="0.2">
      <c r="A475" s="2">
        <v>45893</v>
      </c>
      <c r="B475" s="3" t="s">
        <v>841</v>
      </c>
      <c r="C475" s="4" t="s">
        <v>886</v>
      </c>
      <c r="D475" s="5" t="s">
        <v>133</v>
      </c>
      <c r="E475" s="6" t="s">
        <v>266</v>
      </c>
      <c r="F475" s="7"/>
      <c r="G475" s="8"/>
      <c r="H475" s="9"/>
      <c r="I475" s="10"/>
      <c r="J475" s="11" t="s">
        <v>842</v>
      </c>
      <c r="K475" s="12">
        <v>1.9</v>
      </c>
      <c r="L475" s="13">
        <v>60</v>
      </c>
      <c r="M475" s="14">
        <f t="shared" si="761"/>
        <v>114</v>
      </c>
      <c r="N475" s="15"/>
      <c r="O475" s="16" t="s">
        <v>137</v>
      </c>
      <c r="P475" s="17"/>
      <c r="Q475" s="18"/>
      <c r="R475" s="17">
        <f>M475+P475-Q475</f>
        <v>114</v>
      </c>
      <c r="S475" s="19"/>
      <c r="T475" s="19"/>
      <c r="U475" s="19"/>
      <c r="V475" s="19"/>
      <c r="W475" s="17"/>
      <c r="X475" s="20"/>
      <c r="Y475" s="19"/>
      <c r="Z475" s="19"/>
      <c r="AA475" s="19"/>
      <c r="AB475" s="19"/>
      <c r="AC475" s="19"/>
      <c r="AD475" s="19"/>
      <c r="AE475" s="5"/>
      <c r="AF475" s="19"/>
      <c r="AG475" s="5"/>
      <c r="AH475" s="17"/>
      <c r="AI475" s="19"/>
      <c r="AJ475" s="19"/>
      <c r="AK475" s="19"/>
      <c r="AL475" s="19"/>
      <c r="AM475" s="17"/>
      <c r="AN475" s="19"/>
      <c r="AO475" s="19"/>
      <c r="AP475" s="19"/>
      <c r="AQ475" s="19"/>
      <c r="AR475" s="19"/>
      <c r="AS475" s="21"/>
      <c r="AT475" s="5"/>
      <c r="AU475" s="19"/>
      <c r="AV475" s="5"/>
      <c r="AW475" s="22"/>
      <c r="AX475" s="19"/>
      <c r="AY475" s="5"/>
      <c r="AZ475" s="19"/>
      <c r="BA475" s="5"/>
      <c r="BB475" s="5"/>
      <c r="BC475" s="19"/>
      <c r="BD475" s="19"/>
      <c r="BE475" s="19"/>
      <c r="BF475" s="19"/>
      <c r="BG475" s="19"/>
      <c r="BH475" s="19"/>
      <c r="BI475" s="19"/>
      <c r="BJ475" s="19"/>
      <c r="BK475" s="13"/>
      <c r="BL475" s="5"/>
      <c r="BM475" s="5"/>
      <c r="BN475" s="19"/>
      <c r="BO475" s="17"/>
      <c r="BP475" s="19"/>
      <c r="BQ475" s="17"/>
      <c r="BR475" s="19"/>
      <c r="BS475" s="13"/>
      <c r="BT475" s="5"/>
      <c r="BU475" s="23"/>
      <c r="BV475" s="23"/>
      <c r="BW475" s="24"/>
      <c r="BX475" s="5"/>
      <c r="BY475" s="5"/>
      <c r="BZ475" s="5"/>
      <c r="CA475" s="24"/>
      <c r="CB475" s="24"/>
      <c r="CC475" s="24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>
        <f t="shared" si="765"/>
        <v>114</v>
      </c>
      <c r="CV475" s="25">
        <f t="shared" si="766"/>
        <v>0</v>
      </c>
    </row>
    <row r="476" spans="1:100" x14ac:dyDescent="0.2">
      <c r="A476" s="27"/>
      <c r="B476" s="28"/>
      <c r="C476" s="29"/>
      <c r="D476" s="30"/>
      <c r="E476" s="31"/>
      <c r="F476" s="32"/>
      <c r="G476" s="33"/>
      <c r="H476" s="34"/>
      <c r="I476" s="34"/>
      <c r="J476" s="35"/>
      <c r="K476" s="36"/>
      <c r="L476" s="37"/>
      <c r="M476" s="38">
        <f>SUM(M475:M475)</f>
        <v>114</v>
      </c>
      <c r="N476" s="38"/>
      <c r="O476" s="39" t="s">
        <v>137</v>
      </c>
      <c r="P476" s="38"/>
      <c r="Q476" s="38"/>
      <c r="R476" s="38">
        <f>SUM(R475:R475)</f>
        <v>114</v>
      </c>
      <c r="S476" s="38">
        <f t="shared" ref="S476:AD476" si="767">SUM(S475:S475)</f>
        <v>0</v>
      </c>
      <c r="T476" s="38">
        <f t="shared" si="767"/>
        <v>0</v>
      </c>
      <c r="U476" s="38">
        <f t="shared" si="767"/>
        <v>0</v>
      </c>
      <c r="V476" s="38">
        <f t="shared" si="767"/>
        <v>0</v>
      </c>
      <c r="W476" s="38">
        <f t="shared" si="767"/>
        <v>0</v>
      </c>
      <c r="X476" s="38">
        <f t="shared" si="767"/>
        <v>0</v>
      </c>
      <c r="Y476" s="38">
        <f t="shared" si="767"/>
        <v>0</v>
      </c>
      <c r="Z476" s="38">
        <f t="shared" si="767"/>
        <v>0</v>
      </c>
      <c r="AA476" s="38">
        <f t="shared" si="767"/>
        <v>0</v>
      </c>
      <c r="AB476" s="38">
        <f t="shared" si="767"/>
        <v>0</v>
      </c>
      <c r="AC476" s="38">
        <f t="shared" si="767"/>
        <v>0</v>
      </c>
      <c r="AD476" s="38">
        <f t="shared" si="767"/>
        <v>0</v>
      </c>
      <c r="AE476" s="30"/>
      <c r="AF476" s="38">
        <f>SUM(AF475:AF475)</f>
        <v>0</v>
      </c>
      <c r="AG476" s="30"/>
      <c r="AH476" s="38">
        <f t="shared" ref="AH476:AZ476" si="768">SUM(AH475:AH475)</f>
        <v>0</v>
      </c>
      <c r="AI476" s="38">
        <f t="shared" si="768"/>
        <v>0</v>
      </c>
      <c r="AJ476" s="38">
        <f t="shared" si="768"/>
        <v>0</v>
      </c>
      <c r="AK476" s="38">
        <f t="shared" si="768"/>
        <v>0</v>
      </c>
      <c r="AL476" s="38">
        <f t="shared" si="768"/>
        <v>0</v>
      </c>
      <c r="AM476" s="38">
        <f t="shared" si="768"/>
        <v>0</v>
      </c>
      <c r="AN476" s="38">
        <f t="shared" si="768"/>
        <v>0</v>
      </c>
      <c r="AO476" s="38">
        <f t="shared" si="768"/>
        <v>0</v>
      </c>
      <c r="AP476" s="38">
        <f t="shared" si="768"/>
        <v>0</v>
      </c>
      <c r="AQ476" s="38">
        <f t="shared" si="768"/>
        <v>0</v>
      </c>
      <c r="AR476" s="38">
        <f t="shared" si="768"/>
        <v>0</v>
      </c>
      <c r="AS476" s="38">
        <f t="shared" si="768"/>
        <v>0</v>
      </c>
      <c r="AT476" s="38">
        <f t="shared" si="768"/>
        <v>0</v>
      </c>
      <c r="AU476" s="38">
        <f t="shared" si="768"/>
        <v>0</v>
      </c>
      <c r="AV476" s="38">
        <f t="shared" si="768"/>
        <v>0</v>
      </c>
      <c r="AW476" s="38">
        <f t="shared" si="768"/>
        <v>0</v>
      </c>
      <c r="AX476" s="38">
        <f t="shared" si="768"/>
        <v>0</v>
      </c>
      <c r="AY476" s="38">
        <f t="shared" si="768"/>
        <v>0</v>
      </c>
      <c r="AZ476" s="38">
        <f t="shared" si="768"/>
        <v>0</v>
      </c>
      <c r="BA476" s="30"/>
      <c r="BB476" s="38">
        <f t="shared" ref="BB476:CT476" si="769">SUM(BB475:BB475)</f>
        <v>0</v>
      </c>
      <c r="BC476" s="38">
        <f t="shared" si="769"/>
        <v>0</v>
      </c>
      <c r="BD476" s="38">
        <f t="shared" si="769"/>
        <v>0</v>
      </c>
      <c r="BE476" s="38">
        <f t="shared" si="769"/>
        <v>0</v>
      </c>
      <c r="BF476" s="38">
        <f t="shared" si="769"/>
        <v>0</v>
      </c>
      <c r="BG476" s="38">
        <f t="shared" si="769"/>
        <v>0</v>
      </c>
      <c r="BH476" s="38">
        <f t="shared" si="769"/>
        <v>0</v>
      </c>
      <c r="BI476" s="38">
        <f t="shared" si="769"/>
        <v>0</v>
      </c>
      <c r="BJ476" s="38">
        <f t="shared" si="769"/>
        <v>0</v>
      </c>
      <c r="BK476" s="38">
        <f t="shared" si="769"/>
        <v>0</v>
      </c>
      <c r="BL476" s="38">
        <f t="shared" si="769"/>
        <v>0</v>
      </c>
      <c r="BM476" s="38">
        <f t="shared" si="769"/>
        <v>0</v>
      </c>
      <c r="BN476" s="38">
        <f t="shared" si="769"/>
        <v>0</v>
      </c>
      <c r="BO476" s="38">
        <f t="shared" si="769"/>
        <v>0</v>
      </c>
      <c r="BP476" s="38">
        <f t="shared" si="769"/>
        <v>0</v>
      </c>
      <c r="BQ476" s="38">
        <f t="shared" si="769"/>
        <v>0</v>
      </c>
      <c r="BR476" s="38">
        <f t="shared" si="769"/>
        <v>0</v>
      </c>
      <c r="BS476" s="38">
        <f t="shared" si="769"/>
        <v>0</v>
      </c>
      <c r="BT476" s="38">
        <f t="shared" si="769"/>
        <v>0</v>
      </c>
      <c r="BU476" s="38">
        <f t="shared" si="769"/>
        <v>0</v>
      </c>
      <c r="BV476" s="38">
        <f t="shared" si="769"/>
        <v>0</v>
      </c>
      <c r="BW476" s="38">
        <f t="shared" si="769"/>
        <v>0</v>
      </c>
      <c r="BX476" s="38">
        <f t="shared" si="769"/>
        <v>0</v>
      </c>
      <c r="BY476" s="38">
        <f t="shared" si="769"/>
        <v>0</v>
      </c>
      <c r="BZ476" s="38">
        <f t="shared" si="769"/>
        <v>0</v>
      </c>
      <c r="CA476" s="38">
        <f t="shared" si="769"/>
        <v>0</v>
      </c>
      <c r="CB476" s="38">
        <f t="shared" si="769"/>
        <v>0</v>
      </c>
      <c r="CC476" s="38">
        <f t="shared" si="769"/>
        <v>0</v>
      </c>
      <c r="CD476" s="38">
        <f t="shared" si="769"/>
        <v>0</v>
      </c>
      <c r="CE476" s="38">
        <f t="shared" si="769"/>
        <v>0</v>
      </c>
      <c r="CF476" s="38">
        <f t="shared" si="769"/>
        <v>0</v>
      </c>
      <c r="CG476" s="38">
        <f t="shared" si="769"/>
        <v>0</v>
      </c>
      <c r="CH476" s="38">
        <f t="shared" si="769"/>
        <v>0</v>
      </c>
      <c r="CI476" s="38">
        <f t="shared" si="769"/>
        <v>0</v>
      </c>
      <c r="CJ476" s="38">
        <f t="shared" si="769"/>
        <v>0</v>
      </c>
      <c r="CK476" s="38">
        <f t="shared" si="769"/>
        <v>0</v>
      </c>
      <c r="CL476" s="38">
        <f t="shared" si="769"/>
        <v>0</v>
      </c>
      <c r="CM476" s="38">
        <f t="shared" si="769"/>
        <v>0</v>
      </c>
      <c r="CN476" s="38">
        <f t="shared" si="769"/>
        <v>0</v>
      </c>
      <c r="CO476" s="38">
        <f t="shared" si="769"/>
        <v>0</v>
      </c>
      <c r="CP476" s="38">
        <f t="shared" si="769"/>
        <v>0</v>
      </c>
      <c r="CQ476" s="38">
        <f t="shared" si="769"/>
        <v>0</v>
      </c>
      <c r="CR476" s="38">
        <f t="shared" si="769"/>
        <v>0</v>
      </c>
      <c r="CS476" s="38">
        <f t="shared" si="769"/>
        <v>0</v>
      </c>
      <c r="CT476" s="38">
        <f t="shared" si="769"/>
        <v>0</v>
      </c>
      <c r="CU476" s="17">
        <f t="shared" si="765"/>
        <v>114</v>
      </c>
      <c r="CV476" s="25">
        <f t="shared" si="766"/>
        <v>0</v>
      </c>
    </row>
    <row r="477" spans="1:100" x14ac:dyDescent="0.2">
      <c r="A477" s="2">
        <v>45862</v>
      </c>
      <c r="B477" s="3" t="s">
        <v>841</v>
      </c>
      <c r="C477" s="4" t="s">
        <v>885</v>
      </c>
      <c r="D477" s="5" t="s">
        <v>133</v>
      </c>
      <c r="E477" s="6" t="s">
        <v>266</v>
      </c>
      <c r="F477" s="7"/>
      <c r="G477" s="8"/>
      <c r="H477" s="9"/>
      <c r="I477" s="10"/>
      <c r="J477" s="11" t="s">
        <v>342</v>
      </c>
      <c r="K477" s="12">
        <f>M477/L477</f>
        <v>7.1428571428571432</v>
      </c>
      <c r="L477" s="13">
        <v>70</v>
      </c>
      <c r="M477" s="14">
        <v>500</v>
      </c>
      <c r="N477" s="15"/>
      <c r="O477" s="16" t="s">
        <v>137</v>
      </c>
      <c r="P477" s="17"/>
      <c r="Q477" s="18"/>
      <c r="R477" s="17">
        <f>M477+P477-Q477</f>
        <v>500</v>
      </c>
      <c r="S477" s="19"/>
      <c r="T477" s="19"/>
      <c r="U477" s="19"/>
      <c r="V477" s="19"/>
      <c r="W477" s="17"/>
      <c r="X477" s="20"/>
      <c r="Y477" s="19"/>
      <c r="Z477" s="19"/>
      <c r="AA477" s="19"/>
      <c r="AB477" s="19"/>
      <c r="AC477" s="19"/>
      <c r="AD477" s="19"/>
      <c r="AE477" s="5"/>
      <c r="AF477" s="19"/>
      <c r="AG477" s="5"/>
      <c r="AH477" s="17"/>
      <c r="AI477" s="19"/>
      <c r="AJ477" s="19"/>
      <c r="AK477" s="19"/>
      <c r="AL477" s="19"/>
      <c r="AM477" s="17"/>
      <c r="AN477" s="19"/>
      <c r="AO477" s="19"/>
      <c r="AP477" s="19"/>
      <c r="AQ477" s="19"/>
      <c r="AR477" s="19"/>
      <c r="AS477" s="21"/>
      <c r="AT477" s="5"/>
      <c r="AU477" s="19"/>
      <c r="AV477" s="5"/>
      <c r="AW477" s="22"/>
      <c r="AX477" s="19"/>
      <c r="AY477" s="5"/>
      <c r="AZ477" s="19"/>
      <c r="BA477" s="5"/>
      <c r="BB477" s="5"/>
      <c r="BC477" s="19"/>
      <c r="BD477" s="19"/>
      <c r="BE477" s="19"/>
      <c r="BF477" s="19"/>
      <c r="BG477" s="19"/>
      <c r="BH477" s="19"/>
      <c r="BI477" s="19"/>
      <c r="BJ477" s="19"/>
      <c r="BK477" s="13"/>
      <c r="BL477" s="5"/>
      <c r="BM477" s="5"/>
      <c r="BN477" s="19"/>
      <c r="BO477" s="17"/>
      <c r="BP477" s="19"/>
      <c r="BQ477" s="17"/>
      <c r="BR477" s="19"/>
      <c r="BS477" s="13"/>
      <c r="BT477" s="5"/>
      <c r="BU477" s="23"/>
      <c r="BV477" s="23"/>
      <c r="BW477" s="24"/>
      <c r="BX477" s="5"/>
      <c r="BY477" s="5"/>
      <c r="BZ477" s="5"/>
      <c r="CA477" s="24"/>
      <c r="CB477" s="24"/>
      <c r="CC477" s="24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>
        <f t="shared" si="765"/>
        <v>500</v>
      </c>
      <c r="CV477" s="25">
        <f t="shared" si="766"/>
        <v>0</v>
      </c>
    </row>
    <row r="478" spans="1:100" x14ac:dyDescent="0.2">
      <c r="A478" s="2"/>
      <c r="B478" s="3"/>
      <c r="C478" s="4"/>
      <c r="D478" s="5"/>
      <c r="E478" s="6"/>
      <c r="F478" s="7"/>
      <c r="G478" s="8"/>
      <c r="H478" s="9"/>
      <c r="I478" s="10"/>
      <c r="J478" s="11" t="s">
        <v>337</v>
      </c>
      <c r="K478" s="12">
        <f>M478/L478</f>
        <v>10.78</v>
      </c>
      <c r="L478" s="13">
        <v>50</v>
      </c>
      <c r="M478" s="14">
        <v>539</v>
      </c>
      <c r="N478" s="15"/>
      <c r="O478" s="16" t="s">
        <v>137</v>
      </c>
      <c r="P478" s="17"/>
      <c r="Q478" s="18"/>
      <c r="R478" s="17">
        <f t="shared" ref="R478" si="770">M478+P478-Q478</f>
        <v>539</v>
      </c>
      <c r="S478" s="19"/>
      <c r="T478" s="19"/>
      <c r="U478" s="19"/>
      <c r="V478" s="19"/>
      <c r="W478" s="17"/>
      <c r="X478" s="20"/>
      <c r="Y478" s="19"/>
      <c r="Z478" s="19"/>
      <c r="AA478" s="19"/>
      <c r="AB478" s="19"/>
      <c r="AC478" s="19"/>
      <c r="AD478" s="19"/>
      <c r="AE478" s="5"/>
      <c r="AF478" s="19"/>
      <c r="AG478" s="5"/>
      <c r="AH478" s="17"/>
      <c r="AI478" s="19"/>
      <c r="AJ478" s="19"/>
      <c r="AK478" s="19"/>
      <c r="AL478" s="19"/>
      <c r="AM478" s="17"/>
      <c r="AN478" s="19"/>
      <c r="AO478" s="19"/>
      <c r="AP478" s="19"/>
      <c r="AQ478" s="19"/>
      <c r="AR478" s="19"/>
      <c r="AS478" s="21"/>
      <c r="AT478" s="5"/>
      <c r="AU478" s="19"/>
      <c r="AV478" s="5"/>
      <c r="AW478" s="22"/>
      <c r="AX478" s="19"/>
      <c r="AY478" s="5"/>
      <c r="AZ478" s="19"/>
      <c r="BA478" s="5"/>
      <c r="BB478" s="5"/>
      <c r="BC478" s="19"/>
      <c r="BD478" s="19"/>
      <c r="BE478" s="19"/>
      <c r="BF478" s="19"/>
      <c r="BG478" s="19"/>
      <c r="BH478" s="19"/>
      <c r="BI478" s="19"/>
      <c r="BJ478" s="19"/>
      <c r="BK478" s="13"/>
      <c r="BL478" s="5"/>
      <c r="BM478" s="5"/>
      <c r="BN478" s="19"/>
      <c r="BO478" s="17"/>
      <c r="BP478" s="19"/>
      <c r="BQ478" s="17"/>
      <c r="BR478" s="19"/>
      <c r="BS478" s="13"/>
      <c r="BT478" s="5"/>
      <c r="BU478" s="23"/>
      <c r="BV478" s="23"/>
      <c r="BW478" s="24"/>
      <c r="BX478" s="5"/>
      <c r="BY478" s="5"/>
      <c r="BZ478" s="5"/>
      <c r="CA478" s="24"/>
      <c r="CB478" s="24"/>
      <c r="CC478" s="24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>
        <f t="shared" si="765"/>
        <v>539</v>
      </c>
      <c r="CV478" s="25">
        <f t="shared" si="766"/>
        <v>0</v>
      </c>
    </row>
    <row r="479" spans="1:100" x14ac:dyDescent="0.2">
      <c r="A479" s="27"/>
      <c r="B479" s="28"/>
      <c r="C479" s="29"/>
      <c r="D479" s="30"/>
      <c r="E479" s="31"/>
      <c r="F479" s="32"/>
      <c r="G479" s="33"/>
      <c r="H479" s="34"/>
      <c r="I479" s="34"/>
      <c r="J479" s="35"/>
      <c r="K479" s="36"/>
      <c r="L479" s="37"/>
      <c r="M479" s="38">
        <f>SUM(M477:M478)</f>
        <v>1039</v>
      </c>
      <c r="N479" s="38"/>
      <c r="O479" s="39" t="s">
        <v>844</v>
      </c>
      <c r="P479" s="38"/>
      <c r="Q479" s="38"/>
      <c r="R479" s="38">
        <f>SUM(R477:R478)</f>
        <v>1039</v>
      </c>
      <c r="S479" s="38">
        <f t="shared" ref="S479:AD479" si="771">SUM(S477:S477)</f>
        <v>0</v>
      </c>
      <c r="T479" s="38">
        <f t="shared" si="771"/>
        <v>0</v>
      </c>
      <c r="U479" s="38">
        <f t="shared" si="771"/>
        <v>0</v>
      </c>
      <c r="V479" s="38">
        <f t="shared" si="771"/>
        <v>0</v>
      </c>
      <c r="W479" s="38">
        <f t="shared" si="771"/>
        <v>0</v>
      </c>
      <c r="X479" s="38">
        <f t="shared" si="771"/>
        <v>0</v>
      </c>
      <c r="Y479" s="38">
        <f t="shared" si="771"/>
        <v>0</v>
      </c>
      <c r="Z479" s="38">
        <f t="shared" si="771"/>
        <v>0</v>
      </c>
      <c r="AA479" s="38">
        <f t="shared" si="771"/>
        <v>0</v>
      </c>
      <c r="AB479" s="38">
        <f t="shared" si="771"/>
        <v>0</v>
      </c>
      <c r="AC479" s="38">
        <f t="shared" si="771"/>
        <v>0</v>
      </c>
      <c r="AD479" s="38">
        <f t="shared" si="771"/>
        <v>0</v>
      </c>
      <c r="AE479" s="30"/>
      <c r="AF479" s="38">
        <f>SUM(AF477:AF477)</f>
        <v>0</v>
      </c>
      <c r="AG479" s="30"/>
      <c r="AH479" s="38">
        <f t="shared" ref="AH479:AZ479" si="772">SUM(AH477:AH477)</f>
        <v>0</v>
      </c>
      <c r="AI479" s="38">
        <f t="shared" si="772"/>
        <v>0</v>
      </c>
      <c r="AJ479" s="38">
        <f t="shared" si="772"/>
        <v>0</v>
      </c>
      <c r="AK479" s="38">
        <f t="shared" si="772"/>
        <v>0</v>
      </c>
      <c r="AL479" s="38">
        <f t="shared" si="772"/>
        <v>0</v>
      </c>
      <c r="AM479" s="38">
        <f t="shared" si="772"/>
        <v>0</v>
      </c>
      <c r="AN479" s="38">
        <f t="shared" si="772"/>
        <v>0</v>
      </c>
      <c r="AO479" s="38">
        <f t="shared" si="772"/>
        <v>0</v>
      </c>
      <c r="AP479" s="38">
        <f t="shared" si="772"/>
        <v>0</v>
      </c>
      <c r="AQ479" s="38">
        <f t="shared" si="772"/>
        <v>0</v>
      </c>
      <c r="AR479" s="38">
        <f t="shared" si="772"/>
        <v>0</v>
      </c>
      <c r="AS479" s="38">
        <f t="shared" si="772"/>
        <v>0</v>
      </c>
      <c r="AT479" s="38">
        <f t="shared" si="772"/>
        <v>0</v>
      </c>
      <c r="AU479" s="38">
        <f t="shared" si="772"/>
        <v>0</v>
      </c>
      <c r="AV479" s="38">
        <f t="shared" si="772"/>
        <v>0</v>
      </c>
      <c r="AW479" s="38">
        <f t="shared" si="772"/>
        <v>0</v>
      </c>
      <c r="AX479" s="38">
        <f t="shared" si="772"/>
        <v>0</v>
      </c>
      <c r="AY479" s="38">
        <f t="shared" si="772"/>
        <v>0</v>
      </c>
      <c r="AZ479" s="38">
        <f t="shared" si="772"/>
        <v>0</v>
      </c>
      <c r="BA479" s="30"/>
      <c r="BB479" s="38">
        <f t="shared" ref="BB479:CT479" si="773">SUM(BB477:BB477)</f>
        <v>0</v>
      </c>
      <c r="BC479" s="38">
        <f t="shared" si="773"/>
        <v>0</v>
      </c>
      <c r="BD479" s="38">
        <f t="shared" si="773"/>
        <v>0</v>
      </c>
      <c r="BE479" s="38">
        <f t="shared" si="773"/>
        <v>0</v>
      </c>
      <c r="BF479" s="38">
        <f t="shared" si="773"/>
        <v>0</v>
      </c>
      <c r="BG479" s="38">
        <f t="shared" si="773"/>
        <v>0</v>
      </c>
      <c r="BH479" s="38">
        <f t="shared" si="773"/>
        <v>0</v>
      </c>
      <c r="BI479" s="38">
        <f t="shared" si="773"/>
        <v>0</v>
      </c>
      <c r="BJ479" s="38">
        <f t="shared" si="773"/>
        <v>0</v>
      </c>
      <c r="BK479" s="38">
        <f t="shared" si="773"/>
        <v>0</v>
      </c>
      <c r="BL479" s="38">
        <f t="shared" si="773"/>
        <v>0</v>
      </c>
      <c r="BM479" s="38">
        <f t="shared" si="773"/>
        <v>0</v>
      </c>
      <c r="BN479" s="38">
        <f t="shared" si="773"/>
        <v>0</v>
      </c>
      <c r="BO479" s="38">
        <f t="shared" si="773"/>
        <v>0</v>
      </c>
      <c r="BP479" s="38">
        <f t="shared" si="773"/>
        <v>0</v>
      </c>
      <c r="BQ479" s="38">
        <f t="shared" si="773"/>
        <v>0</v>
      </c>
      <c r="BR479" s="38">
        <f t="shared" si="773"/>
        <v>0</v>
      </c>
      <c r="BS479" s="38">
        <f t="shared" si="773"/>
        <v>0</v>
      </c>
      <c r="BT479" s="38">
        <f t="shared" si="773"/>
        <v>0</v>
      </c>
      <c r="BU479" s="38">
        <f t="shared" si="773"/>
        <v>0</v>
      </c>
      <c r="BV479" s="38">
        <f t="shared" si="773"/>
        <v>0</v>
      </c>
      <c r="BW479" s="38">
        <f t="shared" si="773"/>
        <v>0</v>
      </c>
      <c r="BX479" s="38">
        <f t="shared" si="773"/>
        <v>0</v>
      </c>
      <c r="BY479" s="38">
        <f t="shared" si="773"/>
        <v>0</v>
      </c>
      <c r="BZ479" s="38">
        <f t="shared" si="773"/>
        <v>0</v>
      </c>
      <c r="CA479" s="38">
        <f t="shared" si="773"/>
        <v>0</v>
      </c>
      <c r="CB479" s="38">
        <f t="shared" si="773"/>
        <v>0</v>
      </c>
      <c r="CC479" s="38">
        <f t="shared" si="773"/>
        <v>0</v>
      </c>
      <c r="CD479" s="38">
        <f t="shared" si="773"/>
        <v>0</v>
      </c>
      <c r="CE479" s="38">
        <f t="shared" si="773"/>
        <v>0</v>
      </c>
      <c r="CF479" s="38">
        <f t="shared" si="773"/>
        <v>0</v>
      </c>
      <c r="CG479" s="38">
        <f t="shared" si="773"/>
        <v>0</v>
      </c>
      <c r="CH479" s="38">
        <f t="shared" si="773"/>
        <v>0</v>
      </c>
      <c r="CI479" s="38">
        <f t="shared" si="773"/>
        <v>0</v>
      </c>
      <c r="CJ479" s="38">
        <f t="shared" si="773"/>
        <v>0</v>
      </c>
      <c r="CK479" s="38">
        <f t="shared" si="773"/>
        <v>0</v>
      </c>
      <c r="CL479" s="38">
        <f t="shared" si="773"/>
        <v>0</v>
      </c>
      <c r="CM479" s="38">
        <f t="shared" si="773"/>
        <v>0</v>
      </c>
      <c r="CN479" s="38">
        <f t="shared" si="773"/>
        <v>0</v>
      </c>
      <c r="CO479" s="38">
        <f t="shared" si="773"/>
        <v>0</v>
      </c>
      <c r="CP479" s="38">
        <f t="shared" si="773"/>
        <v>0</v>
      </c>
      <c r="CQ479" s="38">
        <f t="shared" si="773"/>
        <v>0</v>
      </c>
      <c r="CR479" s="38">
        <f t="shared" si="773"/>
        <v>0</v>
      </c>
      <c r="CS479" s="38">
        <f t="shared" si="773"/>
        <v>0</v>
      </c>
      <c r="CT479" s="38">
        <f t="shared" si="773"/>
        <v>0</v>
      </c>
      <c r="CU479" s="17">
        <f t="shared" si="765"/>
        <v>1039</v>
      </c>
      <c r="CV479" s="25">
        <f t="shared" si="766"/>
        <v>0</v>
      </c>
    </row>
    <row r="480" spans="1:100" x14ac:dyDescent="0.2">
      <c r="A480" s="2">
        <v>45893</v>
      </c>
      <c r="B480" s="3" t="s">
        <v>841</v>
      </c>
      <c r="C480" s="4" t="s">
        <v>884</v>
      </c>
      <c r="D480" s="5" t="s">
        <v>133</v>
      </c>
      <c r="E480" s="6" t="s">
        <v>266</v>
      </c>
      <c r="F480" s="7"/>
      <c r="G480" s="8"/>
      <c r="H480" s="9"/>
      <c r="I480" s="10"/>
      <c r="J480" s="11" t="s">
        <v>663</v>
      </c>
      <c r="K480" s="12">
        <v>2</v>
      </c>
      <c r="L480" s="13">
        <v>100</v>
      </c>
      <c r="M480" s="14">
        <f t="shared" ref="M480:M482" si="774">L480*K480</f>
        <v>200</v>
      </c>
      <c r="N480" s="15"/>
      <c r="O480" s="16" t="s">
        <v>137</v>
      </c>
      <c r="P480" s="17"/>
      <c r="Q480" s="18"/>
      <c r="R480" s="17">
        <f>M480+P480-Q480</f>
        <v>200</v>
      </c>
      <c r="S480" s="19"/>
      <c r="T480" s="19"/>
      <c r="U480" s="19"/>
      <c r="V480" s="19"/>
      <c r="W480" s="17"/>
      <c r="X480" s="20"/>
      <c r="Y480" s="19"/>
      <c r="Z480" s="19"/>
      <c r="AA480" s="19"/>
      <c r="AB480" s="19"/>
      <c r="AC480" s="19"/>
      <c r="AD480" s="19"/>
      <c r="AE480" s="5"/>
      <c r="AF480" s="19"/>
      <c r="AG480" s="5"/>
      <c r="AH480" s="17"/>
      <c r="AI480" s="19"/>
      <c r="AJ480" s="19"/>
      <c r="AK480" s="19"/>
      <c r="AL480" s="19"/>
      <c r="AM480" s="17"/>
      <c r="AN480" s="19"/>
      <c r="AO480" s="19"/>
      <c r="AP480" s="19"/>
      <c r="AQ480" s="19"/>
      <c r="AR480" s="19"/>
      <c r="AS480" s="21"/>
      <c r="AT480" s="5"/>
      <c r="AU480" s="19"/>
      <c r="AV480" s="5"/>
      <c r="AW480" s="22"/>
      <c r="AX480" s="19"/>
      <c r="AY480" s="5"/>
      <c r="AZ480" s="19"/>
      <c r="BA480" s="5"/>
      <c r="BB480" s="5"/>
      <c r="BC480" s="19"/>
      <c r="BD480" s="19"/>
      <c r="BE480" s="19"/>
      <c r="BF480" s="19"/>
      <c r="BG480" s="19"/>
      <c r="BH480" s="19"/>
      <c r="BI480" s="19"/>
      <c r="BJ480" s="19"/>
      <c r="BK480" s="13"/>
      <c r="BL480" s="5"/>
      <c r="BM480" s="5"/>
      <c r="BN480" s="19"/>
      <c r="BO480" s="17"/>
      <c r="BP480" s="19"/>
      <c r="BQ480" s="17"/>
      <c r="BR480" s="19"/>
      <c r="BS480" s="13"/>
      <c r="BT480" s="5"/>
      <c r="BU480" s="23"/>
      <c r="BV480" s="23"/>
      <c r="BW480" s="24"/>
      <c r="BX480" s="5"/>
      <c r="BY480" s="5"/>
      <c r="BZ480" s="5"/>
      <c r="CA480" s="24"/>
      <c r="CB480" s="24"/>
      <c r="CC480" s="24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>
        <f t="shared" si="765"/>
        <v>200</v>
      </c>
      <c r="CV480" s="25">
        <f t="shared" si="766"/>
        <v>0</v>
      </c>
    </row>
    <row r="481" spans="1:100" x14ac:dyDescent="0.2">
      <c r="A481" s="2"/>
      <c r="B481" s="3"/>
      <c r="C481" s="4"/>
      <c r="D481" s="5"/>
      <c r="E481" s="6"/>
      <c r="F481" s="7"/>
      <c r="G481" s="8"/>
      <c r="H481" s="9"/>
      <c r="I481" s="10"/>
      <c r="J481" s="11" t="s">
        <v>664</v>
      </c>
      <c r="K481" s="12">
        <v>1</v>
      </c>
      <c r="L481" s="13">
        <v>150</v>
      </c>
      <c r="M481" s="14">
        <f t="shared" si="774"/>
        <v>150</v>
      </c>
      <c r="N481" s="15"/>
      <c r="O481" s="16" t="s">
        <v>137</v>
      </c>
      <c r="P481" s="17"/>
      <c r="Q481" s="18"/>
      <c r="R481" s="17">
        <f t="shared" ref="R481:R482" si="775">M481+P481-Q481</f>
        <v>150</v>
      </c>
      <c r="S481" s="19"/>
      <c r="T481" s="19"/>
      <c r="U481" s="19"/>
      <c r="V481" s="19"/>
      <c r="W481" s="17"/>
      <c r="X481" s="20"/>
      <c r="Y481" s="19"/>
      <c r="Z481" s="19"/>
      <c r="AA481" s="19"/>
      <c r="AB481" s="19"/>
      <c r="AC481" s="19"/>
      <c r="AD481" s="19"/>
      <c r="AE481" s="5"/>
      <c r="AF481" s="19"/>
      <c r="AG481" s="5"/>
      <c r="AH481" s="17"/>
      <c r="AI481" s="19"/>
      <c r="AJ481" s="19"/>
      <c r="AK481" s="19"/>
      <c r="AL481" s="19"/>
      <c r="AM481" s="17"/>
      <c r="AN481" s="19"/>
      <c r="AO481" s="19"/>
      <c r="AP481" s="19"/>
      <c r="AQ481" s="19"/>
      <c r="AR481" s="19"/>
      <c r="AS481" s="21"/>
      <c r="AT481" s="5"/>
      <c r="AU481" s="19"/>
      <c r="AV481" s="5"/>
      <c r="AW481" s="22"/>
      <c r="AX481" s="19"/>
      <c r="AY481" s="5"/>
      <c r="AZ481" s="19"/>
      <c r="BA481" s="5"/>
      <c r="BB481" s="5"/>
      <c r="BC481" s="19"/>
      <c r="BD481" s="19"/>
      <c r="BE481" s="19"/>
      <c r="BF481" s="19"/>
      <c r="BG481" s="19"/>
      <c r="BH481" s="19"/>
      <c r="BI481" s="19"/>
      <c r="BJ481" s="19"/>
      <c r="BK481" s="13"/>
      <c r="BL481" s="5"/>
      <c r="BM481" s="5"/>
      <c r="BN481" s="19"/>
      <c r="BO481" s="17"/>
      <c r="BP481" s="19"/>
      <c r="BQ481" s="17"/>
      <c r="BR481" s="19"/>
      <c r="BS481" s="13"/>
      <c r="BT481" s="5"/>
      <c r="BU481" s="23"/>
      <c r="BV481" s="23"/>
      <c r="BW481" s="24"/>
      <c r="BX481" s="5"/>
      <c r="BY481" s="5"/>
      <c r="BZ481" s="5"/>
      <c r="CA481" s="24"/>
      <c r="CB481" s="24"/>
      <c r="CC481" s="24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>
        <f t="shared" si="765"/>
        <v>150</v>
      </c>
      <c r="CV481" s="25">
        <f t="shared" si="766"/>
        <v>0</v>
      </c>
    </row>
    <row r="482" spans="1:100" x14ac:dyDescent="0.2">
      <c r="A482" s="2"/>
      <c r="B482" s="3"/>
      <c r="C482" s="4"/>
      <c r="D482" s="5"/>
      <c r="E482" s="6"/>
      <c r="F482" s="7"/>
      <c r="G482" s="8"/>
      <c r="H482" s="9"/>
      <c r="I482" s="10"/>
      <c r="J482" s="11" t="s">
        <v>843</v>
      </c>
      <c r="K482" s="12">
        <v>1</v>
      </c>
      <c r="L482" s="13">
        <v>90</v>
      </c>
      <c r="M482" s="14">
        <f t="shared" si="774"/>
        <v>90</v>
      </c>
      <c r="N482" s="15"/>
      <c r="O482" s="16" t="s">
        <v>137</v>
      </c>
      <c r="P482" s="17"/>
      <c r="Q482" s="18"/>
      <c r="R482" s="17">
        <f t="shared" si="775"/>
        <v>90</v>
      </c>
      <c r="S482" s="19"/>
      <c r="T482" s="19"/>
      <c r="U482" s="19"/>
      <c r="V482" s="19"/>
      <c r="W482" s="17"/>
      <c r="X482" s="20"/>
      <c r="Y482" s="19"/>
      <c r="Z482" s="19"/>
      <c r="AA482" s="19"/>
      <c r="AB482" s="19"/>
      <c r="AC482" s="19"/>
      <c r="AD482" s="19"/>
      <c r="AE482" s="5"/>
      <c r="AF482" s="19"/>
      <c r="AG482" s="5"/>
      <c r="AH482" s="17"/>
      <c r="AI482" s="19"/>
      <c r="AJ482" s="19"/>
      <c r="AK482" s="19"/>
      <c r="AL482" s="19"/>
      <c r="AM482" s="17"/>
      <c r="AN482" s="19"/>
      <c r="AO482" s="19"/>
      <c r="AP482" s="19"/>
      <c r="AQ482" s="19"/>
      <c r="AR482" s="19"/>
      <c r="AS482" s="21"/>
      <c r="AT482" s="5"/>
      <c r="AU482" s="19"/>
      <c r="AV482" s="5"/>
      <c r="AW482" s="22"/>
      <c r="AX482" s="19"/>
      <c r="AY482" s="5"/>
      <c r="AZ482" s="19"/>
      <c r="BA482" s="5"/>
      <c r="BB482" s="5"/>
      <c r="BC482" s="19"/>
      <c r="BD482" s="19"/>
      <c r="BE482" s="19"/>
      <c r="BF482" s="19"/>
      <c r="BG482" s="19"/>
      <c r="BH482" s="19"/>
      <c r="BI482" s="19"/>
      <c r="BJ482" s="19"/>
      <c r="BK482" s="13"/>
      <c r="BL482" s="5"/>
      <c r="BM482" s="5"/>
      <c r="BN482" s="19"/>
      <c r="BO482" s="17"/>
      <c r="BP482" s="19"/>
      <c r="BQ482" s="17"/>
      <c r="BR482" s="19"/>
      <c r="BS482" s="13"/>
      <c r="BT482" s="5"/>
      <c r="BU482" s="23"/>
      <c r="BV482" s="23"/>
      <c r="BW482" s="24"/>
      <c r="BX482" s="5"/>
      <c r="BY482" s="5"/>
      <c r="BZ482" s="5"/>
      <c r="CA482" s="24"/>
      <c r="CB482" s="24"/>
      <c r="CC482" s="24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>
        <f t="shared" si="765"/>
        <v>90</v>
      </c>
      <c r="CV482" s="25">
        <f t="shared" si="766"/>
        <v>0</v>
      </c>
    </row>
    <row r="483" spans="1:100" s="205" customFormat="1" x14ac:dyDescent="0.2">
      <c r="A483" s="192"/>
      <c r="B483" s="193"/>
      <c r="C483" s="194"/>
      <c r="D483" s="195"/>
      <c r="E483" s="196"/>
      <c r="F483" s="197"/>
      <c r="G483" s="198"/>
      <c r="H483" s="199"/>
      <c r="I483" s="199"/>
      <c r="J483" s="200"/>
      <c r="K483" s="201"/>
      <c r="L483" s="202"/>
      <c r="M483" s="203">
        <f>SUM(M480:M482)</f>
        <v>440</v>
      </c>
      <c r="N483" s="203">
        <f>M483+M479+M476</f>
        <v>1593</v>
      </c>
      <c r="O483" s="204" t="s">
        <v>137</v>
      </c>
      <c r="P483" s="203"/>
      <c r="Q483" s="203"/>
      <c r="R483" s="203">
        <f>SUM(R480:R482)</f>
        <v>440</v>
      </c>
      <c r="S483" s="203">
        <f t="shared" ref="S483:AD483" si="776">SUM(S480:S480)</f>
        <v>0</v>
      </c>
      <c r="T483" s="203">
        <f t="shared" si="776"/>
        <v>0</v>
      </c>
      <c r="U483" s="203">
        <f t="shared" si="776"/>
        <v>0</v>
      </c>
      <c r="V483" s="203">
        <f t="shared" si="776"/>
        <v>0</v>
      </c>
      <c r="W483" s="203">
        <f t="shared" si="776"/>
        <v>0</v>
      </c>
      <c r="X483" s="203">
        <f t="shared" si="776"/>
        <v>0</v>
      </c>
      <c r="Y483" s="203">
        <f t="shared" si="776"/>
        <v>0</v>
      </c>
      <c r="Z483" s="203">
        <f t="shared" si="776"/>
        <v>0</v>
      </c>
      <c r="AA483" s="203">
        <f t="shared" si="776"/>
        <v>0</v>
      </c>
      <c r="AB483" s="203">
        <f t="shared" si="776"/>
        <v>0</v>
      </c>
      <c r="AC483" s="203">
        <f t="shared" si="776"/>
        <v>0</v>
      </c>
      <c r="AD483" s="203">
        <f t="shared" si="776"/>
        <v>0</v>
      </c>
      <c r="AE483" s="195"/>
      <c r="AF483" s="203">
        <f>SUM(AF480:AF480)</f>
        <v>0</v>
      </c>
      <c r="AG483" s="195"/>
      <c r="AH483" s="203">
        <f t="shared" ref="AH483:AZ483" si="777">SUM(AH480:AH480)</f>
        <v>0</v>
      </c>
      <c r="AI483" s="203">
        <f t="shared" si="777"/>
        <v>0</v>
      </c>
      <c r="AJ483" s="203">
        <f t="shared" si="777"/>
        <v>0</v>
      </c>
      <c r="AK483" s="203">
        <f t="shared" si="777"/>
        <v>0</v>
      </c>
      <c r="AL483" s="203">
        <f t="shared" si="777"/>
        <v>0</v>
      </c>
      <c r="AM483" s="203">
        <f t="shared" si="777"/>
        <v>0</v>
      </c>
      <c r="AN483" s="203">
        <f t="shared" si="777"/>
        <v>0</v>
      </c>
      <c r="AO483" s="203">
        <f t="shared" si="777"/>
        <v>0</v>
      </c>
      <c r="AP483" s="203">
        <f t="shared" si="777"/>
        <v>0</v>
      </c>
      <c r="AQ483" s="203">
        <f t="shared" si="777"/>
        <v>0</v>
      </c>
      <c r="AR483" s="203">
        <f t="shared" si="777"/>
        <v>0</v>
      </c>
      <c r="AS483" s="203">
        <f t="shared" si="777"/>
        <v>0</v>
      </c>
      <c r="AT483" s="203">
        <f t="shared" si="777"/>
        <v>0</v>
      </c>
      <c r="AU483" s="203">
        <f t="shared" si="777"/>
        <v>0</v>
      </c>
      <c r="AV483" s="203">
        <f t="shared" si="777"/>
        <v>0</v>
      </c>
      <c r="AW483" s="203">
        <f t="shared" si="777"/>
        <v>0</v>
      </c>
      <c r="AX483" s="203">
        <f t="shared" si="777"/>
        <v>0</v>
      </c>
      <c r="AY483" s="203">
        <f t="shared" si="777"/>
        <v>0</v>
      </c>
      <c r="AZ483" s="203">
        <f t="shared" si="777"/>
        <v>0</v>
      </c>
      <c r="BA483" s="195"/>
      <c r="BB483" s="203">
        <f t="shared" ref="BB483:CT483" si="778">SUM(BB480:BB480)</f>
        <v>0</v>
      </c>
      <c r="BC483" s="203">
        <f t="shared" si="778"/>
        <v>0</v>
      </c>
      <c r="BD483" s="203">
        <f t="shared" si="778"/>
        <v>0</v>
      </c>
      <c r="BE483" s="203">
        <f t="shared" si="778"/>
        <v>0</v>
      </c>
      <c r="BF483" s="203">
        <f t="shared" si="778"/>
        <v>0</v>
      </c>
      <c r="BG483" s="203">
        <f t="shared" si="778"/>
        <v>0</v>
      </c>
      <c r="BH483" s="203">
        <f t="shared" si="778"/>
        <v>0</v>
      </c>
      <c r="BI483" s="203">
        <f t="shared" si="778"/>
        <v>0</v>
      </c>
      <c r="BJ483" s="203">
        <f t="shared" si="778"/>
        <v>0</v>
      </c>
      <c r="BK483" s="203">
        <f t="shared" si="778"/>
        <v>0</v>
      </c>
      <c r="BL483" s="203">
        <f t="shared" si="778"/>
        <v>0</v>
      </c>
      <c r="BM483" s="203">
        <f t="shared" si="778"/>
        <v>0</v>
      </c>
      <c r="BN483" s="203">
        <f t="shared" si="778"/>
        <v>0</v>
      </c>
      <c r="BO483" s="203">
        <f t="shared" si="778"/>
        <v>0</v>
      </c>
      <c r="BP483" s="203">
        <f t="shared" si="778"/>
        <v>0</v>
      </c>
      <c r="BQ483" s="203">
        <f t="shared" si="778"/>
        <v>0</v>
      </c>
      <c r="BR483" s="203">
        <f t="shared" si="778"/>
        <v>0</v>
      </c>
      <c r="BS483" s="203">
        <f t="shared" si="778"/>
        <v>0</v>
      </c>
      <c r="BT483" s="203">
        <f t="shared" si="778"/>
        <v>0</v>
      </c>
      <c r="BU483" s="203">
        <f t="shared" si="778"/>
        <v>0</v>
      </c>
      <c r="BV483" s="203">
        <f t="shared" si="778"/>
        <v>0</v>
      </c>
      <c r="BW483" s="203">
        <f t="shared" si="778"/>
        <v>0</v>
      </c>
      <c r="BX483" s="203">
        <f t="shared" si="778"/>
        <v>0</v>
      </c>
      <c r="BY483" s="203">
        <f t="shared" si="778"/>
        <v>0</v>
      </c>
      <c r="BZ483" s="203">
        <f t="shared" si="778"/>
        <v>0</v>
      </c>
      <c r="CA483" s="203">
        <f t="shared" si="778"/>
        <v>0</v>
      </c>
      <c r="CB483" s="203">
        <f t="shared" si="778"/>
        <v>0</v>
      </c>
      <c r="CC483" s="203">
        <f t="shared" si="778"/>
        <v>0</v>
      </c>
      <c r="CD483" s="203">
        <f t="shared" si="778"/>
        <v>0</v>
      </c>
      <c r="CE483" s="203">
        <f t="shared" si="778"/>
        <v>0</v>
      </c>
      <c r="CF483" s="203">
        <f t="shared" si="778"/>
        <v>0</v>
      </c>
      <c r="CG483" s="203">
        <f t="shared" si="778"/>
        <v>0</v>
      </c>
      <c r="CH483" s="203">
        <f t="shared" si="778"/>
        <v>0</v>
      </c>
      <c r="CI483" s="203">
        <f t="shared" si="778"/>
        <v>0</v>
      </c>
      <c r="CJ483" s="203">
        <f t="shared" si="778"/>
        <v>0</v>
      </c>
      <c r="CK483" s="203">
        <f t="shared" si="778"/>
        <v>0</v>
      </c>
      <c r="CL483" s="203">
        <f t="shared" si="778"/>
        <v>0</v>
      </c>
      <c r="CM483" s="203">
        <f t="shared" si="778"/>
        <v>0</v>
      </c>
      <c r="CN483" s="203">
        <f t="shared" si="778"/>
        <v>0</v>
      </c>
      <c r="CO483" s="203">
        <f t="shared" si="778"/>
        <v>0</v>
      </c>
      <c r="CP483" s="203">
        <f t="shared" si="778"/>
        <v>0</v>
      </c>
      <c r="CQ483" s="203">
        <f t="shared" si="778"/>
        <v>0</v>
      </c>
      <c r="CR483" s="203">
        <f t="shared" si="778"/>
        <v>0</v>
      </c>
      <c r="CS483" s="203">
        <f t="shared" si="778"/>
        <v>0</v>
      </c>
      <c r="CT483" s="203">
        <f t="shared" si="778"/>
        <v>0</v>
      </c>
      <c r="CU483" s="17">
        <f t="shared" si="765"/>
        <v>440</v>
      </c>
      <c r="CV483" s="25">
        <f t="shared" si="766"/>
        <v>0</v>
      </c>
    </row>
    <row r="484" spans="1:100" x14ac:dyDescent="0.2">
      <c r="A484" s="2">
        <v>45895</v>
      </c>
      <c r="B484" s="3" t="s">
        <v>845</v>
      </c>
      <c r="C484" s="4" t="s">
        <v>899</v>
      </c>
      <c r="D484" s="5" t="s">
        <v>122</v>
      </c>
      <c r="E484" s="6" t="s">
        <v>846</v>
      </c>
      <c r="F484" s="7" t="s">
        <v>229</v>
      </c>
      <c r="G484" s="8" t="s">
        <v>847</v>
      </c>
      <c r="H484" s="9">
        <v>39960</v>
      </c>
      <c r="I484" s="10"/>
      <c r="J484" s="11" t="s">
        <v>848</v>
      </c>
      <c r="K484" s="12">
        <v>5</v>
      </c>
      <c r="L484" s="13">
        <v>150</v>
      </c>
      <c r="M484" s="14">
        <f t="shared" ref="M484" si="779">L484*K484</f>
        <v>750</v>
      </c>
      <c r="N484" s="15"/>
      <c r="O484" s="16" t="s">
        <v>111</v>
      </c>
      <c r="P484" s="17">
        <f>M484/1.12*0.01</f>
        <v>6.6964285714285712</v>
      </c>
      <c r="Q484" s="18">
        <f>M484/1.12*0.12</f>
        <v>80.357142857142847</v>
      </c>
      <c r="R484" s="17">
        <f>M484+P484-Q484</f>
        <v>676.33928571428567</v>
      </c>
      <c r="S484" s="19"/>
      <c r="T484" s="19"/>
      <c r="U484" s="19"/>
      <c r="V484" s="19"/>
      <c r="W484" s="17"/>
      <c r="X484" s="20"/>
      <c r="Y484" s="19"/>
      <c r="Z484" s="19"/>
      <c r="AA484" s="19"/>
      <c r="AB484" s="19"/>
      <c r="AC484" s="19"/>
      <c r="AD484" s="19"/>
      <c r="AE484" s="5"/>
      <c r="AF484" s="19"/>
      <c r="AG484" s="5"/>
      <c r="AH484" s="17"/>
      <c r="AI484" s="19"/>
      <c r="AJ484" s="19"/>
      <c r="AK484" s="19"/>
      <c r="AL484" s="19"/>
      <c r="AM484" s="17"/>
      <c r="AN484" s="19"/>
      <c r="AO484" s="19"/>
      <c r="AP484" s="19"/>
      <c r="AQ484" s="19"/>
      <c r="AR484" s="19"/>
      <c r="AS484" s="21"/>
      <c r="AT484" s="5"/>
      <c r="AU484" s="19"/>
      <c r="AV484" s="5"/>
      <c r="AW484" s="22"/>
      <c r="AX484" s="19"/>
      <c r="AY484" s="5"/>
      <c r="AZ484" s="19"/>
      <c r="BA484" s="5"/>
      <c r="BB484" s="5"/>
      <c r="BC484" s="19"/>
      <c r="BD484" s="19"/>
      <c r="BE484" s="19"/>
      <c r="BF484" s="19"/>
      <c r="BG484" s="19"/>
      <c r="BH484" s="19"/>
      <c r="BI484" s="19"/>
      <c r="BJ484" s="19"/>
      <c r="BK484" s="13"/>
      <c r="BL484" s="5"/>
      <c r="BM484" s="5"/>
      <c r="BN484" s="19"/>
      <c r="BO484" s="17"/>
      <c r="BP484" s="19"/>
      <c r="BQ484" s="17"/>
      <c r="BR484" s="19"/>
      <c r="BS484" s="13"/>
      <c r="BT484" s="5"/>
      <c r="BU484" s="23"/>
      <c r="BV484" s="23"/>
      <c r="BW484" s="24"/>
      <c r="BX484" s="5"/>
      <c r="BY484" s="5"/>
      <c r="BZ484" s="5"/>
      <c r="CA484" s="24"/>
      <c r="CB484" s="24"/>
      <c r="CC484" s="24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>
        <f t="shared" si="765"/>
        <v>750</v>
      </c>
      <c r="CV484" s="25">
        <f t="shared" si="766"/>
        <v>0</v>
      </c>
    </row>
    <row r="485" spans="1:100" x14ac:dyDescent="0.2">
      <c r="A485" s="27"/>
      <c r="B485" s="28"/>
      <c r="C485" s="29"/>
      <c r="D485" s="30"/>
      <c r="E485" s="31"/>
      <c r="F485" s="32"/>
      <c r="G485" s="33"/>
      <c r="H485" s="34"/>
      <c r="I485" s="34"/>
      <c r="J485" s="35"/>
      <c r="K485" s="36"/>
      <c r="L485" s="37"/>
      <c r="M485" s="38">
        <f>SUM(M484:M484)</f>
        <v>750</v>
      </c>
      <c r="N485" s="38"/>
      <c r="O485" s="39" t="s">
        <v>111</v>
      </c>
      <c r="P485" s="38">
        <f>SUM(P484:P484)</f>
        <v>6.6964285714285712</v>
      </c>
      <c r="Q485" s="38">
        <f>SUM(Q484:Q484)</f>
        <v>80.357142857142847</v>
      </c>
      <c r="R485" s="38">
        <f>SUM(R484:R484)</f>
        <v>676.33928571428567</v>
      </c>
      <c r="S485" s="38">
        <f t="shared" ref="S485:AD485" si="780">SUM(S484:S484)</f>
        <v>0</v>
      </c>
      <c r="T485" s="38">
        <f t="shared" si="780"/>
        <v>0</v>
      </c>
      <c r="U485" s="38">
        <f t="shared" si="780"/>
        <v>0</v>
      </c>
      <c r="V485" s="38">
        <f t="shared" si="780"/>
        <v>0</v>
      </c>
      <c r="W485" s="38">
        <f t="shared" si="780"/>
        <v>0</v>
      </c>
      <c r="X485" s="38">
        <f t="shared" si="780"/>
        <v>0</v>
      </c>
      <c r="Y485" s="38">
        <f t="shared" si="780"/>
        <v>0</v>
      </c>
      <c r="Z485" s="38">
        <f t="shared" si="780"/>
        <v>0</v>
      </c>
      <c r="AA485" s="38">
        <f t="shared" si="780"/>
        <v>0</v>
      </c>
      <c r="AB485" s="38">
        <f t="shared" si="780"/>
        <v>0</v>
      </c>
      <c r="AC485" s="38">
        <f t="shared" si="780"/>
        <v>0</v>
      </c>
      <c r="AD485" s="38">
        <f t="shared" si="780"/>
        <v>0</v>
      </c>
      <c r="AE485" s="30"/>
      <c r="AF485" s="38">
        <f>SUM(AF484:AF484)</f>
        <v>0</v>
      </c>
      <c r="AG485" s="30"/>
      <c r="AH485" s="38">
        <f t="shared" ref="AH485:AZ485" si="781">SUM(AH484:AH484)</f>
        <v>0</v>
      </c>
      <c r="AI485" s="38">
        <f t="shared" si="781"/>
        <v>0</v>
      </c>
      <c r="AJ485" s="38">
        <f t="shared" si="781"/>
        <v>0</v>
      </c>
      <c r="AK485" s="38">
        <f t="shared" si="781"/>
        <v>0</v>
      </c>
      <c r="AL485" s="38">
        <f t="shared" si="781"/>
        <v>0</v>
      </c>
      <c r="AM485" s="38">
        <f t="shared" si="781"/>
        <v>0</v>
      </c>
      <c r="AN485" s="38">
        <f t="shared" si="781"/>
        <v>0</v>
      </c>
      <c r="AO485" s="38">
        <f t="shared" si="781"/>
        <v>0</v>
      </c>
      <c r="AP485" s="38">
        <f t="shared" si="781"/>
        <v>0</v>
      </c>
      <c r="AQ485" s="38">
        <f t="shared" si="781"/>
        <v>0</v>
      </c>
      <c r="AR485" s="38">
        <f t="shared" si="781"/>
        <v>0</v>
      </c>
      <c r="AS485" s="38">
        <f t="shared" si="781"/>
        <v>0</v>
      </c>
      <c r="AT485" s="38">
        <f t="shared" si="781"/>
        <v>0</v>
      </c>
      <c r="AU485" s="38">
        <f t="shared" si="781"/>
        <v>0</v>
      </c>
      <c r="AV485" s="38">
        <f t="shared" si="781"/>
        <v>0</v>
      </c>
      <c r="AW485" s="38">
        <f t="shared" si="781"/>
        <v>0</v>
      </c>
      <c r="AX485" s="38">
        <f t="shared" si="781"/>
        <v>0</v>
      </c>
      <c r="AY485" s="38">
        <f t="shared" si="781"/>
        <v>0</v>
      </c>
      <c r="AZ485" s="38">
        <f t="shared" si="781"/>
        <v>0</v>
      </c>
      <c r="BA485" s="30"/>
      <c r="BB485" s="38">
        <f t="shared" ref="BB485:CT485" si="782">SUM(BB484:BB484)</f>
        <v>0</v>
      </c>
      <c r="BC485" s="38">
        <f t="shared" si="782"/>
        <v>0</v>
      </c>
      <c r="BD485" s="38">
        <f t="shared" si="782"/>
        <v>0</v>
      </c>
      <c r="BE485" s="38">
        <f t="shared" si="782"/>
        <v>0</v>
      </c>
      <c r="BF485" s="38">
        <f t="shared" si="782"/>
        <v>0</v>
      </c>
      <c r="BG485" s="38">
        <f t="shared" si="782"/>
        <v>0</v>
      </c>
      <c r="BH485" s="38">
        <f t="shared" si="782"/>
        <v>0</v>
      </c>
      <c r="BI485" s="38">
        <f t="shared" si="782"/>
        <v>0</v>
      </c>
      <c r="BJ485" s="38">
        <f t="shared" si="782"/>
        <v>0</v>
      </c>
      <c r="BK485" s="38">
        <f t="shared" si="782"/>
        <v>0</v>
      </c>
      <c r="BL485" s="38">
        <f t="shared" si="782"/>
        <v>0</v>
      </c>
      <c r="BM485" s="38">
        <f t="shared" si="782"/>
        <v>0</v>
      </c>
      <c r="BN485" s="38">
        <f t="shared" si="782"/>
        <v>0</v>
      </c>
      <c r="BO485" s="38">
        <f t="shared" si="782"/>
        <v>0</v>
      </c>
      <c r="BP485" s="38">
        <f t="shared" si="782"/>
        <v>0</v>
      </c>
      <c r="BQ485" s="38">
        <f t="shared" si="782"/>
        <v>0</v>
      </c>
      <c r="BR485" s="38">
        <f t="shared" si="782"/>
        <v>0</v>
      </c>
      <c r="BS485" s="38">
        <f t="shared" si="782"/>
        <v>0</v>
      </c>
      <c r="BT485" s="38">
        <f t="shared" si="782"/>
        <v>0</v>
      </c>
      <c r="BU485" s="38">
        <f t="shared" si="782"/>
        <v>0</v>
      </c>
      <c r="BV485" s="38">
        <f t="shared" si="782"/>
        <v>0</v>
      </c>
      <c r="BW485" s="38">
        <f t="shared" si="782"/>
        <v>0</v>
      </c>
      <c r="BX485" s="38">
        <f t="shared" si="782"/>
        <v>0</v>
      </c>
      <c r="BY485" s="38">
        <f t="shared" si="782"/>
        <v>0</v>
      </c>
      <c r="BZ485" s="38">
        <f t="shared" si="782"/>
        <v>0</v>
      </c>
      <c r="CA485" s="38">
        <f t="shared" si="782"/>
        <v>0</v>
      </c>
      <c r="CB485" s="38">
        <f t="shared" si="782"/>
        <v>0</v>
      </c>
      <c r="CC485" s="38">
        <f t="shared" si="782"/>
        <v>0</v>
      </c>
      <c r="CD485" s="38">
        <f t="shared" si="782"/>
        <v>0</v>
      </c>
      <c r="CE485" s="38">
        <f t="shared" si="782"/>
        <v>0</v>
      </c>
      <c r="CF485" s="38">
        <f t="shared" si="782"/>
        <v>0</v>
      </c>
      <c r="CG485" s="38">
        <f t="shared" si="782"/>
        <v>0</v>
      </c>
      <c r="CH485" s="38">
        <f t="shared" si="782"/>
        <v>0</v>
      </c>
      <c r="CI485" s="38">
        <f t="shared" si="782"/>
        <v>0</v>
      </c>
      <c r="CJ485" s="38">
        <f t="shared" si="782"/>
        <v>0</v>
      </c>
      <c r="CK485" s="38">
        <f t="shared" si="782"/>
        <v>0</v>
      </c>
      <c r="CL485" s="38">
        <f t="shared" si="782"/>
        <v>0</v>
      </c>
      <c r="CM485" s="38">
        <f t="shared" si="782"/>
        <v>0</v>
      </c>
      <c r="CN485" s="38">
        <f t="shared" si="782"/>
        <v>0</v>
      </c>
      <c r="CO485" s="38">
        <f t="shared" si="782"/>
        <v>0</v>
      </c>
      <c r="CP485" s="38">
        <f t="shared" si="782"/>
        <v>0</v>
      </c>
      <c r="CQ485" s="38">
        <f t="shared" si="782"/>
        <v>0</v>
      </c>
      <c r="CR485" s="38">
        <f t="shared" si="782"/>
        <v>0</v>
      </c>
      <c r="CS485" s="38">
        <f t="shared" si="782"/>
        <v>0</v>
      </c>
      <c r="CT485" s="38">
        <f t="shared" si="782"/>
        <v>0</v>
      </c>
      <c r="CU485" s="17">
        <f t="shared" si="765"/>
        <v>750</v>
      </c>
      <c r="CV485" s="25">
        <f t="shared" si="766"/>
        <v>0</v>
      </c>
    </row>
    <row r="486" spans="1:100" x14ac:dyDescent="0.2">
      <c r="A486" s="2">
        <v>45895</v>
      </c>
      <c r="B486" s="3" t="s">
        <v>845</v>
      </c>
      <c r="C486" s="4" t="s">
        <v>883</v>
      </c>
      <c r="D486" s="5" t="s">
        <v>122</v>
      </c>
      <c r="E486" s="6" t="s">
        <v>846</v>
      </c>
      <c r="F486" s="7" t="s">
        <v>229</v>
      </c>
      <c r="G486" s="8" t="s">
        <v>847</v>
      </c>
      <c r="H486" s="9">
        <v>39960</v>
      </c>
      <c r="I486" s="10"/>
      <c r="J486" s="11" t="s">
        <v>848</v>
      </c>
      <c r="K486" s="12">
        <v>5</v>
      </c>
      <c r="L486" s="13">
        <v>150</v>
      </c>
      <c r="M486" s="14">
        <f t="shared" ref="M486" si="783">L486*K486</f>
        <v>750</v>
      </c>
      <c r="N486" s="15"/>
      <c r="O486" s="16" t="s">
        <v>111</v>
      </c>
      <c r="P486" s="17">
        <f>M486/1.12*0.01</f>
        <v>6.6964285714285712</v>
      </c>
      <c r="Q486" s="18">
        <f>M486/1.12*0.12</f>
        <v>80.357142857142847</v>
      </c>
      <c r="R486" s="17">
        <f>M486+P486-Q486</f>
        <v>676.33928571428567</v>
      </c>
      <c r="S486" s="19"/>
      <c r="T486" s="19"/>
      <c r="U486" s="19"/>
      <c r="V486" s="19"/>
      <c r="W486" s="17"/>
      <c r="X486" s="20"/>
      <c r="Y486" s="19"/>
      <c r="Z486" s="19"/>
      <c r="AA486" s="19"/>
      <c r="AB486" s="19"/>
      <c r="AC486" s="19"/>
      <c r="AD486" s="19"/>
      <c r="AE486" s="5"/>
      <c r="AF486" s="19"/>
      <c r="AG486" s="5"/>
      <c r="AH486" s="17"/>
      <c r="AI486" s="19"/>
      <c r="AJ486" s="19"/>
      <c r="AK486" s="19"/>
      <c r="AL486" s="19"/>
      <c r="AM486" s="17"/>
      <c r="AN486" s="19"/>
      <c r="AO486" s="19"/>
      <c r="AP486" s="19"/>
      <c r="AQ486" s="19"/>
      <c r="AR486" s="19"/>
      <c r="AS486" s="21"/>
      <c r="AT486" s="5"/>
      <c r="AU486" s="19"/>
      <c r="AV486" s="5"/>
      <c r="AW486" s="22"/>
      <c r="AX486" s="19"/>
      <c r="AY486" s="5"/>
      <c r="AZ486" s="19"/>
      <c r="BA486" s="5"/>
      <c r="BB486" s="5"/>
      <c r="BC486" s="19"/>
      <c r="BD486" s="19"/>
      <c r="BE486" s="19"/>
      <c r="BF486" s="19"/>
      <c r="BG486" s="19"/>
      <c r="BH486" s="19"/>
      <c r="BI486" s="19"/>
      <c r="BJ486" s="19"/>
      <c r="BK486" s="13"/>
      <c r="BL486" s="5"/>
      <c r="BM486" s="5"/>
      <c r="BN486" s="19"/>
      <c r="BO486" s="17"/>
      <c r="BP486" s="19"/>
      <c r="BQ486" s="17"/>
      <c r="BR486" s="19"/>
      <c r="BS486" s="13"/>
      <c r="BT486" s="5"/>
      <c r="BU486" s="23"/>
      <c r="BV486" s="23"/>
      <c r="BW486" s="24"/>
      <c r="BX486" s="5"/>
      <c r="BY486" s="5"/>
      <c r="BZ486" s="5"/>
      <c r="CA486" s="24"/>
      <c r="CB486" s="24"/>
      <c r="CC486" s="24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>
        <f t="shared" si="765"/>
        <v>750</v>
      </c>
      <c r="CV486" s="25">
        <f t="shared" si="766"/>
        <v>0</v>
      </c>
    </row>
    <row r="487" spans="1:100" s="205" customFormat="1" x14ac:dyDescent="0.2">
      <c r="A487" s="192"/>
      <c r="B487" s="193"/>
      <c r="C487" s="194"/>
      <c r="D487" s="195"/>
      <c r="E487" s="196"/>
      <c r="F487" s="197"/>
      <c r="G487" s="198"/>
      <c r="H487" s="199"/>
      <c r="I487" s="199"/>
      <c r="J487" s="200"/>
      <c r="K487" s="201"/>
      <c r="L487" s="202"/>
      <c r="M487" s="203">
        <f>SUM(M486:M486)</f>
        <v>750</v>
      </c>
      <c r="N487" s="203">
        <f>M487+M486</f>
        <v>1500</v>
      </c>
      <c r="O487" s="204" t="s">
        <v>111</v>
      </c>
      <c r="P487" s="203">
        <f>SUM(P486:P486)</f>
        <v>6.6964285714285712</v>
      </c>
      <c r="Q487" s="203">
        <f>SUM(Q486:Q486)</f>
        <v>80.357142857142847</v>
      </c>
      <c r="R487" s="203">
        <f>SUM(R486:R486)</f>
        <v>676.33928571428567</v>
      </c>
      <c r="S487" s="203">
        <f t="shared" ref="S487:AD487" si="784">SUM(S486:S486)</f>
        <v>0</v>
      </c>
      <c r="T487" s="203">
        <f t="shared" si="784"/>
        <v>0</v>
      </c>
      <c r="U487" s="203">
        <f t="shared" si="784"/>
        <v>0</v>
      </c>
      <c r="V487" s="203">
        <f t="shared" si="784"/>
        <v>0</v>
      </c>
      <c r="W487" s="203">
        <f t="shared" si="784"/>
        <v>0</v>
      </c>
      <c r="X487" s="203">
        <f t="shared" si="784"/>
        <v>0</v>
      </c>
      <c r="Y487" s="203">
        <f t="shared" si="784"/>
        <v>0</v>
      </c>
      <c r="Z487" s="203">
        <f t="shared" si="784"/>
        <v>0</v>
      </c>
      <c r="AA487" s="203">
        <f t="shared" si="784"/>
        <v>0</v>
      </c>
      <c r="AB487" s="203">
        <f t="shared" si="784"/>
        <v>0</v>
      </c>
      <c r="AC487" s="203">
        <f t="shared" si="784"/>
        <v>0</v>
      </c>
      <c r="AD487" s="203">
        <f t="shared" si="784"/>
        <v>0</v>
      </c>
      <c r="AE487" s="195"/>
      <c r="AF487" s="203">
        <f>SUM(AF486:AF486)</f>
        <v>0</v>
      </c>
      <c r="AG487" s="195"/>
      <c r="AH487" s="203">
        <f t="shared" ref="AH487:AZ487" si="785">SUM(AH486:AH486)</f>
        <v>0</v>
      </c>
      <c r="AI487" s="203">
        <f t="shared" si="785"/>
        <v>0</v>
      </c>
      <c r="AJ487" s="203">
        <f t="shared" si="785"/>
        <v>0</v>
      </c>
      <c r="AK487" s="203">
        <f t="shared" si="785"/>
        <v>0</v>
      </c>
      <c r="AL487" s="203">
        <f t="shared" si="785"/>
        <v>0</v>
      </c>
      <c r="AM487" s="203">
        <f t="shared" si="785"/>
        <v>0</v>
      </c>
      <c r="AN487" s="203">
        <f t="shared" si="785"/>
        <v>0</v>
      </c>
      <c r="AO487" s="203">
        <f t="shared" si="785"/>
        <v>0</v>
      </c>
      <c r="AP487" s="203">
        <f t="shared" si="785"/>
        <v>0</v>
      </c>
      <c r="AQ487" s="203">
        <f t="shared" si="785"/>
        <v>0</v>
      </c>
      <c r="AR487" s="203">
        <f t="shared" si="785"/>
        <v>0</v>
      </c>
      <c r="AS487" s="203">
        <f t="shared" si="785"/>
        <v>0</v>
      </c>
      <c r="AT487" s="203">
        <f t="shared" si="785"/>
        <v>0</v>
      </c>
      <c r="AU487" s="203">
        <f t="shared" si="785"/>
        <v>0</v>
      </c>
      <c r="AV487" s="203">
        <f t="shared" si="785"/>
        <v>0</v>
      </c>
      <c r="AW487" s="203">
        <f t="shared" si="785"/>
        <v>0</v>
      </c>
      <c r="AX487" s="203">
        <f t="shared" si="785"/>
        <v>0</v>
      </c>
      <c r="AY487" s="203">
        <f t="shared" si="785"/>
        <v>0</v>
      </c>
      <c r="AZ487" s="203">
        <f t="shared" si="785"/>
        <v>0</v>
      </c>
      <c r="BA487" s="195"/>
      <c r="BB487" s="203">
        <f t="shared" ref="BB487:CT487" si="786">SUM(BB486:BB486)</f>
        <v>0</v>
      </c>
      <c r="BC487" s="203">
        <f t="shared" si="786"/>
        <v>0</v>
      </c>
      <c r="BD487" s="203">
        <f t="shared" si="786"/>
        <v>0</v>
      </c>
      <c r="BE487" s="203">
        <f t="shared" si="786"/>
        <v>0</v>
      </c>
      <c r="BF487" s="203">
        <f t="shared" si="786"/>
        <v>0</v>
      </c>
      <c r="BG487" s="203">
        <f t="shared" si="786"/>
        <v>0</v>
      </c>
      <c r="BH487" s="203">
        <f t="shared" si="786"/>
        <v>0</v>
      </c>
      <c r="BI487" s="203">
        <f t="shared" si="786"/>
        <v>0</v>
      </c>
      <c r="BJ487" s="203">
        <f t="shared" si="786"/>
        <v>0</v>
      </c>
      <c r="BK487" s="203">
        <f t="shared" si="786"/>
        <v>0</v>
      </c>
      <c r="BL487" s="203">
        <f t="shared" si="786"/>
        <v>0</v>
      </c>
      <c r="BM487" s="203">
        <f t="shared" si="786"/>
        <v>0</v>
      </c>
      <c r="BN487" s="203">
        <f t="shared" si="786"/>
        <v>0</v>
      </c>
      <c r="BO487" s="203">
        <f t="shared" si="786"/>
        <v>0</v>
      </c>
      <c r="BP487" s="203">
        <f t="shared" si="786"/>
        <v>0</v>
      </c>
      <c r="BQ487" s="203">
        <f t="shared" si="786"/>
        <v>0</v>
      </c>
      <c r="BR487" s="203">
        <f t="shared" si="786"/>
        <v>0</v>
      </c>
      <c r="BS487" s="203">
        <f t="shared" si="786"/>
        <v>0</v>
      </c>
      <c r="BT487" s="203">
        <f t="shared" si="786"/>
        <v>0</v>
      </c>
      <c r="BU487" s="203">
        <f t="shared" si="786"/>
        <v>0</v>
      </c>
      <c r="BV487" s="203">
        <f t="shared" si="786"/>
        <v>0</v>
      </c>
      <c r="BW487" s="203">
        <f t="shared" si="786"/>
        <v>0</v>
      </c>
      <c r="BX487" s="203">
        <f t="shared" si="786"/>
        <v>0</v>
      </c>
      <c r="BY487" s="203">
        <f t="shared" si="786"/>
        <v>0</v>
      </c>
      <c r="BZ487" s="203">
        <f t="shared" si="786"/>
        <v>0</v>
      </c>
      <c r="CA487" s="203">
        <f t="shared" si="786"/>
        <v>0</v>
      </c>
      <c r="CB487" s="203">
        <f t="shared" si="786"/>
        <v>0</v>
      </c>
      <c r="CC487" s="203">
        <f t="shared" si="786"/>
        <v>0</v>
      </c>
      <c r="CD487" s="203">
        <f t="shared" si="786"/>
        <v>0</v>
      </c>
      <c r="CE487" s="203">
        <f t="shared" si="786"/>
        <v>0</v>
      </c>
      <c r="CF487" s="203">
        <f t="shared" si="786"/>
        <v>0</v>
      </c>
      <c r="CG487" s="203">
        <f t="shared" si="786"/>
        <v>0</v>
      </c>
      <c r="CH487" s="203">
        <f t="shared" si="786"/>
        <v>0</v>
      </c>
      <c r="CI487" s="203">
        <f t="shared" si="786"/>
        <v>0</v>
      </c>
      <c r="CJ487" s="203">
        <f t="shared" si="786"/>
        <v>0</v>
      </c>
      <c r="CK487" s="203">
        <f t="shared" si="786"/>
        <v>0</v>
      </c>
      <c r="CL487" s="203">
        <f t="shared" si="786"/>
        <v>0</v>
      </c>
      <c r="CM487" s="203">
        <f t="shared" si="786"/>
        <v>0</v>
      </c>
      <c r="CN487" s="203">
        <f t="shared" si="786"/>
        <v>0</v>
      </c>
      <c r="CO487" s="203">
        <f t="shared" si="786"/>
        <v>0</v>
      </c>
      <c r="CP487" s="203">
        <f t="shared" si="786"/>
        <v>0</v>
      </c>
      <c r="CQ487" s="203">
        <f t="shared" si="786"/>
        <v>0</v>
      </c>
      <c r="CR487" s="203">
        <f t="shared" si="786"/>
        <v>0</v>
      </c>
      <c r="CS487" s="203">
        <f t="shared" si="786"/>
        <v>0</v>
      </c>
      <c r="CT487" s="203">
        <f t="shared" si="786"/>
        <v>0</v>
      </c>
      <c r="CU487" s="17">
        <f t="shared" si="765"/>
        <v>750</v>
      </c>
      <c r="CV487" s="25">
        <f t="shared" si="766"/>
        <v>0</v>
      </c>
    </row>
    <row r="488" spans="1:100" s="160" customFormat="1" ht="25.5" customHeight="1" x14ac:dyDescent="0.3">
      <c r="A488" s="184"/>
      <c r="B488" s="184"/>
      <c r="C488" s="184"/>
      <c r="D488" s="184"/>
      <c r="E488" s="184"/>
      <c r="F488" s="184"/>
      <c r="G488" s="184"/>
      <c r="H488" s="184"/>
      <c r="I488" s="184"/>
      <c r="J488" s="184"/>
      <c r="K488" s="184"/>
      <c r="L488" s="184"/>
      <c r="M488" s="184"/>
      <c r="N488" s="175">
        <f>N487+N483+N467+N457+N453+N451+N437+N435+N433+N424+N405+N383+N368</f>
        <v>70921.625</v>
      </c>
      <c r="O488" s="184"/>
      <c r="P488" s="185">
        <f>P487+P485+P483+P479+P476+P467+P464+P460+P457+P455+P453+P451+P449+P447+P444+P440+P437+P435+P433+P431+P427+P424+P422+P415+P411+P409+P407+P405+P383+P381+P379+P372+P370+P368+P366+P364+P362+P360+P358+P356+P354+P352+P350+P348+P346</f>
        <v>609.74304999999993</v>
      </c>
      <c r="Q488" s="185">
        <f t="shared" ref="Q488:CB488" si="787">Q487+Q485+Q483+Q479+Q476+Q467+Q464+Q460+Q457+Q455+Q453+Q451+Q449+Q447+Q444+Q440+Q437+Q435+Q433+Q431+Q427+Q424+Q422+Q415+Q411+Q409+Q407+Q405+Q383+Q381+Q379+Q372+Q370+Q368+Q366+Q364+Q362+Q360+Q358+Q356+Q354+Q352+Q350+Q348+Q346</f>
        <v>5400.7467857142874</v>
      </c>
      <c r="R488" s="185">
        <f t="shared" si="787"/>
        <v>34233.728407142851</v>
      </c>
      <c r="S488" s="185">
        <f t="shared" si="787"/>
        <v>0</v>
      </c>
      <c r="T488" s="185">
        <f t="shared" si="787"/>
        <v>0</v>
      </c>
      <c r="U488" s="185">
        <f t="shared" si="787"/>
        <v>0</v>
      </c>
      <c r="V488" s="185">
        <f t="shared" si="787"/>
        <v>125</v>
      </c>
      <c r="W488" s="185">
        <f t="shared" si="787"/>
        <v>1082.1428571428573</v>
      </c>
      <c r="X488" s="185">
        <f t="shared" si="787"/>
        <v>0</v>
      </c>
      <c r="Y488" s="185">
        <f t="shared" si="787"/>
        <v>0</v>
      </c>
      <c r="Z488" s="185">
        <f t="shared" si="787"/>
        <v>0</v>
      </c>
      <c r="AA488" s="185">
        <f t="shared" si="787"/>
        <v>0</v>
      </c>
      <c r="AB488" s="185">
        <f t="shared" si="787"/>
        <v>0</v>
      </c>
      <c r="AC488" s="185">
        <f t="shared" si="787"/>
        <v>0</v>
      </c>
      <c r="AD488" s="185">
        <f t="shared" si="787"/>
        <v>0</v>
      </c>
      <c r="AE488" s="185">
        <f t="shared" si="787"/>
        <v>0</v>
      </c>
      <c r="AF488" s="185">
        <f t="shared" si="787"/>
        <v>0</v>
      </c>
      <c r="AG488" s="185">
        <f t="shared" si="787"/>
        <v>0</v>
      </c>
      <c r="AH488" s="185">
        <f t="shared" si="787"/>
        <v>21372.321428571428</v>
      </c>
      <c r="AI488" s="185">
        <f t="shared" si="787"/>
        <v>0</v>
      </c>
      <c r="AJ488" s="185">
        <f t="shared" si="787"/>
        <v>0</v>
      </c>
      <c r="AK488" s="185">
        <f t="shared" si="787"/>
        <v>0</v>
      </c>
      <c r="AL488" s="185">
        <f t="shared" si="787"/>
        <v>0</v>
      </c>
      <c r="AM488" s="185">
        <f t="shared" si="787"/>
        <v>0</v>
      </c>
      <c r="AN488" s="185">
        <f t="shared" si="787"/>
        <v>0</v>
      </c>
      <c r="AO488" s="185">
        <f t="shared" si="787"/>
        <v>0</v>
      </c>
      <c r="AP488" s="185">
        <f t="shared" si="787"/>
        <v>2164.2857142857147</v>
      </c>
      <c r="AQ488" s="185">
        <f t="shared" si="787"/>
        <v>0</v>
      </c>
      <c r="AR488" s="185">
        <f t="shared" si="787"/>
        <v>0</v>
      </c>
      <c r="AS488" s="185">
        <f t="shared" si="787"/>
        <v>0</v>
      </c>
      <c r="AT488" s="185">
        <f t="shared" si="787"/>
        <v>0</v>
      </c>
      <c r="AU488" s="185">
        <f t="shared" si="787"/>
        <v>0</v>
      </c>
      <c r="AV488" s="185">
        <f t="shared" si="787"/>
        <v>0</v>
      </c>
      <c r="AW488" s="185">
        <f t="shared" si="787"/>
        <v>6732</v>
      </c>
      <c r="AX488" s="185">
        <f t="shared" si="787"/>
        <v>0</v>
      </c>
      <c r="AY488" s="185">
        <f t="shared" si="787"/>
        <v>0</v>
      </c>
      <c r="AZ488" s="185">
        <f t="shared" si="787"/>
        <v>0</v>
      </c>
      <c r="BA488" s="185">
        <f t="shared" si="787"/>
        <v>0</v>
      </c>
      <c r="BB488" s="185">
        <f t="shared" si="787"/>
        <v>0</v>
      </c>
      <c r="BC488" s="185">
        <f t="shared" si="787"/>
        <v>237</v>
      </c>
      <c r="BD488" s="185">
        <f t="shared" si="787"/>
        <v>0</v>
      </c>
      <c r="BE488" s="185">
        <f t="shared" si="787"/>
        <v>0</v>
      </c>
      <c r="BF488" s="185">
        <f t="shared" si="787"/>
        <v>0</v>
      </c>
      <c r="BG488" s="185">
        <f t="shared" si="787"/>
        <v>0</v>
      </c>
      <c r="BH488" s="185">
        <f t="shared" si="787"/>
        <v>0</v>
      </c>
      <c r="BI488" s="185">
        <f t="shared" si="787"/>
        <v>0</v>
      </c>
      <c r="BJ488" s="185">
        <f t="shared" si="787"/>
        <v>0</v>
      </c>
      <c r="BK488" s="185">
        <f t="shared" si="787"/>
        <v>0</v>
      </c>
      <c r="BL488" s="185">
        <f t="shared" si="787"/>
        <v>0</v>
      </c>
      <c r="BM488" s="185">
        <f t="shared" si="787"/>
        <v>0</v>
      </c>
      <c r="BN488" s="185">
        <f t="shared" si="787"/>
        <v>0</v>
      </c>
      <c r="BO488" s="185">
        <f t="shared" si="787"/>
        <v>184.14285714285717</v>
      </c>
      <c r="BP488" s="185">
        <f t="shared" si="787"/>
        <v>0</v>
      </c>
      <c r="BQ488" s="185">
        <f t="shared" si="787"/>
        <v>0</v>
      </c>
      <c r="BR488" s="185">
        <f t="shared" si="787"/>
        <v>0</v>
      </c>
      <c r="BS488" s="185">
        <f t="shared" si="787"/>
        <v>0</v>
      </c>
      <c r="BT488" s="185">
        <f t="shared" si="787"/>
        <v>0</v>
      </c>
      <c r="BU488" s="185">
        <f t="shared" si="787"/>
        <v>0</v>
      </c>
      <c r="BV488" s="185">
        <f t="shared" si="787"/>
        <v>0</v>
      </c>
      <c r="BW488" s="185">
        <f t="shared" si="787"/>
        <v>0</v>
      </c>
      <c r="BX488" s="185">
        <f t="shared" si="787"/>
        <v>0</v>
      </c>
      <c r="BY488" s="185">
        <f t="shared" si="787"/>
        <v>0</v>
      </c>
      <c r="BZ488" s="185">
        <f t="shared" si="787"/>
        <v>0</v>
      </c>
      <c r="CA488" s="185">
        <f t="shared" si="787"/>
        <v>0</v>
      </c>
      <c r="CB488" s="185">
        <f t="shared" si="787"/>
        <v>0</v>
      </c>
      <c r="CC488" s="185">
        <f t="shared" ref="CC488:CV488" si="788">CC487+CC485+CC483+CC479+CC476+CC467+CC464+CC460+CC457+CC455+CC453+CC451+CC449+CC447+CC444+CC440+CC437+CC435+CC433+CC431+CC427+CC424+CC422+CC415+CC411+CC409+CC407+CC405+CC383+CC381+CC379+CC372+CC370+CC368+CC366+CC364+CC362+CC360+CC358+CC356+CC354+CC352+CC350+CC348+CC346</f>
        <v>0</v>
      </c>
      <c r="CD488" s="185">
        <f t="shared" si="788"/>
        <v>0</v>
      </c>
      <c r="CE488" s="185">
        <f t="shared" si="788"/>
        <v>0</v>
      </c>
      <c r="CF488" s="185">
        <f t="shared" si="788"/>
        <v>0</v>
      </c>
      <c r="CG488" s="185">
        <f t="shared" si="788"/>
        <v>0</v>
      </c>
      <c r="CH488" s="185">
        <f t="shared" si="788"/>
        <v>0</v>
      </c>
      <c r="CI488" s="185">
        <f t="shared" si="788"/>
        <v>0</v>
      </c>
      <c r="CJ488" s="185">
        <f t="shared" si="788"/>
        <v>0</v>
      </c>
      <c r="CK488" s="185">
        <f t="shared" si="788"/>
        <v>0</v>
      </c>
      <c r="CL488" s="185">
        <f t="shared" si="788"/>
        <v>0</v>
      </c>
      <c r="CM488" s="185">
        <f t="shared" si="788"/>
        <v>0</v>
      </c>
      <c r="CN488" s="185">
        <f t="shared" si="788"/>
        <v>0</v>
      </c>
      <c r="CO488" s="185">
        <f t="shared" si="788"/>
        <v>0</v>
      </c>
      <c r="CP488" s="185">
        <f t="shared" si="788"/>
        <v>0</v>
      </c>
      <c r="CQ488" s="185">
        <f t="shared" si="788"/>
        <v>0</v>
      </c>
      <c r="CR488" s="185">
        <f t="shared" si="788"/>
        <v>0</v>
      </c>
      <c r="CS488" s="185">
        <f t="shared" si="788"/>
        <v>0</v>
      </c>
      <c r="CT488" s="185">
        <f t="shared" si="788"/>
        <v>0</v>
      </c>
      <c r="CU488" s="175">
        <f t="shared" si="788"/>
        <v>70921.625</v>
      </c>
      <c r="CV488" s="185">
        <f t="shared" si="788"/>
        <v>0</v>
      </c>
    </row>
    <row r="493" spans="1:100" s="206" customFormat="1" ht="30.75" customHeight="1" x14ac:dyDescent="0.35">
      <c r="N493" s="207">
        <f>N488+N337+N234+N105</f>
        <v>222213.4766996</v>
      </c>
    </row>
  </sheetData>
  <mergeCells count="48">
    <mergeCell ref="BZ3:BZ4"/>
    <mergeCell ref="CA3:CA4"/>
    <mergeCell ref="CB3:CB4"/>
    <mergeCell ref="CE3:CE4"/>
    <mergeCell ref="CF3:CF4"/>
    <mergeCell ref="BU3:BU4"/>
    <mergeCell ref="BV3:BV4"/>
    <mergeCell ref="BW3:BW4"/>
    <mergeCell ref="BX3:BX4"/>
    <mergeCell ref="BY3:BY4"/>
    <mergeCell ref="R3:Z3"/>
    <mergeCell ref="AA3:AF3"/>
    <mergeCell ref="AG3:AG4"/>
    <mergeCell ref="AH3:AQ3"/>
    <mergeCell ref="AR3:AV3"/>
    <mergeCell ref="M3:M4"/>
    <mergeCell ref="N3:N4"/>
    <mergeCell ref="O3:O4"/>
    <mergeCell ref="P3:P4"/>
    <mergeCell ref="Q3:Q4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</mergeCells>
  <pageMargins left="0.7" right="0.7" top="0.75" bottom="0.75" header="0.3" footer="0.3"/>
  <pageSetup paperSize="11" scale="66" fitToHeight="0" orientation="landscape" horizontalDpi="0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B2D84-3A19-47BF-AC3A-9651579A14A4}">
  <sheetPr>
    <tabColor theme="3"/>
    <pageSetUpPr fitToPage="1"/>
  </sheetPr>
  <dimension ref="A1:CY149"/>
  <sheetViews>
    <sheetView topLeftCell="A128" workbookViewId="0">
      <selection activeCell="A6" sqref="A6:XFD150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4" width="9.140625" style="155"/>
    <col min="5" max="5" width="10.7109375" style="155" customWidth="1"/>
    <col min="6" max="7" width="9.140625" style="155"/>
    <col min="8" max="8" width="18.140625" style="155" customWidth="1"/>
    <col min="9" max="13" width="9.140625" style="155"/>
    <col min="14" max="14" width="17.140625" style="155" bestFit="1" customWidth="1"/>
    <col min="15" max="16" width="9.140625" style="155"/>
    <col min="17" max="17" width="11.7109375" style="155" customWidth="1"/>
    <col min="18" max="18" width="13.85546875" style="155" customWidth="1"/>
    <col min="19" max="21" width="9.140625" style="155"/>
    <col min="22" max="23" width="11.42578125" style="155" customWidth="1"/>
    <col min="24" max="33" width="9.140625" style="155"/>
    <col min="34" max="34" width="11.42578125" style="155" customWidth="1"/>
    <col min="35" max="36" width="9.140625" style="155"/>
    <col min="37" max="37" width="11.28515625" style="155" customWidth="1"/>
    <col min="38" max="38" width="10.7109375" style="155" customWidth="1"/>
    <col min="39" max="48" width="9.140625" style="155"/>
    <col min="49" max="49" width="12" style="155" customWidth="1"/>
    <col min="50" max="51" width="9.140625" style="155"/>
    <col min="52" max="52" width="11.42578125" style="155" customWidth="1"/>
    <col min="53" max="53" width="9.140625" style="155"/>
    <col min="54" max="54" width="11.140625" style="155" customWidth="1"/>
    <col min="55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98" width="9.140625" style="155"/>
    <col min="99" max="99" width="18" style="155" customWidth="1"/>
    <col min="100" max="104" width="9.140625" style="155"/>
    <col min="105" max="105" width="11" style="155" customWidth="1"/>
    <col min="106" max="106" width="10.140625" style="155" customWidth="1"/>
    <col min="107" max="16384" width="9.140625" style="155"/>
  </cols>
  <sheetData>
    <row r="1" spans="1:103" s="104" customFormat="1" x14ac:dyDescent="0.25">
      <c r="A1" s="99" t="s">
        <v>0</v>
      </c>
      <c r="B1" s="100"/>
      <c r="C1" s="187"/>
      <c r="D1" s="99"/>
      <c r="G1" s="114"/>
      <c r="H1" s="188" t="s">
        <v>1</v>
      </c>
      <c r="I1" s="189"/>
      <c r="J1" s="108"/>
      <c r="K1" s="190"/>
      <c r="L1" s="116"/>
      <c r="M1" s="111"/>
      <c r="N1" s="112"/>
      <c r="O1" s="112"/>
      <c r="P1" s="114"/>
      <c r="Q1" s="114"/>
      <c r="R1" s="116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x14ac:dyDescent="0.25">
      <c r="A2" s="99"/>
      <c r="B2" s="100"/>
      <c r="C2" s="187"/>
      <c r="D2" s="99"/>
      <c r="G2" s="114"/>
      <c r="H2" s="191"/>
      <c r="I2" s="189" t="s">
        <v>2</v>
      </c>
      <c r="J2" s="108"/>
      <c r="K2" s="190"/>
      <c r="L2" s="116"/>
      <c r="M2" s="111"/>
      <c r="N2" s="112"/>
      <c r="O2" s="112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04" customFormat="1" ht="21.75" thickBot="1" x14ac:dyDescent="0.3">
      <c r="A3" s="117"/>
      <c r="B3" s="118"/>
      <c r="C3" s="119"/>
      <c r="D3" s="120"/>
      <c r="E3" s="121"/>
      <c r="G3" s="105"/>
      <c r="H3" s="186" t="s">
        <v>900</v>
      </c>
      <c r="I3" s="107"/>
      <c r="J3" s="108"/>
      <c r="K3" s="109"/>
      <c r="L3" s="110"/>
      <c r="M3" s="111"/>
      <c r="N3" s="112"/>
      <c r="O3" s="113"/>
      <c r="P3" s="114"/>
      <c r="Q3" s="114"/>
      <c r="R3" s="116"/>
      <c r="S3" s="114"/>
      <c r="T3" s="114"/>
      <c r="U3" s="114"/>
      <c r="V3" s="114"/>
      <c r="W3" s="114"/>
      <c r="X3" s="114"/>
      <c r="Y3" s="114"/>
      <c r="Z3" s="114"/>
      <c r="AA3" s="114"/>
      <c r="AB3" s="114"/>
      <c r="AC3" s="114"/>
      <c r="AD3" s="114"/>
      <c r="AE3" s="114"/>
      <c r="AF3" s="114"/>
      <c r="AG3" s="114"/>
      <c r="AH3" s="114"/>
      <c r="AI3" s="114"/>
      <c r="AJ3" s="114"/>
      <c r="AK3" s="114"/>
      <c r="AL3" s="114"/>
      <c r="AM3" s="114"/>
      <c r="AN3" s="114"/>
      <c r="AO3" s="114"/>
      <c r="AP3" s="114"/>
      <c r="AQ3" s="114"/>
      <c r="AR3" s="114"/>
      <c r="AS3" s="114"/>
      <c r="AT3" s="114"/>
      <c r="AU3" s="114"/>
      <c r="BC3" s="114"/>
      <c r="BD3" s="114"/>
      <c r="BE3" s="114"/>
      <c r="BF3" s="114"/>
      <c r="BG3" s="114"/>
      <c r="BH3" s="114"/>
      <c r="BI3" s="114"/>
      <c r="BJ3" s="114"/>
      <c r="BK3" s="114"/>
      <c r="BL3" s="114"/>
      <c r="BM3" s="114"/>
      <c r="BR3" s="114"/>
      <c r="BS3" s="114"/>
      <c r="BT3" s="114"/>
      <c r="BU3" s="114"/>
      <c r="BV3" s="114"/>
      <c r="BY3" s="116"/>
      <c r="CC3" s="116"/>
      <c r="CD3" s="116"/>
      <c r="CE3" s="116"/>
    </row>
    <row r="4" spans="1:103" s="129" customFormat="1" ht="22.5" customHeight="1" x14ac:dyDescent="0.2">
      <c r="A4" s="235" t="s">
        <v>3</v>
      </c>
      <c r="B4" s="237" t="s">
        <v>4</v>
      </c>
      <c r="C4" s="239" t="s">
        <v>5</v>
      </c>
      <c r="D4" s="241" t="s">
        <v>6</v>
      </c>
      <c r="E4" s="243" t="s">
        <v>7</v>
      </c>
      <c r="F4" s="245" t="s">
        <v>8</v>
      </c>
      <c r="G4" s="247" t="s">
        <v>9</v>
      </c>
      <c r="H4" s="249" t="s">
        <v>10</v>
      </c>
      <c r="I4" s="237" t="s">
        <v>11</v>
      </c>
      <c r="J4" s="251" t="s">
        <v>12</v>
      </c>
      <c r="K4" s="253" t="s">
        <v>13</v>
      </c>
      <c r="L4" s="283" t="s">
        <v>14</v>
      </c>
      <c r="M4" s="255" t="s">
        <v>15</v>
      </c>
      <c r="N4" s="257" t="s">
        <v>16</v>
      </c>
      <c r="O4" s="257" t="s">
        <v>17</v>
      </c>
      <c r="P4" s="259" t="s">
        <v>18</v>
      </c>
      <c r="Q4" s="261" t="s">
        <v>19</v>
      </c>
      <c r="R4" s="263" t="s">
        <v>20</v>
      </c>
      <c r="S4" s="264"/>
      <c r="T4" s="264"/>
      <c r="U4" s="264"/>
      <c r="V4" s="264"/>
      <c r="W4" s="264"/>
      <c r="X4" s="264"/>
      <c r="Y4" s="264"/>
      <c r="Z4" s="265"/>
      <c r="AA4" s="266" t="s">
        <v>21</v>
      </c>
      <c r="AB4" s="267"/>
      <c r="AC4" s="267"/>
      <c r="AD4" s="267"/>
      <c r="AE4" s="267"/>
      <c r="AF4" s="268"/>
      <c r="AG4" s="269" t="s">
        <v>22</v>
      </c>
      <c r="AH4" s="271" t="s">
        <v>23</v>
      </c>
      <c r="AI4" s="272"/>
      <c r="AJ4" s="272"/>
      <c r="AK4" s="272"/>
      <c r="AL4" s="272"/>
      <c r="AM4" s="272"/>
      <c r="AN4" s="272"/>
      <c r="AO4" s="272"/>
      <c r="AP4" s="272"/>
      <c r="AQ4" s="273"/>
      <c r="AR4" s="274" t="s">
        <v>24</v>
      </c>
      <c r="AS4" s="275"/>
      <c r="AT4" s="275"/>
      <c r="AU4" s="275"/>
      <c r="AV4" s="276"/>
      <c r="AW4" s="123" t="s">
        <v>25</v>
      </c>
      <c r="AX4" s="216" t="s">
        <v>26</v>
      </c>
      <c r="AY4" s="217"/>
      <c r="AZ4" s="216" t="s">
        <v>27</v>
      </c>
      <c r="BA4" s="217"/>
      <c r="BB4" s="218" t="s">
        <v>28</v>
      </c>
      <c r="BC4" s="219"/>
      <c r="BD4" s="124"/>
      <c r="BE4" s="220" t="s">
        <v>29</v>
      </c>
      <c r="BF4" s="222" t="s">
        <v>30</v>
      </c>
      <c r="BG4" s="223"/>
      <c r="BH4" s="125" t="s">
        <v>31</v>
      </c>
      <c r="BI4" s="125" t="s">
        <v>32</v>
      </c>
      <c r="BJ4" s="125" t="s">
        <v>33</v>
      </c>
      <c r="BK4" s="222" t="s">
        <v>34</v>
      </c>
      <c r="BL4" s="230"/>
      <c r="BM4" s="223"/>
      <c r="BN4" s="231" t="s">
        <v>35</v>
      </c>
      <c r="BO4" s="232"/>
      <c r="BP4" s="226" t="s">
        <v>36</v>
      </c>
      <c r="BQ4" s="224" t="s">
        <v>37</v>
      </c>
      <c r="BR4" s="228" t="s">
        <v>38</v>
      </c>
      <c r="BS4" s="224" t="s">
        <v>39</v>
      </c>
      <c r="BT4" s="224" t="s">
        <v>40</v>
      </c>
      <c r="BU4" s="228" t="s">
        <v>41</v>
      </c>
      <c r="BV4" s="228" t="s">
        <v>42</v>
      </c>
      <c r="BW4" s="228" t="s">
        <v>43</v>
      </c>
      <c r="BX4" s="277" t="s">
        <v>44</v>
      </c>
      <c r="BY4" s="228" t="s">
        <v>45</v>
      </c>
      <c r="BZ4" s="228" t="s">
        <v>46</v>
      </c>
      <c r="CA4" s="228" t="s">
        <v>47</v>
      </c>
      <c r="CB4" s="228" t="s">
        <v>48</v>
      </c>
      <c r="CC4" s="126" t="s">
        <v>49</v>
      </c>
      <c r="CD4" s="126" t="s">
        <v>50</v>
      </c>
      <c r="CE4" s="279" t="s">
        <v>51</v>
      </c>
      <c r="CF4" s="281" t="s">
        <v>52</v>
      </c>
      <c r="CG4" s="208" t="s">
        <v>53</v>
      </c>
      <c r="CH4" s="208"/>
      <c r="CI4" s="208"/>
      <c r="CJ4" s="208"/>
      <c r="CK4" s="208"/>
      <c r="CL4" s="208"/>
      <c r="CM4" s="208"/>
      <c r="CN4" s="208"/>
      <c r="CO4" s="208"/>
      <c r="CP4" s="209"/>
      <c r="CQ4" s="127" t="s">
        <v>54</v>
      </c>
      <c r="CR4" s="210" t="s">
        <v>55</v>
      </c>
      <c r="CS4" s="211"/>
      <c r="CT4" s="212" t="s">
        <v>56</v>
      </c>
      <c r="CU4" s="214" t="s">
        <v>57</v>
      </c>
      <c r="CV4" s="128"/>
    </row>
    <row r="5" spans="1:103" s="154" customFormat="1" ht="51.75" thickBot="1" x14ac:dyDescent="0.25">
      <c r="A5" s="236"/>
      <c r="B5" s="238"/>
      <c r="C5" s="240"/>
      <c r="D5" s="242"/>
      <c r="E5" s="244"/>
      <c r="F5" s="246"/>
      <c r="G5" s="248"/>
      <c r="H5" s="250"/>
      <c r="I5" s="238"/>
      <c r="J5" s="252"/>
      <c r="K5" s="254"/>
      <c r="L5" s="284"/>
      <c r="M5" s="256"/>
      <c r="N5" s="258"/>
      <c r="O5" s="258"/>
      <c r="P5" s="260"/>
      <c r="Q5" s="262"/>
      <c r="R5" s="130" t="s">
        <v>58</v>
      </c>
      <c r="S5" s="131" t="s">
        <v>59</v>
      </c>
      <c r="T5" s="131" t="s">
        <v>60</v>
      </c>
      <c r="U5" s="131" t="s">
        <v>61</v>
      </c>
      <c r="V5" s="131" t="s">
        <v>62</v>
      </c>
      <c r="W5" s="132" t="s">
        <v>63</v>
      </c>
      <c r="X5" s="132" t="s">
        <v>64</v>
      </c>
      <c r="Y5" s="132" t="s">
        <v>65</v>
      </c>
      <c r="Z5" s="132" t="s">
        <v>66</v>
      </c>
      <c r="AA5" s="133" t="s">
        <v>67</v>
      </c>
      <c r="AB5" s="133" t="s">
        <v>68</v>
      </c>
      <c r="AC5" s="134" t="s">
        <v>69</v>
      </c>
      <c r="AD5" s="134" t="s">
        <v>70</v>
      </c>
      <c r="AE5" s="134" t="s">
        <v>119</v>
      </c>
      <c r="AF5" s="134" t="s">
        <v>71</v>
      </c>
      <c r="AG5" s="270"/>
      <c r="AH5" s="135" t="s">
        <v>72</v>
      </c>
      <c r="AI5" s="135" t="s">
        <v>73</v>
      </c>
      <c r="AJ5" s="136" t="s">
        <v>74</v>
      </c>
      <c r="AK5" s="136" t="s">
        <v>75</v>
      </c>
      <c r="AL5" s="136" t="s">
        <v>76</v>
      </c>
      <c r="AM5" s="136" t="s">
        <v>71</v>
      </c>
      <c r="AN5" s="136" t="s">
        <v>77</v>
      </c>
      <c r="AO5" s="136" t="s">
        <v>78</v>
      </c>
      <c r="AP5" s="136" t="s">
        <v>79</v>
      </c>
      <c r="AQ5" s="137" t="s">
        <v>80</v>
      </c>
      <c r="AR5" s="137" t="s">
        <v>81</v>
      </c>
      <c r="AS5" s="137" t="s">
        <v>71</v>
      </c>
      <c r="AT5" s="137" t="s">
        <v>82</v>
      </c>
      <c r="AU5" s="138" t="s">
        <v>83</v>
      </c>
      <c r="AV5" s="139" t="s">
        <v>84</v>
      </c>
      <c r="AW5" s="140" t="s">
        <v>82</v>
      </c>
      <c r="AX5" s="141" t="s">
        <v>85</v>
      </c>
      <c r="AY5" s="141" t="s">
        <v>86</v>
      </c>
      <c r="AZ5" s="141" t="s">
        <v>87</v>
      </c>
      <c r="BA5" s="141" t="s">
        <v>71</v>
      </c>
      <c r="BB5" s="142" t="s">
        <v>88</v>
      </c>
      <c r="BC5" s="143" t="s">
        <v>89</v>
      </c>
      <c r="BD5" s="144" t="s">
        <v>120</v>
      </c>
      <c r="BE5" s="221"/>
      <c r="BF5" s="141" t="s">
        <v>90</v>
      </c>
      <c r="BG5" s="141" t="s">
        <v>91</v>
      </c>
      <c r="BH5" s="141" t="s">
        <v>92</v>
      </c>
      <c r="BI5" s="141" t="s">
        <v>93</v>
      </c>
      <c r="BJ5" s="141" t="s">
        <v>94</v>
      </c>
      <c r="BK5" s="145" t="s">
        <v>87</v>
      </c>
      <c r="BL5" s="135" t="s">
        <v>71</v>
      </c>
      <c r="BM5" s="135" t="s">
        <v>82</v>
      </c>
      <c r="BN5" s="146" t="s">
        <v>95</v>
      </c>
      <c r="BO5" s="146" t="s">
        <v>96</v>
      </c>
      <c r="BP5" s="227"/>
      <c r="BQ5" s="225"/>
      <c r="BR5" s="229"/>
      <c r="BS5" s="225"/>
      <c r="BT5" s="225"/>
      <c r="BU5" s="229"/>
      <c r="BV5" s="229"/>
      <c r="BW5" s="229"/>
      <c r="BX5" s="278"/>
      <c r="BY5" s="229"/>
      <c r="BZ5" s="229"/>
      <c r="CA5" s="229"/>
      <c r="CB5" s="229"/>
      <c r="CC5" s="147" t="s">
        <v>97</v>
      </c>
      <c r="CD5" s="147" t="s">
        <v>98</v>
      </c>
      <c r="CE5" s="280"/>
      <c r="CF5" s="282"/>
      <c r="CG5" s="148" t="s">
        <v>99</v>
      </c>
      <c r="CH5" s="148" t="s">
        <v>100</v>
      </c>
      <c r="CI5" s="148" t="s">
        <v>101</v>
      </c>
      <c r="CJ5" s="148" t="s">
        <v>102</v>
      </c>
      <c r="CK5" s="148" t="s">
        <v>103</v>
      </c>
      <c r="CL5" s="148" t="s">
        <v>104</v>
      </c>
      <c r="CM5" s="148" t="s">
        <v>105</v>
      </c>
      <c r="CN5" s="148" t="s">
        <v>106</v>
      </c>
      <c r="CO5" s="148" t="s">
        <v>107</v>
      </c>
      <c r="CP5" s="149" t="s">
        <v>108</v>
      </c>
      <c r="CQ5" s="150" t="s">
        <v>109</v>
      </c>
      <c r="CR5" s="150" t="s">
        <v>110</v>
      </c>
      <c r="CS5" s="150" t="s">
        <v>70</v>
      </c>
      <c r="CT5" s="213"/>
      <c r="CU5" s="215"/>
      <c r="CV5" s="151"/>
      <c r="CW5" s="152"/>
      <c r="CX5" s="152"/>
      <c r="CY5" s="153"/>
    </row>
    <row r="6" spans="1:103" x14ac:dyDescent="0.2">
      <c r="A6" s="2">
        <v>45879</v>
      </c>
      <c r="B6" s="3" t="s">
        <v>569</v>
      </c>
      <c r="C6" s="4" t="s">
        <v>854</v>
      </c>
      <c r="D6" s="5" t="s">
        <v>570</v>
      </c>
      <c r="E6" s="6" t="s">
        <v>571</v>
      </c>
      <c r="F6" s="7" t="s">
        <v>575</v>
      </c>
      <c r="G6" s="8" t="s">
        <v>572</v>
      </c>
      <c r="H6" s="9">
        <v>2959</v>
      </c>
      <c r="I6" s="10"/>
      <c r="J6" s="11" t="s">
        <v>573</v>
      </c>
      <c r="K6" s="12">
        <v>1</v>
      </c>
      <c r="L6" s="13">
        <v>600</v>
      </c>
      <c r="M6" s="14">
        <f t="shared" ref="M6" si="0">L6*K6</f>
        <v>600</v>
      </c>
      <c r="N6" s="15"/>
      <c r="O6" s="16" t="s">
        <v>137</v>
      </c>
      <c r="P6" s="17">
        <f>M6*0.02</f>
        <v>12</v>
      </c>
      <c r="Q6" s="18"/>
      <c r="R6" s="5"/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E6" s="5"/>
      <c r="AF6" s="19"/>
      <c r="AG6" s="5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T6" s="5"/>
      <c r="AU6" s="19"/>
      <c r="AV6" s="5"/>
      <c r="AW6" s="17">
        <f>M6+P6-Q6</f>
        <v>612</v>
      </c>
      <c r="AX6" s="19"/>
      <c r="AY6" s="5"/>
      <c r="AZ6" s="19"/>
      <c r="BA6" s="5"/>
      <c r="BB6" s="5"/>
      <c r="BC6" s="19"/>
      <c r="BD6" s="19"/>
      <c r="BE6" s="19"/>
      <c r="BF6" s="19"/>
      <c r="BG6" s="19"/>
      <c r="BH6" s="19"/>
      <c r="BI6" s="19"/>
      <c r="BJ6" s="19"/>
      <c r="BK6" s="13"/>
      <c r="BL6" s="5"/>
      <c r="BM6" s="5"/>
      <c r="BN6" s="19"/>
      <c r="BO6" s="17"/>
      <c r="BP6" s="19"/>
      <c r="BQ6" s="17"/>
      <c r="BR6" s="19"/>
      <c r="BS6" s="13"/>
      <c r="BT6" s="5"/>
      <c r="BU6" s="23"/>
      <c r="BV6" s="23"/>
      <c r="BW6" s="24"/>
      <c r="BX6" s="5"/>
      <c r="BY6" s="5"/>
      <c r="BZ6" s="5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>
        <f>SUM(Q6:CT6)-P6</f>
        <v>600</v>
      </c>
      <c r="CV6" s="25">
        <f>CU6-M6</f>
        <v>0</v>
      </c>
    </row>
    <row r="7" spans="1:103" x14ac:dyDescent="0.2">
      <c r="A7" s="27"/>
      <c r="B7" s="28"/>
      <c r="C7" s="29"/>
      <c r="D7" s="30"/>
      <c r="E7" s="31"/>
      <c r="F7" s="32"/>
      <c r="G7" s="33"/>
      <c r="H7" s="34"/>
      <c r="I7" s="34"/>
      <c r="J7" s="35"/>
      <c r="K7" s="36"/>
      <c r="L7" s="37"/>
      <c r="M7" s="38">
        <f>SUM(M6:M6)</f>
        <v>600</v>
      </c>
      <c r="N7" s="38"/>
      <c r="O7" s="39" t="s">
        <v>137</v>
      </c>
      <c r="P7" s="38">
        <f>SUM(P6:P6)</f>
        <v>12</v>
      </c>
      <c r="Q7" s="38"/>
      <c r="R7" s="30"/>
      <c r="S7" s="38">
        <f t="shared" ref="S7:AD7" si="1">SUM(S6:S6)</f>
        <v>0</v>
      </c>
      <c r="T7" s="38">
        <f t="shared" si="1"/>
        <v>0</v>
      </c>
      <c r="U7" s="38">
        <f t="shared" si="1"/>
        <v>0</v>
      </c>
      <c r="V7" s="38">
        <f t="shared" si="1"/>
        <v>0</v>
      </c>
      <c r="W7" s="38">
        <f t="shared" si="1"/>
        <v>0</v>
      </c>
      <c r="X7" s="38">
        <f t="shared" si="1"/>
        <v>0</v>
      </c>
      <c r="Y7" s="38">
        <f t="shared" si="1"/>
        <v>0</v>
      </c>
      <c r="Z7" s="38">
        <f t="shared" si="1"/>
        <v>0</v>
      </c>
      <c r="AA7" s="38">
        <f t="shared" si="1"/>
        <v>0</v>
      </c>
      <c r="AB7" s="38">
        <f t="shared" si="1"/>
        <v>0</v>
      </c>
      <c r="AC7" s="38">
        <f t="shared" si="1"/>
        <v>0</v>
      </c>
      <c r="AD7" s="38">
        <f t="shared" si="1"/>
        <v>0</v>
      </c>
      <c r="AE7" s="30"/>
      <c r="AF7" s="38">
        <f>SUM(AF6:AF6)</f>
        <v>0</v>
      </c>
      <c r="AG7" s="30"/>
      <c r="AH7" s="38">
        <f t="shared" ref="AH7:AZ7" si="2">SUM(AH6:AH6)</f>
        <v>0</v>
      </c>
      <c r="AI7" s="38">
        <f t="shared" si="2"/>
        <v>0</v>
      </c>
      <c r="AJ7" s="38">
        <f t="shared" si="2"/>
        <v>0</v>
      </c>
      <c r="AK7" s="38">
        <f t="shared" si="2"/>
        <v>0</v>
      </c>
      <c r="AL7" s="38">
        <f t="shared" si="2"/>
        <v>0</v>
      </c>
      <c r="AM7" s="38">
        <f t="shared" si="2"/>
        <v>0</v>
      </c>
      <c r="AN7" s="38">
        <f t="shared" si="2"/>
        <v>0</v>
      </c>
      <c r="AO7" s="38">
        <f t="shared" si="2"/>
        <v>0</v>
      </c>
      <c r="AP7" s="38">
        <f t="shared" si="2"/>
        <v>0</v>
      </c>
      <c r="AQ7" s="38">
        <f t="shared" si="2"/>
        <v>0</v>
      </c>
      <c r="AR7" s="38">
        <f t="shared" si="2"/>
        <v>0</v>
      </c>
      <c r="AS7" s="38">
        <f t="shared" si="2"/>
        <v>0</v>
      </c>
      <c r="AT7" s="38">
        <f t="shared" si="2"/>
        <v>0</v>
      </c>
      <c r="AU7" s="38">
        <f t="shared" si="2"/>
        <v>0</v>
      </c>
      <c r="AV7" s="38">
        <f t="shared" si="2"/>
        <v>0</v>
      </c>
      <c r="AW7" s="38">
        <f>SUM(AW6:AW6)</f>
        <v>612</v>
      </c>
      <c r="AX7" s="38">
        <f t="shared" si="2"/>
        <v>0</v>
      </c>
      <c r="AY7" s="38">
        <f t="shared" si="2"/>
        <v>0</v>
      </c>
      <c r="AZ7" s="38">
        <f t="shared" si="2"/>
        <v>0</v>
      </c>
      <c r="BA7" s="30"/>
      <c r="BB7" s="38">
        <f t="shared" ref="BB7:CT7" si="3">SUM(BB6:BB6)</f>
        <v>0</v>
      </c>
      <c r="BC7" s="38">
        <f t="shared" si="3"/>
        <v>0</v>
      </c>
      <c r="BD7" s="38">
        <f t="shared" si="3"/>
        <v>0</v>
      </c>
      <c r="BE7" s="38">
        <f t="shared" si="3"/>
        <v>0</v>
      </c>
      <c r="BF7" s="38">
        <f t="shared" si="3"/>
        <v>0</v>
      </c>
      <c r="BG7" s="38">
        <f t="shared" si="3"/>
        <v>0</v>
      </c>
      <c r="BH7" s="38">
        <f t="shared" si="3"/>
        <v>0</v>
      </c>
      <c r="BI7" s="38">
        <f t="shared" si="3"/>
        <v>0</v>
      </c>
      <c r="BJ7" s="38">
        <f t="shared" si="3"/>
        <v>0</v>
      </c>
      <c r="BK7" s="38">
        <f t="shared" si="3"/>
        <v>0</v>
      </c>
      <c r="BL7" s="38">
        <f t="shared" si="3"/>
        <v>0</v>
      </c>
      <c r="BM7" s="38">
        <f t="shared" si="3"/>
        <v>0</v>
      </c>
      <c r="BN7" s="38">
        <f t="shared" si="3"/>
        <v>0</v>
      </c>
      <c r="BO7" s="38">
        <f t="shared" si="3"/>
        <v>0</v>
      </c>
      <c r="BP7" s="38">
        <f t="shared" si="3"/>
        <v>0</v>
      </c>
      <c r="BQ7" s="38">
        <f t="shared" si="3"/>
        <v>0</v>
      </c>
      <c r="BR7" s="38">
        <f t="shared" si="3"/>
        <v>0</v>
      </c>
      <c r="BS7" s="38">
        <f t="shared" si="3"/>
        <v>0</v>
      </c>
      <c r="BT7" s="38">
        <f t="shared" si="3"/>
        <v>0</v>
      </c>
      <c r="BU7" s="38">
        <f t="shared" si="3"/>
        <v>0</v>
      </c>
      <c r="BV7" s="38">
        <f t="shared" si="3"/>
        <v>0</v>
      </c>
      <c r="BW7" s="38">
        <f t="shared" si="3"/>
        <v>0</v>
      </c>
      <c r="BX7" s="38">
        <f t="shared" si="3"/>
        <v>0</v>
      </c>
      <c r="BY7" s="38">
        <f t="shared" si="3"/>
        <v>0</v>
      </c>
      <c r="BZ7" s="38">
        <f t="shared" si="3"/>
        <v>0</v>
      </c>
      <c r="CA7" s="38">
        <f t="shared" si="3"/>
        <v>0</v>
      </c>
      <c r="CB7" s="38">
        <f t="shared" si="3"/>
        <v>0</v>
      </c>
      <c r="CC7" s="38">
        <f t="shared" si="3"/>
        <v>0</v>
      </c>
      <c r="CD7" s="38">
        <f t="shared" si="3"/>
        <v>0</v>
      </c>
      <c r="CE7" s="38">
        <f t="shared" si="3"/>
        <v>0</v>
      </c>
      <c r="CF7" s="38">
        <f t="shared" si="3"/>
        <v>0</v>
      </c>
      <c r="CG7" s="38">
        <f t="shared" si="3"/>
        <v>0</v>
      </c>
      <c r="CH7" s="38">
        <f t="shared" si="3"/>
        <v>0</v>
      </c>
      <c r="CI7" s="38">
        <f t="shared" si="3"/>
        <v>0</v>
      </c>
      <c r="CJ7" s="38">
        <f t="shared" si="3"/>
        <v>0</v>
      </c>
      <c r="CK7" s="38">
        <f t="shared" si="3"/>
        <v>0</v>
      </c>
      <c r="CL7" s="38">
        <f t="shared" si="3"/>
        <v>0</v>
      </c>
      <c r="CM7" s="38">
        <f t="shared" si="3"/>
        <v>0</v>
      </c>
      <c r="CN7" s="38">
        <f t="shared" si="3"/>
        <v>0</v>
      </c>
      <c r="CO7" s="38">
        <f t="shared" si="3"/>
        <v>0</v>
      </c>
      <c r="CP7" s="38">
        <f t="shared" si="3"/>
        <v>0</v>
      </c>
      <c r="CQ7" s="38">
        <f t="shared" si="3"/>
        <v>0</v>
      </c>
      <c r="CR7" s="38">
        <f t="shared" si="3"/>
        <v>0</v>
      </c>
      <c r="CS7" s="38">
        <f t="shared" si="3"/>
        <v>0</v>
      </c>
      <c r="CT7" s="38">
        <f t="shared" si="3"/>
        <v>0</v>
      </c>
      <c r="CU7" s="17">
        <f t="shared" ref="CU7:CU70" si="4">SUM(Q7:CT7)-P7</f>
        <v>600</v>
      </c>
      <c r="CV7" s="25">
        <f t="shared" ref="CV7:CV70" si="5">CU7-M7</f>
        <v>0</v>
      </c>
    </row>
    <row r="8" spans="1:103" x14ac:dyDescent="0.2">
      <c r="A8" s="2">
        <v>45878</v>
      </c>
      <c r="B8" s="3" t="s">
        <v>569</v>
      </c>
      <c r="C8" s="4" t="s">
        <v>855</v>
      </c>
      <c r="D8" s="5" t="s">
        <v>570</v>
      </c>
      <c r="E8" s="6" t="s">
        <v>571</v>
      </c>
      <c r="F8" s="7" t="s">
        <v>575</v>
      </c>
      <c r="G8" s="8" t="s">
        <v>572</v>
      </c>
      <c r="H8" s="9">
        <v>2958</v>
      </c>
      <c r="I8" s="10"/>
      <c r="J8" s="11" t="s">
        <v>573</v>
      </c>
      <c r="K8" s="12">
        <v>1</v>
      </c>
      <c r="L8" s="13">
        <v>600</v>
      </c>
      <c r="M8" s="14">
        <f t="shared" ref="M8" si="6">L8*K8</f>
        <v>600</v>
      </c>
      <c r="N8" s="15"/>
      <c r="O8" s="16" t="s">
        <v>137</v>
      </c>
      <c r="P8" s="17">
        <f>M8*0.02</f>
        <v>12</v>
      </c>
      <c r="Q8" s="18"/>
      <c r="R8" s="5"/>
      <c r="S8" s="19"/>
      <c r="T8" s="19"/>
      <c r="U8" s="19"/>
      <c r="V8" s="19"/>
      <c r="W8" s="17"/>
      <c r="X8" s="20"/>
      <c r="Y8" s="19"/>
      <c r="Z8" s="19"/>
      <c r="AA8" s="19"/>
      <c r="AB8" s="19"/>
      <c r="AC8" s="19"/>
      <c r="AD8" s="19"/>
      <c r="AE8" s="5"/>
      <c r="AF8" s="19"/>
      <c r="AG8" s="5"/>
      <c r="AH8" s="17"/>
      <c r="AI8" s="19"/>
      <c r="AJ8" s="19"/>
      <c r="AK8" s="19"/>
      <c r="AL8" s="19"/>
      <c r="AM8" s="17"/>
      <c r="AN8" s="19"/>
      <c r="AO8" s="19"/>
      <c r="AP8" s="19"/>
      <c r="AQ8" s="19"/>
      <c r="AR8" s="19"/>
      <c r="AS8" s="21"/>
      <c r="AT8" s="5"/>
      <c r="AU8" s="19"/>
      <c r="AV8" s="5"/>
      <c r="AW8" s="17">
        <f>M8+P8-Q8</f>
        <v>612</v>
      </c>
      <c r="AX8" s="19"/>
      <c r="AY8" s="5"/>
      <c r="AZ8" s="19"/>
      <c r="BA8" s="5"/>
      <c r="BB8" s="5"/>
      <c r="BC8" s="19"/>
      <c r="BD8" s="19"/>
      <c r="BE8" s="19"/>
      <c r="BF8" s="19"/>
      <c r="BG8" s="19"/>
      <c r="BH8" s="19"/>
      <c r="BI8" s="19"/>
      <c r="BJ8" s="19"/>
      <c r="BK8" s="13"/>
      <c r="BL8" s="5"/>
      <c r="BM8" s="5"/>
      <c r="BN8" s="19"/>
      <c r="BO8" s="17"/>
      <c r="BP8" s="19"/>
      <c r="BQ8" s="17"/>
      <c r="BR8" s="19"/>
      <c r="BS8" s="13"/>
      <c r="BT8" s="5"/>
      <c r="BU8" s="23"/>
      <c r="BV8" s="23"/>
      <c r="BW8" s="24"/>
      <c r="BX8" s="5"/>
      <c r="BY8" s="5"/>
      <c r="BZ8" s="5"/>
      <c r="CA8" s="24"/>
      <c r="CB8" s="24"/>
      <c r="CC8" s="24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>
        <f t="shared" si="4"/>
        <v>600</v>
      </c>
      <c r="CV8" s="25">
        <f t="shared" si="5"/>
        <v>0</v>
      </c>
    </row>
    <row r="9" spans="1:103" x14ac:dyDescent="0.2">
      <c r="A9" s="27"/>
      <c r="B9" s="28"/>
      <c r="C9" s="29"/>
      <c r="D9" s="30"/>
      <c r="E9" s="31"/>
      <c r="F9" s="32"/>
      <c r="G9" s="33"/>
      <c r="H9" s="34"/>
      <c r="I9" s="34"/>
      <c r="J9" s="35"/>
      <c r="K9" s="36"/>
      <c r="L9" s="37"/>
      <c r="M9" s="38">
        <f>SUM(M8:M8)</f>
        <v>600</v>
      </c>
      <c r="N9" s="38"/>
      <c r="O9" s="39" t="s">
        <v>137</v>
      </c>
      <c r="P9" s="38">
        <f>SUM(P8:P8)</f>
        <v>12</v>
      </c>
      <c r="Q9" s="38"/>
      <c r="R9" s="30"/>
      <c r="S9" s="38">
        <f t="shared" ref="S9:AD9" si="7">SUM(S8:S8)</f>
        <v>0</v>
      </c>
      <c r="T9" s="38">
        <f t="shared" si="7"/>
        <v>0</v>
      </c>
      <c r="U9" s="38">
        <f t="shared" si="7"/>
        <v>0</v>
      </c>
      <c r="V9" s="38">
        <f t="shared" si="7"/>
        <v>0</v>
      </c>
      <c r="W9" s="38">
        <f t="shared" si="7"/>
        <v>0</v>
      </c>
      <c r="X9" s="38">
        <f t="shared" si="7"/>
        <v>0</v>
      </c>
      <c r="Y9" s="38">
        <f t="shared" si="7"/>
        <v>0</v>
      </c>
      <c r="Z9" s="38">
        <f t="shared" si="7"/>
        <v>0</v>
      </c>
      <c r="AA9" s="38">
        <f t="shared" si="7"/>
        <v>0</v>
      </c>
      <c r="AB9" s="38">
        <f t="shared" si="7"/>
        <v>0</v>
      </c>
      <c r="AC9" s="38">
        <f t="shared" si="7"/>
        <v>0</v>
      </c>
      <c r="AD9" s="38">
        <f t="shared" si="7"/>
        <v>0</v>
      </c>
      <c r="AE9" s="30"/>
      <c r="AF9" s="38">
        <f>SUM(AF8:AF8)</f>
        <v>0</v>
      </c>
      <c r="AG9" s="30"/>
      <c r="AH9" s="38">
        <f t="shared" ref="AH9:AZ9" si="8">SUM(AH8:AH8)</f>
        <v>0</v>
      </c>
      <c r="AI9" s="38">
        <f t="shared" si="8"/>
        <v>0</v>
      </c>
      <c r="AJ9" s="38">
        <f t="shared" si="8"/>
        <v>0</v>
      </c>
      <c r="AK9" s="38">
        <f t="shared" si="8"/>
        <v>0</v>
      </c>
      <c r="AL9" s="38">
        <f t="shared" si="8"/>
        <v>0</v>
      </c>
      <c r="AM9" s="38">
        <f t="shared" si="8"/>
        <v>0</v>
      </c>
      <c r="AN9" s="38">
        <f t="shared" si="8"/>
        <v>0</v>
      </c>
      <c r="AO9" s="38">
        <f t="shared" si="8"/>
        <v>0</v>
      </c>
      <c r="AP9" s="38">
        <f t="shared" si="8"/>
        <v>0</v>
      </c>
      <c r="AQ9" s="38">
        <f t="shared" si="8"/>
        <v>0</v>
      </c>
      <c r="AR9" s="38">
        <f t="shared" si="8"/>
        <v>0</v>
      </c>
      <c r="AS9" s="38">
        <f t="shared" si="8"/>
        <v>0</v>
      </c>
      <c r="AT9" s="38">
        <f t="shared" si="8"/>
        <v>0</v>
      </c>
      <c r="AU9" s="38">
        <f t="shared" si="8"/>
        <v>0</v>
      </c>
      <c r="AV9" s="38">
        <f t="shared" si="8"/>
        <v>0</v>
      </c>
      <c r="AW9" s="38">
        <f>SUM(AW8:AW8)</f>
        <v>612</v>
      </c>
      <c r="AX9" s="38">
        <f t="shared" si="8"/>
        <v>0</v>
      </c>
      <c r="AY9" s="38">
        <f t="shared" si="8"/>
        <v>0</v>
      </c>
      <c r="AZ9" s="38">
        <f t="shared" si="8"/>
        <v>0</v>
      </c>
      <c r="BA9" s="30"/>
      <c r="BB9" s="38">
        <f t="shared" ref="BB9:CT9" si="9">SUM(BB8:BB8)</f>
        <v>0</v>
      </c>
      <c r="BC9" s="38">
        <f t="shared" si="9"/>
        <v>0</v>
      </c>
      <c r="BD9" s="38">
        <f t="shared" si="9"/>
        <v>0</v>
      </c>
      <c r="BE9" s="38">
        <f t="shared" si="9"/>
        <v>0</v>
      </c>
      <c r="BF9" s="38">
        <f t="shared" si="9"/>
        <v>0</v>
      </c>
      <c r="BG9" s="38">
        <f t="shared" si="9"/>
        <v>0</v>
      </c>
      <c r="BH9" s="38">
        <f t="shared" si="9"/>
        <v>0</v>
      </c>
      <c r="BI9" s="38">
        <f t="shared" si="9"/>
        <v>0</v>
      </c>
      <c r="BJ9" s="38">
        <f t="shared" si="9"/>
        <v>0</v>
      </c>
      <c r="BK9" s="38">
        <f t="shared" si="9"/>
        <v>0</v>
      </c>
      <c r="BL9" s="38">
        <f t="shared" si="9"/>
        <v>0</v>
      </c>
      <c r="BM9" s="38">
        <f t="shared" si="9"/>
        <v>0</v>
      </c>
      <c r="BN9" s="38">
        <f t="shared" si="9"/>
        <v>0</v>
      </c>
      <c r="BO9" s="38">
        <f t="shared" si="9"/>
        <v>0</v>
      </c>
      <c r="BP9" s="38">
        <f t="shared" si="9"/>
        <v>0</v>
      </c>
      <c r="BQ9" s="38">
        <f t="shared" si="9"/>
        <v>0</v>
      </c>
      <c r="BR9" s="38">
        <f t="shared" si="9"/>
        <v>0</v>
      </c>
      <c r="BS9" s="38">
        <f t="shared" si="9"/>
        <v>0</v>
      </c>
      <c r="BT9" s="38">
        <f t="shared" si="9"/>
        <v>0</v>
      </c>
      <c r="BU9" s="38">
        <f t="shared" si="9"/>
        <v>0</v>
      </c>
      <c r="BV9" s="38">
        <f t="shared" si="9"/>
        <v>0</v>
      </c>
      <c r="BW9" s="38">
        <f t="shared" si="9"/>
        <v>0</v>
      </c>
      <c r="BX9" s="38">
        <f t="shared" si="9"/>
        <v>0</v>
      </c>
      <c r="BY9" s="38">
        <f t="shared" si="9"/>
        <v>0</v>
      </c>
      <c r="BZ9" s="38">
        <f t="shared" si="9"/>
        <v>0</v>
      </c>
      <c r="CA9" s="38">
        <f t="shared" si="9"/>
        <v>0</v>
      </c>
      <c r="CB9" s="38">
        <f t="shared" si="9"/>
        <v>0</v>
      </c>
      <c r="CC9" s="38">
        <f t="shared" si="9"/>
        <v>0</v>
      </c>
      <c r="CD9" s="38">
        <f t="shared" si="9"/>
        <v>0</v>
      </c>
      <c r="CE9" s="38">
        <f t="shared" si="9"/>
        <v>0</v>
      </c>
      <c r="CF9" s="38">
        <f t="shared" si="9"/>
        <v>0</v>
      </c>
      <c r="CG9" s="38">
        <f t="shared" si="9"/>
        <v>0</v>
      </c>
      <c r="CH9" s="38">
        <f t="shared" si="9"/>
        <v>0</v>
      </c>
      <c r="CI9" s="38">
        <f t="shared" si="9"/>
        <v>0</v>
      </c>
      <c r="CJ9" s="38">
        <f t="shared" si="9"/>
        <v>0</v>
      </c>
      <c r="CK9" s="38">
        <f t="shared" si="9"/>
        <v>0</v>
      </c>
      <c r="CL9" s="38">
        <f t="shared" si="9"/>
        <v>0</v>
      </c>
      <c r="CM9" s="38">
        <f t="shared" si="9"/>
        <v>0</v>
      </c>
      <c r="CN9" s="38">
        <f t="shared" si="9"/>
        <v>0</v>
      </c>
      <c r="CO9" s="38">
        <f t="shared" si="9"/>
        <v>0</v>
      </c>
      <c r="CP9" s="38">
        <f t="shared" si="9"/>
        <v>0</v>
      </c>
      <c r="CQ9" s="38">
        <f t="shared" si="9"/>
        <v>0</v>
      </c>
      <c r="CR9" s="38">
        <f t="shared" si="9"/>
        <v>0</v>
      </c>
      <c r="CS9" s="38">
        <f t="shared" si="9"/>
        <v>0</v>
      </c>
      <c r="CT9" s="38">
        <f t="shared" si="9"/>
        <v>0</v>
      </c>
      <c r="CU9" s="17">
        <f t="shared" si="4"/>
        <v>600</v>
      </c>
      <c r="CV9" s="25">
        <f t="shared" si="5"/>
        <v>0</v>
      </c>
    </row>
    <row r="10" spans="1:103" x14ac:dyDescent="0.2">
      <c r="A10" s="2">
        <v>45881</v>
      </c>
      <c r="B10" s="3" t="s">
        <v>569</v>
      </c>
      <c r="C10" s="4" t="s">
        <v>856</v>
      </c>
      <c r="D10" s="5" t="s">
        <v>570</v>
      </c>
      <c r="E10" s="6" t="s">
        <v>571</v>
      </c>
      <c r="F10" s="7" t="s">
        <v>575</v>
      </c>
      <c r="G10" s="8" t="s">
        <v>572</v>
      </c>
      <c r="H10" s="9">
        <v>2961</v>
      </c>
      <c r="I10" s="10"/>
      <c r="J10" s="11" t="s">
        <v>573</v>
      </c>
      <c r="K10" s="12">
        <v>1</v>
      </c>
      <c r="L10" s="13">
        <v>1200</v>
      </c>
      <c r="M10" s="14">
        <f t="shared" ref="M10" si="10">L10*K10</f>
        <v>1200</v>
      </c>
      <c r="N10" s="15"/>
      <c r="O10" s="16" t="s">
        <v>137</v>
      </c>
      <c r="P10" s="17">
        <f>M10*0.02</f>
        <v>24</v>
      </c>
      <c r="Q10" s="18"/>
      <c r="R10" s="5"/>
      <c r="S10" s="19"/>
      <c r="T10" s="19"/>
      <c r="U10" s="19"/>
      <c r="V10" s="19"/>
      <c r="W10" s="17"/>
      <c r="X10" s="20"/>
      <c r="Y10" s="19"/>
      <c r="Z10" s="19"/>
      <c r="AA10" s="19"/>
      <c r="AB10" s="19"/>
      <c r="AC10" s="19"/>
      <c r="AD10" s="19"/>
      <c r="AE10" s="5"/>
      <c r="AF10" s="19"/>
      <c r="AG10" s="5"/>
      <c r="AH10" s="17"/>
      <c r="AI10" s="19"/>
      <c r="AJ10" s="19"/>
      <c r="AK10" s="19"/>
      <c r="AL10" s="19"/>
      <c r="AM10" s="17"/>
      <c r="AN10" s="19"/>
      <c r="AO10" s="19"/>
      <c r="AP10" s="19"/>
      <c r="AQ10" s="19"/>
      <c r="AR10" s="19"/>
      <c r="AS10" s="21"/>
      <c r="AT10" s="5"/>
      <c r="AU10" s="19"/>
      <c r="AV10" s="5"/>
      <c r="AW10" s="17">
        <f>M10+P10-Q10</f>
        <v>1224</v>
      </c>
      <c r="AX10" s="19"/>
      <c r="AY10" s="5"/>
      <c r="AZ10" s="19"/>
      <c r="BA10" s="5"/>
      <c r="BB10" s="5"/>
      <c r="BC10" s="19"/>
      <c r="BD10" s="19"/>
      <c r="BE10" s="19"/>
      <c r="BF10" s="19"/>
      <c r="BG10" s="19"/>
      <c r="BH10" s="19"/>
      <c r="BI10" s="19"/>
      <c r="BJ10" s="19"/>
      <c r="BK10" s="13"/>
      <c r="BL10" s="5"/>
      <c r="BM10" s="5"/>
      <c r="BN10" s="19"/>
      <c r="BO10" s="17"/>
      <c r="BP10" s="19"/>
      <c r="BQ10" s="17"/>
      <c r="BR10" s="19"/>
      <c r="BS10" s="13"/>
      <c r="BT10" s="5"/>
      <c r="BU10" s="23"/>
      <c r="BV10" s="23"/>
      <c r="BW10" s="24"/>
      <c r="BX10" s="5"/>
      <c r="BY10" s="5"/>
      <c r="BZ10" s="5"/>
      <c r="CA10" s="24"/>
      <c r="CB10" s="24"/>
      <c r="CC10" s="24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>
        <f t="shared" si="4"/>
        <v>1200</v>
      </c>
      <c r="CV10" s="25">
        <f t="shared" si="5"/>
        <v>0</v>
      </c>
    </row>
    <row r="11" spans="1:103" x14ac:dyDescent="0.2">
      <c r="A11" s="27"/>
      <c r="B11" s="28"/>
      <c r="C11" s="29"/>
      <c r="D11" s="30"/>
      <c r="E11" s="31"/>
      <c r="F11" s="32"/>
      <c r="G11" s="33"/>
      <c r="H11" s="34"/>
      <c r="I11" s="34"/>
      <c r="J11" s="35"/>
      <c r="K11" s="36"/>
      <c r="L11" s="37"/>
      <c r="M11" s="38">
        <f>SUM(M10:M10)</f>
        <v>1200</v>
      </c>
      <c r="N11" s="38"/>
      <c r="O11" s="39" t="s">
        <v>137</v>
      </c>
      <c r="P11" s="38">
        <f>SUM(P10:P10)</f>
        <v>24</v>
      </c>
      <c r="Q11" s="38"/>
      <c r="R11" s="30"/>
      <c r="S11" s="38">
        <f t="shared" ref="S11:AD11" si="11">SUM(S10:S10)</f>
        <v>0</v>
      </c>
      <c r="T11" s="38">
        <f t="shared" si="11"/>
        <v>0</v>
      </c>
      <c r="U11" s="38">
        <f t="shared" si="11"/>
        <v>0</v>
      </c>
      <c r="V11" s="38">
        <f t="shared" si="11"/>
        <v>0</v>
      </c>
      <c r="W11" s="38">
        <f t="shared" si="11"/>
        <v>0</v>
      </c>
      <c r="X11" s="38">
        <f t="shared" si="11"/>
        <v>0</v>
      </c>
      <c r="Y11" s="38">
        <f t="shared" si="11"/>
        <v>0</v>
      </c>
      <c r="Z11" s="38">
        <f t="shared" si="11"/>
        <v>0</v>
      </c>
      <c r="AA11" s="38">
        <f t="shared" si="11"/>
        <v>0</v>
      </c>
      <c r="AB11" s="38">
        <f t="shared" si="11"/>
        <v>0</v>
      </c>
      <c r="AC11" s="38">
        <f t="shared" si="11"/>
        <v>0</v>
      </c>
      <c r="AD11" s="38">
        <f t="shared" si="11"/>
        <v>0</v>
      </c>
      <c r="AE11" s="30"/>
      <c r="AF11" s="38">
        <f>SUM(AF10:AF10)</f>
        <v>0</v>
      </c>
      <c r="AG11" s="30"/>
      <c r="AH11" s="38">
        <f t="shared" ref="AH11:AZ11" si="12">SUM(AH10:AH10)</f>
        <v>0</v>
      </c>
      <c r="AI11" s="38">
        <f t="shared" si="12"/>
        <v>0</v>
      </c>
      <c r="AJ11" s="38">
        <f t="shared" si="12"/>
        <v>0</v>
      </c>
      <c r="AK11" s="38">
        <f t="shared" si="12"/>
        <v>0</v>
      </c>
      <c r="AL11" s="38">
        <f t="shared" si="12"/>
        <v>0</v>
      </c>
      <c r="AM11" s="38">
        <f t="shared" si="12"/>
        <v>0</v>
      </c>
      <c r="AN11" s="38">
        <f t="shared" si="12"/>
        <v>0</v>
      </c>
      <c r="AO11" s="38">
        <f t="shared" si="12"/>
        <v>0</v>
      </c>
      <c r="AP11" s="38">
        <f t="shared" si="12"/>
        <v>0</v>
      </c>
      <c r="AQ11" s="38">
        <f t="shared" si="12"/>
        <v>0</v>
      </c>
      <c r="AR11" s="38">
        <f t="shared" si="12"/>
        <v>0</v>
      </c>
      <c r="AS11" s="38">
        <f t="shared" si="12"/>
        <v>0</v>
      </c>
      <c r="AT11" s="38">
        <f t="shared" si="12"/>
        <v>0</v>
      </c>
      <c r="AU11" s="38">
        <f t="shared" si="12"/>
        <v>0</v>
      </c>
      <c r="AV11" s="38">
        <f t="shared" si="12"/>
        <v>0</v>
      </c>
      <c r="AW11" s="38">
        <f>SUM(AW10:AW10)</f>
        <v>1224</v>
      </c>
      <c r="AX11" s="38">
        <f t="shared" si="12"/>
        <v>0</v>
      </c>
      <c r="AY11" s="38">
        <f t="shared" si="12"/>
        <v>0</v>
      </c>
      <c r="AZ11" s="38">
        <f t="shared" si="12"/>
        <v>0</v>
      </c>
      <c r="BA11" s="30"/>
      <c r="BB11" s="38">
        <f t="shared" ref="BB11:CT11" si="13">SUM(BB10:BB10)</f>
        <v>0</v>
      </c>
      <c r="BC11" s="38">
        <f t="shared" si="13"/>
        <v>0</v>
      </c>
      <c r="BD11" s="38">
        <f t="shared" si="13"/>
        <v>0</v>
      </c>
      <c r="BE11" s="38">
        <f t="shared" si="13"/>
        <v>0</v>
      </c>
      <c r="BF11" s="38">
        <f t="shared" si="13"/>
        <v>0</v>
      </c>
      <c r="BG11" s="38">
        <f t="shared" si="13"/>
        <v>0</v>
      </c>
      <c r="BH11" s="38">
        <f t="shared" si="13"/>
        <v>0</v>
      </c>
      <c r="BI11" s="38">
        <f t="shared" si="13"/>
        <v>0</v>
      </c>
      <c r="BJ11" s="38">
        <f t="shared" si="13"/>
        <v>0</v>
      </c>
      <c r="BK11" s="38">
        <f t="shared" si="13"/>
        <v>0</v>
      </c>
      <c r="BL11" s="38">
        <f t="shared" si="13"/>
        <v>0</v>
      </c>
      <c r="BM11" s="38">
        <f t="shared" si="13"/>
        <v>0</v>
      </c>
      <c r="BN11" s="38">
        <f t="shared" si="13"/>
        <v>0</v>
      </c>
      <c r="BO11" s="38">
        <f t="shared" si="13"/>
        <v>0</v>
      </c>
      <c r="BP11" s="38">
        <f t="shared" si="13"/>
        <v>0</v>
      </c>
      <c r="BQ11" s="38">
        <f t="shared" si="13"/>
        <v>0</v>
      </c>
      <c r="BR11" s="38">
        <f t="shared" si="13"/>
        <v>0</v>
      </c>
      <c r="BS11" s="38">
        <f t="shared" si="13"/>
        <v>0</v>
      </c>
      <c r="BT11" s="38">
        <f t="shared" si="13"/>
        <v>0</v>
      </c>
      <c r="BU11" s="38">
        <f t="shared" si="13"/>
        <v>0</v>
      </c>
      <c r="BV11" s="38">
        <f t="shared" si="13"/>
        <v>0</v>
      </c>
      <c r="BW11" s="38">
        <f t="shared" si="13"/>
        <v>0</v>
      </c>
      <c r="BX11" s="38">
        <f t="shared" si="13"/>
        <v>0</v>
      </c>
      <c r="BY11" s="38">
        <f t="shared" si="13"/>
        <v>0</v>
      </c>
      <c r="BZ11" s="38">
        <f t="shared" si="13"/>
        <v>0</v>
      </c>
      <c r="CA11" s="38">
        <f t="shared" si="13"/>
        <v>0</v>
      </c>
      <c r="CB11" s="38">
        <f t="shared" si="13"/>
        <v>0</v>
      </c>
      <c r="CC11" s="38">
        <f t="shared" si="13"/>
        <v>0</v>
      </c>
      <c r="CD11" s="38">
        <f t="shared" si="13"/>
        <v>0</v>
      </c>
      <c r="CE11" s="38">
        <f t="shared" si="13"/>
        <v>0</v>
      </c>
      <c r="CF11" s="38">
        <f t="shared" si="13"/>
        <v>0</v>
      </c>
      <c r="CG11" s="38">
        <f t="shared" si="13"/>
        <v>0</v>
      </c>
      <c r="CH11" s="38">
        <f t="shared" si="13"/>
        <v>0</v>
      </c>
      <c r="CI11" s="38">
        <f t="shared" si="13"/>
        <v>0</v>
      </c>
      <c r="CJ11" s="38">
        <f t="shared" si="13"/>
        <v>0</v>
      </c>
      <c r="CK11" s="38">
        <f t="shared" si="13"/>
        <v>0</v>
      </c>
      <c r="CL11" s="38">
        <f t="shared" si="13"/>
        <v>0</v>
      </c>
      <c r="CM11" s="38">
        <f t="shared" si="13"/>
        <v>0</v>
      </c>
      <c r="CN11" s="38">
        <f t="shared" si="13"/>
        <v>0</v>
      </c>
      <c r="CO11" s="38">
        <f t="shared" si="13"/>
        <v>0</v>
      </c>
      <c r="CP11" s="38">
        <f t="shared" si="13"/>
        <v>0</v>
      </c>
      <c r="CQ11" s="38">
        <f t="shared" si="13"/>
        <v>0</v>
      </c>
      <c r="CR11" s="38">
        <f t="shared" si="13"/>
        <v>0</v>
      </c>
      <c r="CS11" s="38">
        <f t="shared" si="13"/>
        <v>0</v>
      </c>
      <c r="CT11" s="38">
        <f t="shared" si="13"/>
        <v>0</v>
      </c>
      <c r="CU11" s="17">
        <f t="shared" si="4"/>
        <v>1200</v>
      </c>
      <c r="CV11" s="25">
        <f t="shared" si="5"/>
        <v>0</v>
      </c>
    </row>
    <row r="12" spans="1:103" x14ac:dyDescent="0.2">
      <c r="A12" s="2">
        <v>45881</v>
      </c>
      <c r="B12" s="3" t="s">
        <v>569</v>
      </c>
      <c r="C12" s="4" t="s">
        <v>857</v>
      </c>
      <c r="D12" s="5" t="s">
        <v>570</v>
      </c>
      <c r="E12" s="6" t="s">
        <v>571</v>
      </c>
      <c r="F12" s="7" t="s">
        <v>575</v>
      </c>
      <c r="G12" s="8" t="s">
        <v>572</v>
      </c>
      <c r="H12" s="9">
        <v>2962</v>
      </c>
      <c r="I12" s="10"/>
      <c r="J12" s="11" t="s">
        <v>576</v>
      </c>
      <c r="K12" s="12">
        <v>1</v>
      </c>
      <c r="L12" s="13">
        <v>900</v>
      </c>
      <c r="M12" s="14">
        <f t="shared" ref="M12" si="14">L12*K12</f>
        <v>900</v>
      </c>
      <c r="N12" s="15"/>
      <c r="O12" s="16" t="s">
        <v>137</v>
      </c>
      <c r="P12" s="17">
        <f>M12*0.02</f>
        <v>18</v>
      </c>
      <c r="Q12" s="18"/>
      <c r="R12" s="5"/>
      <c r="S12" s="19"/>
      <c r="T12" s="19"/>
      <c r="U12" s="19"/>
      <c r="V12" s="19"/>
      <c r="W12" s="17"/>
      <c r="X12" s="20"/>
      <c r="Y12" s="19"/>
      <c r="Z12" s="19"/>
      <c r="AA12" s="19"/>
      <c r="AB12" s="19"/>
      <c r="AC12" s="19"/>
      <c r="AD12" s="19"/>
      <c r="AE12" s="5"/>
      <c r="AF12" s="19"/>
      <c r="AG12" s="5"/>
      <c r="AH12" s="17"/>
      <c r="AI12" s="19"/>
      <c r="AJ12" s="19"/>
      <c r="AK12" s="19"/>
      <c r="AL12" s="19"/>
      <c r="AM12" s="17"/>
      <c r="AN12" s="19"/>
      <c r="AO12" s="19"/>
      <c r="AP12" s="19"/>
      <c r="AQ12" s="19"/>
      <c r="AR12" s="19"/>
      <c r="AS12" s="21"/>
      <c r="AT12" s="5"/>
      <c r="AU12" s="19"/>
      <c r="AV12" s="5"/>
      <c r="AW12" s="17">
        <f>M12+P12-Q12</f>
        <v>918</v>
      </c>
      <c r="AX12" s="19"/>
      <c r="AY12" s="5"/>
      <c r="AZ12" s="19"/>
      <c r="BA12" s="5"/>
      <c r="BB12" s="5"/>
      <c r="BC12" s="19"/>
      <c r="BD12" s="19"/>
      <c r="BE12" s="19"/>
      <c r="BF12" s="19"/>
      <c r="BG12" s="19"/>
      <c r="BH12" s="19"/>
      <c r="BI12" s="19"/>
      <c r="BJ12" s="19"/>
      <c r="BK12" s="13"/>
      <c r="BL12" s="5"/>
      <c r="BM12" s="5"/>
      <c r="BN12" s="19"/>
      <c r="BO12" s="17"/>
      <c r="BP12" s="19"/>
      <c r="BQ12" s="17"/>
      <c r="BR12" s="19"/>
      <c r="BS12" s="13"/>
      <c r="BT12" s="5"/>
      <c r="BU12" s="23"/>
      <c r="BV12" s="23"/>
      <c r="BW12" s="24"/>
      <c r="BX12" s="5"/>
      <c r="BY12" s="5"/>
      <c r="BZ12" s="5"/>
      <c r="CA12" s="24"/>
      <c r="CB12" s="24"/>
      <c r="CC12" s="24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>
        <f t="shared" si="4"/>
        <v>900</v>
      </c>
      <c r="CV12" s="25">
        <f t="shared" si="5"/>
        <v>0</v>
      </c>
    </row>
    <row r="13" spans="1:103" x14ac:dyDescent="0.2">
      <c r="A13" s="27"/>
      <c r="B13" s="28"/>
      <c r="C13" s="29"/>
      <c r="D13" s="30"/>
      <c r="E13" s="31"/>
      <c r="F13" s="32"/>
      <c r="G13" s="33"/>
      <c r="H13" s="34"/>
      <c r="I13" s="34"/>
      <c r="J13" s="35"/>
      <c r="K13" s="36"/>
      <c r="L13" s="37"/>
      <c r="M13" s="38">
        <f>SUM(M12:M12)</f>
        <v>900</v>
      </c>
      <c r="N13" s="38"/>
      <c r="O13" s="39" t="s">
        <v>137</v>
      </c>
      <c r="P13" s="38">
        <f>SUM(P12:P12)</f>
        <v>18</v>
      </c>
      <c r="Q13" s="38"/>
      <c r="R13" s="30"/>
      <c r="S13" s="38">
        <f t="shared" ref="S13:AD13" si="15">SUM(S12:S12)</f>
        <v>0</v>
      </c>
      <c r="T13" s="38">
        <f t="shared" si="15"/>
        <v>0</v>
      </c>
      <c r="U13" s="38">
        <f t="shared" si="15"/>
        <v>0</v>
      </c>
      <c r="V13" s="38">
        <f t="shared" si="15"/>
        <v>0</v>
      </c>
      <c r="W13" s="38">
        <f t="shared" si="15"/>
        <v>0</v>
      </c>
      <c r="X13" s="38">
        <f t="shared" si="15"/>
        <v>0</v>
      </c>
      <c r="Y13" s="38">
        <f t="shared" si="15"/>
        <v>0</v>
      </c>
      <c r="Z13" s="38">
        <f t="shared" si="15"/>
        <v>0</v>
      </c>
      <c r="AA13" s="38">
        <f t="shared" si="15"/>
        <v>0</v>
      </c>
      <c r="AB13" s="38">
        <f t="shared" si="15"/>
        <v>0</v>
      </c>
      <c r="AC13" s="38">
        <f t="shared" si="15"/>
        <v>0</v>
      </c>
      <c r="AD13" s="38">
        <f t="shared" si="15"/>
        <v>0</v>
      </c>
      <c r="AE13" s="30"/>
      <c r="AF13" s="38">
        <f>SUM(AF12:AF12)</f>
        <v>0</v>
      </c>
      <c r="AG13" s="30"/>
      <c r="AH13" s="38">
        <f t="shared" ref="AH13:AZ13" si="16">SUM(AH12:AH12)</f>
        <v>0</v>
      </c>
      <c r="AI13" s="38">
        <f t="shared" si="16"/>
        <v>0</v>
      </c>
      <c r="AJ13" s="38">
        <f t="shared" si="16"/>
        <v>0</v>
      </c>
      <c r="AK13" s="38">
        <f t="shared" si="16"/>
        <v>0</v>
      </c>
      <c r="AL13" s="38">
        <f t="shared" si="16"/>
        <v>0</v>
      </c>
      <c r="AM13" s="38">
        <f t="shared" si="16"/>
        <v>0</v>
      </c>
      <c r="AN13" s="38">
        <f t="shared" si="16"/>
        <v>0</v>
      </c>
      <c r="AO13" s="38">
        <f t="shared" si="16"/>
        <v>0</v>
      </c>
      <c r="AP13" s="38">
        <f t="shared" si="16"/>
        <v>0</v>
      </c>
      <c r="AQ13" s="38">
        <f t="shared" si="16"/>
        <v>0</v>
      </c>
      <c r="AR13" s="38">
        <f t="shared" si="16"/>
        <v>0</v>
      </c>
      <c r="AS13" s="38">
        <f t="shared" si="16"/>
        <v>0</v>
      </c>
      <c r="AT13" s="38">
        <f t="shared" si="16"/>
        <v>0</v>
      </c>
      <c r="AU13" s="38">
        <f t="shared" si="16"/>
        <v>0</v>
      </c>
      <c r="AV13" s="38">
        <f t="shared" si="16"/>
        <v>0</v>
      </c>
      <c r="AW13" s="38">
        <f>SUM(AW12:AW12)</f>
        <v>918</v>
      </c>
      <c r="AX13" s="38">
        <f t="shared" si="16"/>
        <v>0</v>
      </c>
      <c r="AY13" s="38">
        <f t="shared" si="16"/>
        <v>0</v>
      </c>
      <c r="AZ13" s="38">
        <f t="shared" si="16"/>
        <v>0</v>
      </c>
      <c r="BA13" s="30"/>
      <c r="BB13" s="38">
        <f t="shared" ref="BB13:CT13" si="17">SUM(BB12:BB12)</f>
        <v>0</v>
      </c>
      <c r="BC13" s="38">
        <f t="shared" si="17"/>
        <v>0</v>
      </c>
      <c r="BD13" s="38">
        <f t="shared" si="17"/>
        <v>0</v>
      </c>
      <c r="BE13" s="38">
        <f t="shared" si="17"/>
        <v>0</v>
      </c>
      <c r="BF13" s="38">
        <f t="shared" si="17"/>
        <v>0</v>
      </c>
      <c r="BG13" s="38">
        <f t="shared" si="17"/>
        <v>0</v>
      </c>
      <c r="BH13" s="38">
        <f t="shared" si="17"/>
        <v>0</v>
      </c>
      <c r="BI13" s="38">
        <f t="shared" si="17"/>
        <v>0</v>
      </c>
      <c r="BJ13" s="38">
        <f t="shared" si="17"/>
        <v>0</v>
      </c>
      <c r="BK13" s="38">
        <f t="shared" si="17"/>
        <v>0</v>
      </c>
      <c r="BL13" s="38">
        <f t="shared" si="17"/>
        <v>0</v>
      </c>
      <c r="BM13" s="38">
        <f t="shared" si="17"/>
        <v>0</v>
      </c>
      <c r="BN13" s="38">
        <f t="shared" si="17"/>
        <v>0</v>
      </c>
      <c r="BO13" s="38">
        <f t="shared" si="17"/>
        <v>0</v>
      </c>
      <c r="BP13" s="38">
        <f t="shared" si="17"/>
        <v>0</v>
      </c>
      <c r="BQ13" s="38">
        <f t="shared" si="17"/>
        <v>0</v>
      </c>
      <c r="BR13" s="38">
        <f t="shared" si="17"/>
        <v>0</v>
      </c>
      <c r="BS13" s="38">
        <f t="shared" si="17"/>
        <v>0</v>
      </c>
      <c r="BT13" s="38">
        <f t="shared" si="17"/>
        <v>0</v>
      </c>
      <c r="BU13" s="38">
        <f t="shared" si="17"/>
        <v>0</v>
      </c>
      <c r="BV13" s="38">
        <f t="shared" si="17"/>
        <v>0</v>
      </c>
      <c r="BW13" s="38">
        <f t="shared" si="17"/>
        <v>0</v>
      </c>
      <c r="BX13" s="38">
        <f t="shared" si="17"/>
        <v>0</v>
      </c>
      <c r="BY13" s="38">
        <f t="shared" si="17"/>
        <v>0</v>
      </c>
      <c r="BZ13" s="38">
        <f t="shared" si="17"/>
        <v>0</v>
      </c>
      <c r="CA13" s="38">
        <f t="shared" si="17"/>
        <v>0</v>
      </c>
      <c r="CB13" s="38">
        <f t="shared" si="17"/>
        <v>0</v>
      </c>
      <c r="CC13" s="38">
        <f t="shared" si="17"/>
        <v>0</v>
      </c>
      <c r="CD13" s="38">
        <f t="shared" si="17"/>
        <v>0</v>
      </c>
      <c r="CE13" s="38">
        <f t="shared" si="17"/>
        <v>0</v>
      </c>
      <c r="CF13" s="38">
        <f t="shared" si="17"/>
        <v>0</v>
      </c>
      <c r="CG13" s="38">
        <f t="shared" si="17"/>
        <v>0</v>
      </c>
      <c r="CH13" s="38">
        <f t="shared" si="17"/>
        <v>0</v>
      </c>
      <c r="CI13" s="38">
        <f t="shared" si="17"/>
        <v>0</v>
      </c>
      <c r="CJ13" s="38">
        <f t="shared" si="17"/>
        <v>0</v>
      </c>
      <c r="CK13" s="38">
        <f t="shared" si="17"/>
        <v>0</v>
      </c>
      <c r="CL13" s="38">
        <f t="shared" si="17"/>
        <v>0</v>
      </c>
      <c r="CM13" s="38">
        <f t="shared" si="17"/>
        <v>0</v>
      </c>
      <c r="CN13" s="38">
        <f t="shared" si="17"/>
        <v>0</v>
      </c>
      <c r="CO13" s="38">
        <f t="shared" si="17"/>
        <v>0</v>
      </c>
      <c r="CP13" s="38">
        <f t="shared" si="17"/>
        <v>0</v>
      </c>
      <c r="CQ13" s="38">
        <f t="shared" si="17"/>
        <v>0</v>
      </c>
      <c r="CR13" s="38">
        <f t="shared" si="17"/>
        <v>0</v>
      </c>
      <c r="CS13" s="38">
        <f t="shared" si="17"/>
        <v>0</v>
      </c>
      <c r="CT13" s="38">
        <f t="shared" si="17"/>
        <v>0</v>
      </c>
      <c r="CU13" s="17">
        <f t="shared" si="4"/>
        <v>900</v>
      </c>
      <c r="CV13" s="25">
        <f t="shared" si="5"/>
        <v>0</v>
      </c>
    </row>
    <row r="14" spans="1:103" x14ac:dyDescent="0.2">
      <c r="A14" s="2">
        <v>45877</v>
      </c>
      <c r="B14" s="3" t="s">
        <v>569</v>
      </c>
      <c r="C14" s="4" t="s">
        <v>858</v>
      </c>
      <c r="D14" s="5" t="s">
        <v>570</v>
      </c>
      <c r="E14" s="6" t="s">
        <v>571</v>
      </c>
      <c r="F14" s="7" t="s">
        <v>575</v>
      </c>
      <c r="G14" s="8" t="s">
        <v>572</v>
      </c>
      <c r="H14" s="9">
        <v>2957</v>
      </c>
      <c r="I14" s="10"/>
      <c r="J14" s="11" t="s">
        <v>576</v>
      </c>
      <c r="K14" s="12">
        <v>1</v>
      </c>
      <c r="L14" s="13">
        <v>600</v>
      </c>
      <c r="M14" s="14">
        <f t="shared" ref="M14" si="18">L14*K14</f>
        <v>600</v>
      </c>
      <c r="N14" s="15"/>
      <c r="O14" s="16" t="s">
        <v>137</v>
      </c>
      <c r="P14" s="17">
        <f>M14*0.02</f>
        <v>12</v>
      </c>
      <c r="Q14" s="18"/>
      <c r="R14" s="5"/>
      <c r="S14" s="19"/>
      <c r="T14" s="19"/>
      <c r="U14" s="19"/>
      <c r="V14" s="19"/>
      <c r="W14" s="17"/>
      <c r="X14" s="20"/>
      <c r="Y14" s="19"/>
      <c r="Z14" s="19"/>
      <c r="AA14" s="19"/>
      <c r="AB14" s="19"/>
      <c r="AC14" s="19"/>
      <c r="AD14" s="19"/>
      <c r="AE14" s="5"/>
      <c r="AF14" s="19"/>
      <c r="AG14" s="5"/>
      <c r="AH14" s="17"/>
      <c r="AI14" s="19"/>
      <c r="AJ14" s="19"/>
      <c r="AK14" s="19"/>
      <c r="AL14" s="19"/>
      <c r="AM14" s="17"/>
      <c r="AN14" s="19"/>
      <c r="AO14" s="19"/>
      <c r="AP14" s="19"/>
      <c r="AQ14" s="19"/>
      <c r="AR14" s="19"/>
      <c r="AS14" s="21"/>
      <c r="AT14" s="5"/>
      <c r="AU14" s="19"/>
      <c r="AV14" s="5"/>
      <c r="AW14" s="17">
        <f>M14+P14-Q14</f>
        <v>612</v>
      </c>
      <c r="AX14" s="19"/>
      <c r="AY14" s="5"/>
      <c r="AZ14" s="19"/>
      <c r="BA14" s="5"/>
      <c r="BB14" s="5"/>
      <c r="BC14" s="19"/>
      <c r="BD14" s="19"/>
      <c r="BE14" s="19"/>
      <c r="BF14" s="19"/>
      <c r="BG14" s="19"/>
      <c r="BH14" s="19"/>
      <c r="BI14" s="19"/>
      <c r="BJ14" s="19"/>
      <c r="BK14" s="13"/>
      <c r="BL14" s="5"/>
      <c r="BM14" s="5"/>
      <c r="BN14" s="19"/>
      <c r="BO14" s="17"/>
      <c r="BP14" s="19"/>
      <c r="BQ14" s="17"/>
      <c r="BR14" s="19"/>
      <c r="BS14" s="13"/>
      <c r="BT14" s="5"/>
      <c r="BU14" s="23"/>
      <c r="BV14" s="23"/>
      <c r="BW14" s="24"/>
      <c r="BX14" s="5"/>
      <c r="BY14" s="5"/>
      <c r="BZ14" s="5"/>
      <c r="CA14" s="24"/>
      <c r="CB14" s="24"/>
      <c r="CC14" s="24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>
        <f t="shared" si="4"/>
        <v>600</v>
      </c>
      <c r="CV14" s="25">
        <f t="shared" si="5"/>
        <v>0</v>
      </c>
    </row>
    <row r="15" spans="1:103" x14ac:dyDescent="0.2">
      <c r="A15" s="27"/>
      <c r="B15" s="28"/>
      <c r="C15" s="29"/>
      <c r="D15" s="30"/>
      <c r="E15" s="31"/>
      <c r="F15" s="32"/>
      <c r="G15" s="33"/>
      <c r="H15" s="34"/>
      <c r="I15" s="34"/>
      <c r="J15" s="35"/>
      <c r="K15" s="36"/>
      <c r="L15" s="37"/>
      <c r="M15" s="38">
        <f>SUM(M14:M14)</f>
        <v>600</v>
      </c>
      <c r="N15" s="38"/>
      <c r="O15" s="39" t="s">
        <v>137</v>
      </c>
      <c r="P15" s="38">
        <f>SUM(P14:P14)</f>
        <v>12</v>
      </c>
      <c r="Q15" s="38"/>
      <c r="R15" s="30"/>
      <c r="S15" s="38">
        <f t="shared" ref="S15:AD15" si="19">SUM(S14:S14)</f>
        <v>0</v>
      </c>
      <c r="T15" s="38">
        <f t="shared" si="19"/>
        <v>0</v>
      </c>
      <c r="U15" s="38">
        <f t="shared" si="19"/>
        <v>0</v>
      </c>
      <c r="V15" s="38">
        <f t="shared" si="19"/>
        <v>0</v>
      </c>
      <c r="W15" s="38">
        <f t="shared" si="19"/>
        <v>0</v>
      </c>
      <c r="X15" s="38">
        <f t="shared" si="19"/>
        <v>0</v>
      </c>
      <c r="Y15" s="38">
        <f t="shared" si="19"/>
        <v>0</v>
      </c>
      <c r="Z15" s="38">
        <f t="shared" si="19"/>
        <v>0</v>
      </c>
      <c r="AA15" s="38">
        <f t="shared" si="19"/>
        <v>0</v>
      </c>
      <c r="AB15" s="38">
        <f t="shared" si="19"/>
        <v>0</v>
      </c>
      <c r="AC15" s="38">
        <f t="shared" si="19"/>
        <v>0</v>
      </c>
      <c r="AD15" s="38">
        <f t="shared" si="19"/>
        <v>0</v>
      </c>
      <c r="AE15" s="30"/>
      <c r="AF15" s="38">
        <f>SUM(AF14:AF14)</f>
        <v>0</v>
      </c>
      <c r="AG15" s="30"/>
      <c r="AH15" s="38">
        <f t="shared" ref="AH15:AZ15" si="20">SUM(AH14:AH14)</f>
        <v>0</v>
      </c>
      <c r="AI15" s="38">
        <f t="shared" si="20"/>
        <v>0</v>
      </c>
      <c r="AJ15" s="38">
        <f t="shared" si="20"/>
        <v>0</v>
      </c>
      <c r="AK15" s="38">
        <f t="shared" si="20"/>
        <v>0</v>
      </c>
      <c r="AL15" s="38">
        <f t="shared" si="20"/>
        <v>0</v>
      </c>
      <c r="AM15" s="38">
        <f t="shared" si="20"/>
        <v>0</v>
      </c>
      <c r="AN15" s="38">
        <f t="shared" si="20"/>
        <v>0</v>
      </c>
      <c r="AO15" s="38">
        <f t="shared" si="20"/>
        <v>0</v>
      </c>
      <c r="AP15" s="38">
        <f t="shared" si="20"/>
        <v>0</v>
      </c>
      <c r="AQ15" s="38">
        <f t="shared" si="20"/>
        <v>0</v>
      </c>
      <c r="AR15" s="38">
        <f t="shared" si="20"/>
        <v>0</v>
      </c>
      <c r="AS15" s="38">
        <f t="shared" si="20"/>
        <v>0</v>
      </c>
      <c r="AT15" s="38">
        <f t="shared" si="20"/>
        <v>0</v>
      </c>
      <c r="AU15" s="38">
        <f t="shared" si="20"/>
        <v>0</v>
      </c>
      <c r="AV15" s="38">
        <f t="shared" si="20"/>
        <v>0</v>
      </c>
      <c r="AW15" s="38">
        <f>SUM(AW14:AW14)</f>
        <v>612</v>
      </c>
      <c r="AX15" s="38">
        <f t="shared" si="20"/>
        <v>0</v>
      </c>
      <c r="AY15" s="38">
        <f t="shared" si="20"/>
        <v>0</v>
      </c>
      <c r="AZ15" s="38">
        <f t="shared" si="20"/>
        <v>0</v>
      </c>
      <c r="BA15" s="30"/>
      <c r="BB15" s="38">
        <f t="shared" ref="BB15:CT15" si="21">SUM(BB14:BB14)</f>
        <v>0</v>
      </c>
      <c r="BC15" s="38">
        <f t="shared" si="21"/>
        <v>0</v>
      </c>
      <c r="BD15" s="38">
        <f t="shared" si="21"/>
        <v>0</v>
      </c>
      <c r="BE15" s="38">
        <f t="shared" si="21"/>
        <v>0</v>
      </c>
      <c r="BF15" s="38">
        <f t="shared" si="21"/>
        <v>0</v>
      </c>
      <c r="BG15" s="38">
        <f t="shared" si="21"/>
        <v>0</v>
      </c>
      <c r="BH15" s="38">
        <f t="shared" si="21"/>
        <v>0</v>
      </c>
      <c r="BI15" s="38">
        <f t="shared" si="21"/>
        <v>0</v>
      </c>
      <c r="BJ15" s="38">
        <f t="shared" si="21"/>
        <v>0</v>
      </c>
      <c r="BK15" s="38">
        <f t="shared" si="21"/>
        <v>0</v>
      </c>
      <c r="BL15" s="38">
        <f t="shared" si="21"/>
        <v>0</v>
      </c>
      <c r="BM15" s="38">
        <f t="shared" si="21"/>
        <v>0</v>
      </c>
      <c r="BN15" s="38">
        <f t="shared" si="21"/>
        <v>0</v>
      </c>
      <c r="BO15" s="38">
        <f t="shared" si="21"/>
        <v>0</v>
      </c>
      <c r="BP15" s="38">
        <f t="shared" si="21"/>
        <v>0</v>
      </c>
      <c r="BQ15" s="38">
        <f t="shared" si="21"/>
        <v>0</v>
      </c>
      <c r="BR15" s="38">
        <f t="shared" si="21"/>
        <v>0</v>
      </c>
      <c r="BS15" s="38">
        <f t="shared" si="21"/>
        <v>0</v>
      </c>
      <c r="BT15" s="38">
        <f t="shared" si="21"/>
        <v>0</v>
      </c>
      <c r="BU15" s="38">
        <f t="shared" si="21"/>
        <v>0</v>
      </c>
      <c r="BV15" s="38">
        <f t="shared" si="21"/>
        <v>0</v>
      </c>
      <c r="BW15" s="38">
        <f t="shared" si="21"/>
        <v>0</v>
      </c>
      <c r="BX15" s="38">
        <f t="shared" si="21"/>
        <v>0</v>
      </c>
      <c r="BY15" s="38">
        <f t="shared" si="21"/>
        <v>0</v>
      </c>
      <c r="BZ15" s="38">
        <f t="shared" si="21"/>
        <v>0</v>
      </c>
      <c r="CA15" s="38">
        <f t="shared" si="21"/>
        <v>0</v>
      </c>
      <c r="CB15" s="38">
        <f t="shared" si="21"/>
        <v>0</v>
      </c>
      <c r="CC15" s="38">
        <f t="shared" si="21"/>
        <v>0</v>
      </c>
      <c r="CD15" s="38">
        <f t="shared" si="21"/>
        <v>0</v>
      </c>
      <c r="CE15" s="38">
        <f t="shared" si="21"/>
        <v>0</v>
      </c>
      <c r="CF15" s="38">
        <f t="shared" si="21"/>
        <v>0</v>
      </c>
      <c r="CG15" s="38">
        <f t="shared" si="21"/>
        <v>0</v>
      </c>
      <c r="CH15" s="38">
        <f t="shared" si="21"/>
        <v>0</v>
      </c>
      <c r="CI15" s="38">
        <f t="shared" si="21"/>
        <v>0</v>
      </c>
      <c r="CJ15" s="38">
        <f t="shared" si="21"/>
        <v>0</v>
      </c>
      <c r="CK15" s="38">
        <f t="shared" si="21"/>
        <v>0</v>
      </c>
      <c r="CL15" s="38">
        <f t="shared" si="21"/>
        <v>0</v>
      </c>
      <c r="CM15" s="38">
        <f t="shared" si="21"/>
        <v>0</v>
      </c>
      <c r="CN15" s="38">
        <f t="shared" si="21"/>
        <v>0</v>
      </c>
      <c r="CO15" s="38">
        <f t="shared" si="21"/>
        <v>0</v>
      </c>
      <c r="CP15" s="38">
        <f t="shared" si="21"/>
        <v>0</v>
      </c>
      <c r="CQ15" s="38">
        <f t="shared" si="21"/>
        <v>0</v>
      </c>
      <c r="CR15" s="38">
        <f t="shared" si="21"/>
        <v>0</v>
      </c>
      <c r="CS15" s="38">
        <f t="shared" si="21"/>
        <v>0</v>
      </c>
      <c r="CT15" s="38">
        <f t="shared" si="21"/>
        <v>0</v>
      </c>
      <c r="CU15" s="17">
        <f t="shared" si="4"/>
        <v>600</v>
      </c>
      <c r="CV15" s="25">
        <f t="shared" si="5"/>
        <v>0</v>
      </c>
    </row>
    <row r="16" spans="1:103" x14ac:dyDescent="0.2">
      <c r="A16" s="2">
        <v>45883</v>
      </c>
      <c r="B16" s="3" t="s">
        <v>569</v>
      </c>
      <c r="C16" s="4" t="s">
        <v>859</v>
      </c>
      <c r="D16" s="5" t="s">
        <v>570</v>
      </c>
      <c r="E16" s="6" t="s">
        <v>571</v>
      </c>
      <c r="F16" s="7" t="s">
        <v>575</v>
      </c>
      <c r="G16" s="8" t="s">
        <v>572</v>
      </c>
      <c r="H16" s="9">
        <v>2964</v>
      </c>
      <c r="I16" s="10"/>
      <c r="J16" s="11" t="s">
        <v>576</v>
      </c>
      <c r="K16" s="12">
        <v>1</v>
      </c>
      <c r="L16" s="13">
        <v>600</v>
      </c>
      <c r="M16" s="14">
        <f t="shared" ref="M16" si="22">L16*K16</f>
        <v>600</v>
      </c>
      <c r="N16" s="15"/>
      <c r="O16" s="16" t="s">
        <v>137</v>
      </c>
      <c r="P16" s="17">
        <f>M16*0.02</f>
        <v>12</v>
      </c>
      <c r="Q16" s="18"/>
      <c r="R16" s="5"/>
      <c r="S16" s="19"/>
      <c r="T16" s="19"/>
      <c r="U16" s="19"/>
      <c r="V16" s="19"/>
      <c r="W16" s="17"/>
      <c r="X16" s="20"/>
      <c r="Y16" s="19"/>
      <c r="Z16" s="19"/>
      <c r="AA16" s="19"/>
      <c r="AB16" s="19"/>
      <c r="AC16" s="19"/>
      <c r="AD16" s="19"/>
      <c r="AE16" s="5"/>
      <c r="AF16" s="19"/>
      <c r="AG16" s="5"/>
      <c r="AH16" s="17"/>
      <c r="AI16" s="19"/>
      <c r="AJ16" s="19"/>
      <c r="AK16" s="19"/>
      <c r="AL16" s="19"/>
      <c r="AM16" s="17"/>
      <c r="AN16" s="19"/>
      <c r="AO16" s="19"/>
      <c r="AP16" s="19"/>
      <c r="AQ16" s="19"/>
      <c r="AR16" s="19"/>
      <c r="AS16" s="21"/>
      <c r="AT16" s="5"/>
      <c r="AU16" s="19"/>
      <c r="AV16" s="5"/>
      <c r="AW16" s="17">
        <f>M16+P16-Q16</f>
        <v>612</v>
      </c>
      <c r="AX16" s="19"/>
      <c r="AY16" s="5"/>
      <c r="AZ16" s="19"/>
      <c r="BA16" s="5"/>
      <c r="BB16" s="5"/>
      <c r="BC16" s="19"/>
      <c r="BD16" s="19"/>
      <c r="BE16" s="19"/>
      <c r="BF16" s="19"/>
      <c r="BG16" s="19"/>
      <c r="BH16" s="19"/>
      <c r="BI16" s="19"/>
      <c r="BJ16" s="19"/>
      <c r="BK16" s="13"/>
      <c r="BL16" s="5"/>
      <c r="BM16" s="5"/>
      <c r="BN16" s="19"/>
      <c r="BO16" s="17"/>
      <c r="BP16" s="19"/>
      <c r="BQ16" s="17"/>
      <c r="BR16" s="19"/>
      <c r="BS16" s="13"/>
      <c r="BT16" s="5"/>
      <c r="BU16" s="23"/>
      <c r="BV16" s="23"/>
      <c r="BW16" s="24"/>
      <c r="BX16" s="5"/>
      <c r="BY16" s="5"/>
      <c r="BZ16" s="5"/>
      <c r="CA16" s="24"/>
      <c r="CB16" s="24"/>
      <c r="CC16" s="24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>
        <f t="shared" si="4"/>
        <v>600</v>
      </c>
      <c r="CV16" s="25">
        <f t="shared" si="5"/>
        <v>0</v>
      </c>
    </row>
    <row r="17" spans="1:100" x14ac:dyDescent="0.2">
      <c r="A17" s="27"/>
      <c r="B17" s="28"/>
      <c r="C17" s="29"/>
      <c r="D17" s="30"/>
      <c r="E17" s="31"/>
      <c r="F17" s="32"/>
      <c r="G17" s="33"/>
      <c r="H17" s="34"/>
      <c r="I17" s="34"/>
      <c r="J17" s="35"/>
      <c r="K17" s="36"/>
      <c r="L17" s="37"/>
      <c r="M17" s="38">
        <f>SUM(M16:M16)</f>
        <v>600</v>
      </c>
      <c r="N17" s="38"/>
      <c r="O17" s="39" t="s">
        <v>137</v>
      </c>
      <c r="P17" s="38">
        <f>SUM(P16:P16)</f>
        <v>12</v>
      </c>
      <c r="Q17" s="38"/>
      <c r="R17" s="30"/>
      <c r="S17" s="38">
        <f t="shared" ref="S17:AD17" si="23">SUM(S16:S16)</f>
        <v>0</v>
      </c>
      <c r="T17" s="38">
        <f t="shared" si="23"/>
        <v>0</v>
      </c>
      <c r="U17" s="38">
        <f t="shared" si="23"/>
        <v>0</v>
      </c>
      <c r="V17" s="38">
        <f t="shared" si="23"/>
        <v>0</v>
      </c>
      <c r="W17" s="38">
        <f t="shared" si="23"/>
        <v>0</v>
      </c>
      <c r="X17" s="38">
        <f t="shared" si="23"/>
        <v>0</v>
      </c>
      <c r="Y17" s="38">
        <f t="shared" si="23"/>
        <v>0</v>
      </c>
      <c r="Z17" s="38">
        <f t="shared" si="23"/>
        <v>0</v>
      </c>
      <c r="AA17" s="38">
        <f t="shared" si="23"/>
        <v>0</v>
      </c>
      <c r="AB17" s="38">
        <f t="shared" si="23"/>
        <v>0</v>
      </c>
      <c r="AC17" s="38">
        <f t="shared" si="23"/>
        <v>0</v>
      </c>
      <c r="AD17" s="38">
        <f t="shared" si="23"/>
        <v>0</v>
      </c>
      <c r="AE17" s="30"/>
      <c r="AF17" s="38">
        <f>SUM(AF16:AF16)</f>
        <v>0</v>
      </c>
      <c r="AG17" s="30"/>
      <c r="AH17" s="38">
        <f t="shared" ref="AH17:AZ17" si="24">SUM(AH16:AH16)</f>
        <v>0</v>
      </c>
      <c r="AI17" s="38">
        <f t="shared" si="24"/>
        <v>0</v>
      </c>
      <c r="AJ17" s="38">
        <f t="shared" si="24"/>
        <v>0</v>
      </c>
      <c r="AK17" s="38">
        <f t="shared" si="24"/>
        <v>0</v>
      </c>
      <c r="AL17" s="38">
        <f t="shared" si="24"/>
        <v>0</v>
      </c>
      <c r="AM17" s="38">
        <f t="shared" si="24"/>
        <v>0</v>
      </c>
      <c r="AN17" s="38">
        <f t="shared" si="24"/>
        <v>0</v>
      </c>
      <c r="AO17" s="38">
        <f t="shared" si="24"/>
        <v>0</v>
      </c>
      <c r="AP17" s="38">
        <f t="shared" si="24"/>
        <v>0</v>
      </c>
      <c r="AQ17" s="38">
        <f t="shared" si="24"/>
        <v>0</v>
      </c>
      <c r="AR17" s="38">
        <f t="shared" si="24"/>
        <v>0</v>
      </c>
      <c r="AS17" s="38">
        <f t="shared" si="24"/>
        <v>0</v>
      </c>
      <c r="AT17" s="38">
        <f t="shared" si="24"/>
        <v>0</v>
      </c>
      <c r="AU17" s="38">
        <f t="shared" si="24"/>
        <v>0</v>
      </c>
      <c r="AV17" s="38">
        <f t="shared" si="24"/>
        <v>0</v>
      </c>
      <c r="AW17" s="38">
        <f>SUM(AW16:AW16)</f>
        <v>612</v>
      </c>
      <c r="AX17" s="38">
        <f t="shared" si="24"/>
        <v>0</v>
      </c>
      <c r="AY17" s="38">
        <f t="shared" si="24"/>
        <v>0</v>
      </c>
      <c r="AZ17" s="38">
        <f t="shared" si="24"/>
        <v>0</v>
      </c>
      <c r="BA17" s="30"/>
      <c r="BB17" s="38">
        <f t="shared" ref="BB17:CT17" si="25">SUM(BB16:BB16)</f>
        <v>0</v>
      </c>
      <c r="BC17" s="38">
        <f t="shared" si="25"/>
        <v>0</v>
      </c>
      <c r="BD17" s="38">
        <f t="shared" si="25"/>
        <v>0</v>
      </c>
      <c r="BE17" s="38">
        <f t="shared" si="25"/>
        <v>0</v>
      </c>
      <c r="BF17" s="38">
        <f t="shared" si="25"/>
        <v>0</v>
      </c>
      <c r="BG17" s="38">
        <f t="shared" si="25"/>
        <v>0</v>
      </c>
      <c r="BH17" s="38">
        <f t="shared" si="25"/>
        <v>0</v>
      </c>
      <c r="BI17" s="38">
        <f t="shared" si="25"/>
        <v>0</v>
      </c>
      <c r="BJ17" s="38">
        <f t="shared" si="25"/>
        <v>0</v>
      </c>
      <c r="BK17" s="38">
        <f t="shared" si="25"/>
        <v>0</v>
      </c>
      <c r="BL17" s="38">
        <f t="shared" si="25"/>
        <v>0</v>
      </c>
      <c r="BM17" s="38">
        <f t="shared" si="25"/>
        <v>0</v>
      </c>
      <c r="BN17" s="38">
        <f t="shared" si="25"/>
        <v>0</v>
      </c>
      <c r="BO17" s="38">
        <f t="shared" si="25"/>
        <v>0</v>
      </c>
      <c r="BP17" s="38">
        <f t="shared" si="25"/>
        <v>0</v>
      </c>
      <c r="BQ17" s="38">
        <f t="shared" si="25"/>
        <v>0</v>
      </c>
      <c r="BR17" s="38">
        <f t="shared" si="25"/>
        <v>0</v>
      </c>
      <c r="BS17" s="38">
        <f t="shared" si="25"/>
        <v>0</v>
      </c>
      <c r="BT17" s="38">
        <f t="shared" si="25"/>
        <v>0</v>
      </c>
      <c r="BU17" s="38">
        <f t="shared" si="25"/>
        <v>0</v>
      </c>
      <c r="BV17" s="38">
        <f t="shared" si="25"/>
        <v>0</v>
      </c>
      <c r="BW17" s="38">
        <f t="shared" si="25"/>
        <v>0</v>
      </c>
      <c r="BX17" s="38">
        <f t="shared" si="25"/>
        <v>0</v>
      </c>
      <c r="BY17" s="38">
        <f t="shared" si="25"/>
        <v>0</v>
      </c>
      <c r="BZ17" s="38">
        <f t="shared" si="25"/>
        <v>0</v>
      </c>
      <c r="CA17" s="38">
        <f t="shared" si="25"/>
        <v>0</v>
      </c>
      <c r="CB17" s="38">
        <f t="shared" si="25"/>
        <v>0</v>
      </c>
      <c r="CC17" s="38">
        <f t="shared" si="25"/>
        <v>0</v>
      </c>
      <c r="CD17" s="38">
        <f t="shared" si="25"/>
        <v>0</v>
      </c>
      <c r="CE17" s="38">
        <f t="shared" si="25"/>
        <v>0</v>
      </c>
      <c r="CF17" s="38">
        <f t="shared" si="25"/>
        <v>0</v>
      </c>
      <c r="CG17" s="38">
        <f t="shared" si="25"/>
        <v>0</v>
      </c>
      <c r="CH17" s="38">
        <f t="shared" si="25"/>
        <v>0</v>
      </c>
      <c r="CI17" s="38">
        <f t="shared" si="25"/>
        <v>0</v>
      </c>
      <c r="CJ17" s="38">
        <f t="shared" si="25"/>
        <v>0</v>
      </c>
      <c r="CK17" s="38">
        <f t="shared" si="25"/>
        <v>0</v>
      </c>
      <c r="CL17" s="38">
        <f t="shared" si="25"/>
        <v>0</v>
      </c>
      <c r="CM17" s="38">
        <f t="shared" si="25"/>
        <v>0</v>
      </c>
      <c r="CN17" s="38">
        <f t="shared" si="25"/>
        <v>0</v>
      </c>
      <c r="CO17" s="38">
        <f t="shared" si="25"/>
        <v>0</v>
      </c>
      <c r="CP17" s="38">
        <f t="shared" si="25"/>
        <v>0</v>
      </c>
      <c r="CQ17" s="38">
        <f t="shared" si="25"/>
        <v>0</v>
      </c>
      <c r="CR17" s="38">
        <f t="shared" si="25"/>
        <v>0</v>
      </c>
      <c r="CS17" s="38">
        <f t="shared" si="25"/>
        <v>0</v>
      </c>
      <c r="CT17" s="38">
        <f t="shared" si="25"/>
        <v>0</v>
      </c>
      <c r="CU17" s="17">
        <f t="shared" si="4"/>
        <v>600</v>
      </c>
      <c r="CV17" s="25">
        <f t="shared" si="5"/>
        <v>0</v>
      </c>
    </row>
    <row r="18" spans="1:100" x14ac:dyDescent="0.2">
      <c r="A18" s="2">
        <v>45877</v>
      </c>
      <c r="B18" s="3" t="s">
        <v>569</v>
      </c>
      <c r="C18" s="4" t="s">
        <v>860</v>
      </c>
      <c r="D18" s="5" t="s">
        <v>570</v>
      </c>
      <c r="E18" s="6" t="s">
        <v>571</v>
      </c>
      <c r="F18" s="7" t="s">
        <v>575</v>
      </c>
      <c r="G18" s="8" t="s">
        <v>572</v>
      </c>
      <c r="H18" s="9">
        <v>2956</v>
      </c>
      <c r="I18" s="10"/>
      <c r="J18" s="11" t="s">
        <v>576</v>
      </c>
      <c r="K18" s="12">
        <v>1</v>
      </c>
      <c r="L18" s="13">
        <v>900</v>
      </c>
      <c r="M18" s="14">
        <f t="shared" ref="M18" si="26">L18*K18</f>
        <v>900</v>
      </c>
      <c r="N18" s="15"/>
      <c r="O18" s="16" t="s">
        <v>137</v>
      </c>
      <c r="P18" s="17">
        <f>M18*0.02</f>
        <v>18</v>
      </c>
      <c r="Q18" s="18"/>
      <c r="R18" s="5"/>
      <c r="S18" s="19"/>
      <c r="T18" s="19"/>
      <c r="U18" s="19"/>
      <c r="V18" s="19"/>
      <c r="W18" s="17"/>
      <c r="X18" s="20"/>
      <c r="Y18" s="19"/>
      <c r="Z18" s="19"/>
      <c r="AA18" s="19"/>
      <c r="AB18" s="19"/>
      <c r="AC18" s="19"/>
      <c r="AD18" s="19"/>
      <c r="AE18" s="5"/>
      <c r="AF18" s="19"/>
      <c r="AG18" s="5"/>
      <c r="AH18" s="17"/>
      <c r="AI18" s="19"/>
      <c r="AJ18" s="19"/>
      <c r="AK18" s="19"/>
      <c r="AL18" s="19"/>
      <c r="AM18" s="17"/>
      <c r="AN18" s="19"/>
      <c r="AO18" s="19"/>
      <c r="AP18" s="19"/>
      <c r="AQ18" s="19"/>
      <c r="AR18" s="19"/>
      <c r="AS18" s="21"/>
      <c r="AT18" s="5"/>
      <c r="AU18" s="19"/>
      <c r="AV18" s="5"/>
      <c r="AW18" s="17">
        <f>M18+P18-Q18</f>
        <v>918</v>
      </c>
      <c r="AX18" s="19"/>
      <c r="AY18" s="5"/>
      <c r="AZ18" s="19"/>
      <c r="BA18" s="5"/>
      <c r="BB18" s="5"/>
      <c r="BC18" s="19"/>
      <c r="BD18" s="19"/>
      <c r="BE18" s="19"/>
      <c r="BF18" s="19"/>
      <c r="BG18" s="19"/>
      <c r="BH18" s="19"/>
      <c r="BI18" s="19"/>
      <c r="BJ18" s="19"/>
      <c r="BK18" s="13"/>
      <c r="BL18" s="5"/>
      <c r="BM18" s="5"/>
      <c r="BN18" s="19"/>
      <c r="BO18" s="17"/>
      <c r="BP18" s="19"/>
      <c r="BQ18" s="17"/>
      <c r="BR18" s="19"/>
      <c r="BS18" s="13"/>
      <c r="BT18" s="5"/>
      <c r="BU18" s="23"/>
      <c r="BV18" s="23"/>
      <c r="BW18" s="24"/>
      <c r="BX18" s="5"/>
      <c r="BY18" s="5"/>
      <c r="BZ18" s="5"/>
      <c r="CA18" s="24"/>
      <c r="CB18" s="24"/>
      <c r="CC18" s="24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>
        <f t="shared" si="4"/>
        <v>900</v>
      </c>
      <c r="CV18" s="25">
        <f t="shared" si="5"/>
        <v>0</v>
      </c>
    </row>
    <row r="19" spans="1:100" x14ac:dyDescent="0.2">
      <c r="A19" s="27"/>
      <c r="B19" s="28"/>
      <c r="C19" s="29"/>
      <c r="D19" s="30"/>
      <c r="E19" s="31"/>
      <c r="F19" s="32"/>
      <c r="G19" s="33"/>
      <c r="H19" s="34"/>
      <c r="I19" s="34"/>
      <c r="J19" s="35"/>
      <c r="K19" s="36"/>
      <c r="L19" s="37"/>
      <c r="M19" s="38">
        <f>SUM(M18:M18)</f>
        <v>900</v>
      </c>
      <c r="N19" s="38"/>
      <c r="O19" s="39" t="s">
        <v>137</v>
      </c>
      <c r="P19" s="38">
        <f>SUM(P18:P18)</f>
        <v>18</v>
      </c>
      <c r="Q19" s="38"/>
      <c r="R19" s="30"/>
      <c r="S19" s="38">
        <f t="shared" ref="S19:AD19" si="27">SUM(S18:S18)</f>
        <v>0</v>
      </c>
      <c r="T19" s="38">
        <f t="shared" si="27"/>
        <v>0</v>
      </c>
      <c r="U19" s="38">
        <f t="shared" si="27"/>
        <v>0</v>
      </c>
      <c r="V19" s="38">
        <f t="shared" si="27"/>
        <v>0</v>
      </c>
      <c r="W19" s="38">
        <f t="shared" si="27"/>
        <v>0</v>
      </c>
      <c r="X19" s="38">
        <f t="shared" si="27"/>
        <v>0</v>
      </c>
      <c r="Y19" s="38">
        <f t="shared" si="27"/>
        <v>0</v>
      </c>
      <c r="Z19" s="38">
        <f t="shared" si="27"/>
        <v>0</v>
      </c>
      <c r="AA19" s="38">
        <f t="shared" si="27"/>
        <v>0</v>
      </c>
      <c r="AB19" s="38">
        <f t="shared" si="27"/>
        <v>0</v>
      </c>
      <c r="AC19" s="38">
        <f t="shared" si="27"/>
        <v>0</v>
      </c>
      <c r="AD19" s="38">
        <f t="shared" si="27"/>
        <v>0</v>
      </c>
      <c r="AE19" s="30"/>
      <c r="AF19" s="38">
        <f>SUM(AF18:AF18)</f>
        <v>0</v>
      </c>
      <c r="AG19" s="30"/>
      <c r="AH19" s="38">
        <f t="shared" ref="AH19:AZ19" si="28">SUM(AH18:AH18)</f>
        <v>0</v>
      </c>
      <c r="AI19" s="38">
        <f t="shared" si="28"/>
        <v>0</v>
      </c>
      <c r="AJ19" s="38">
        <f t="shared" si="28"/>
        <v>0</v>
      </c>
      <c r="AK19" s="38">
        <f t="shared" si="28"/>
        <v>0</v>
      </c>
      <c r="AL19" s="38">
        <f t="shared" si="28"/>
        <v>0</v>
      </c>
      <c r="AM19" s="38">
        <f t="shared" si="28"/>
        <v>0</v>
      </c>
      <c r="AN19" s="38">
        <f t="shared" si="28"/>
        <v>0</v>
      </c>
      <c r="AO19" s="38">
        <f t="shared" si="28"/>
        <v>0</v>
      </c>
      <c r="AP19" s="38">
        <f t="shared" si="28"/>
        <v>0</v>
      </c>
      <c r="AQ19" s="38">
        <f t="shared" si="28"/>
        <v>0</v>
      </c>
      <c r="AR19" s="38">
        <f t="shared" si="28"/>
        <v>0</v>
      </c>
      <c r="AS19" s="38">
        <f t="shared" si="28"/>
        <v>0</v>
      </c>
      <c r="AT19" s="38">
        <f t="shared" si="28"/>
        <v>0</v>
      </c>
      <c r="AU19" s="38">
        <f t="shared" si="28"/>
        <v>0</v>
      </c>
      <c r="AV19" s="38">
        <f t="shared" si="28"/>
        <v>0</v>
      </c>
      <c r="AW19" s="38">
        <f>SUM(AW18:AW18)</f>
        <v>918</v>
      </c>
      <c r="AX19" s="38">
        <f t="shared" si="28"/>
        <v>0</v>
      </c>
      <c r="AY19" s="38">
        <f t="shared" si="28"/>
        <v>0</v>
      </c>
      <c r="AZ19" s="38">
        <f t="shared" si="28"/>
        <v>0</v>
      </c>
      <c r="BA19" s="30"/>
      <c r="BB19" s="38">
        <f t="shared" ref="BB19:CT19" si="29">SUM(BB18:BB18)</f>
        <v>0</v>
      </c>
      <c r="BC19" s="38">
        <f t="shared" si="29"/>
        <v>0</v>
      </c>
      <c r="BD19" s="38">
        <f t="shared" si="29"/>
        <v>0</v>
      </c>
      <c r="BE19" s="38">
        <f t="shared" si="29"/>
        <v>0</v>
      </c>
      <c r="BF19" s="38">
        <f t="shared" si="29"/>
        <v>0</v>
      </c>
      <c r="BG19" s="38">
        <f t="shared" si="29"/>
        <v>0</v>
      </c>
      <c r="BH19" s="38">
        <f t="shared" si="29"/>
        <v>0</v>
      </c>
      <c r="BI19" s="38">
        <f t="shared" si="29"/>
        <v>0</v>
      </c>
      <c r="BJ19" s="38">
        <f t="shared" si="29"/>
        <v>0</v>
      </c>
      <c r="BK19" s="38">
        <f t="shared" si="29"/>
        <v>0</v>
      </c>
      <c r="BL19" s="38">
        <f t="shared" si="29"/>
        <v>0</v>
      </c>
      <c r="BM19" s="38">
        <f t="shared" si="29"/>
        <v>0</v>
      </c>
      <c r="BN19" s="38">
        <f t="shared" si="29"/>
        <v>0</v>
      </c>
      <c r="BO19" s="38">
        <f t="shared" si="29"/>
        <v>0</v>
      </c>
      <c r="BP19" s="38">
        <f t="shared" si="29"/>
        <v>0</v>
      </c>
      <c r="BQ19" s="38">
        <f t="shared" si="29"/>
        <v>0</v>
      </c>
      <c r="BR19" s="38">
        <f t="shared" si="29"/>
        <v>0</v>
      </c>
      <c r="BS19" s="38">
        <f t="shared" si="29"/>
        <v>0</v>
      </c>
      <c r="BT19" s="38">
        <f t="shared" si="29"/>
        <v>0</v>
      </c>
      <c r="BU19" s="38">
        <f t="shared" si="29"/>
        <v>0</v>
      </c>
      <c r="BV19" s="38">
        <f t="shared" si="29"/>
        <v>0</v>
      </c>
      <c r="BW19" s="38">
        <f t="shared" si="29"/>
        <v>0</v>
      </c>
      <c r="BX19" s="38">
        <f t="shared" si="29"/>
        <v>0</v>
      </c>
      <c r="BY19" s="38">
        <f t="shared" si="29"/>
        <v>0</v>
      </c>
      <c r="BZ19" s="38">
        <f t="shared" si="29"/>
        <v>0</v>
      </c>
      <c r="CA19" s="38">
        <f t="shared" si="29"/>
        <v>0</v>
      </c>
      <c r="CB19" s="38">
        <f t="shared" si="29"/>
        <v>0</v>
      </c>
      <c r="CC19" s="38">
        <f t="shared" si="29"/>
        <v>0</v>
      </c>
      <c r="CD19" s="38">
        <f t="shared" si="29"/>
        <v>0</v>
      </c>
      <c r="CE19" s="38">
        <f t="shared" si="29"/>
        <v>0</v>
      </c>
      <c r="CF19" s="38">
        <f t="shared" si="29"/>
        <v>0</v>
      </c>
      <c r="CG19" s="38">
        <f t="shared" si="29"/>
        <v>0</v>
      </c>
      <c r="CH19" s="38">
        <f t="shared" si="29"/>
        <v>0</v>
      </c>
      <c r="CI19" s="38">
        <f t="shared" si="29"/>
        <v>0</v>
      </c>
      <c r="CJ19" s="38">
        <f t="shared" si="29"/>
        <v>0</v>
      </c>
      <c r="CK19" s="38">
        <f t="shared" si="29"/>
        <v>0</v>
      </c>
      <c r="CL19" s="38">
        <f t="shared" si="29"/>
        <v>0</v>
      </c>
      <c r="CM19" s="38">
        <f t="shared" si="29"/>
        <v>0</v>
      </c>
      <c r="CN19" s="38">
        <f t="shared" si="29"/>
        <v>0</v>
      </c>
      <c r="CO19" s="38">
        <f t="shared" si="29"/>
        <v>0</v>
      </c>
      <c r="CP19" s="38">
        <f t="shared" si="29"/>
        <v>0</v>
      </c>
      <c r="CQ19" s="38">
        <f t="shared" si="29"/>
        <v>0</v>
      </c>
      <c r="CR19" s="38">
        <f t="shared" si="29"/>
        <v>0</v>
      </c>
      <c r="CS19" s="38">
        <f t="shared" si="29"/>
        <v>0</v>
      </c>
      <c r="CT19" s="38">
        <f t="shared" si="29"/>
        <v>0</v>
      </c>
      <c r="CU19" s="17">
        <f t="shared" si="4"/>
        <v>900</v>
      </c>
      <c r="CV19" s="25">
        <f t="shared" si="5"/>
        <v>0</v>
      </c>
    </row>
    <row r="20" spans="1:100" x14ac:dyDescent="0.2">
      <c r="A20" s="2">
        <v>45883</v>
      </c>
      <c r="B20" s="3" t="s">
        <v>569</v>
      </c>
      <c r="C20" s="4" t="s">
        <v>861</v>
      </c>
      <c r="D20" s="5" t="s">
        <v>570</v>
      </c>
      <c r="E20" s="6" t="s">
        <v>571</v>
      </c>
      <c r="F20" s="7" t="s">
        <v>575</v>
      </c>
      <c r="G20" s="8" t="s">
        <v>572</v>
      </c>
      <c r="H20" s="9">
        <v>365</v>
      </c>
      <c r="I20" s="10"/>
      <c r="J20" s="11" t="s">
        <v>310</v>
      </c>
      <c r="K20" s="12">
        <v>1</v>
      </c>
      <c r="L20" s="13">
        <v>500</v>
      </c>
      <c r="M20" s="14">
        <f t="shared" ref="M20" si="30">L20*K20</f>
        <v>500</v>
      </c>
      <c r="N20" s="15"/>
      <c r="O20" s="16" t="s">
        <v>137</v>
      </c>
      <c r="P20" s="17">
        <f>M20*0.02</f>
        <v>10</v>
      </c>
      <c r="Q20" s="18"/>
      <c r="R20" s="5"/>
      <c r="S20" s="19"/>
      <c r="T20" s="19"/>
      <c r="U20" s="19"/>
      <c r="V20" s="19"/>
      <c r="W20" s="17"/>
      <c r="X20" s="20"/>
      <c r="Y20" s="19"/>
      <c r="Z20" s="19"/>
      <c r="AA20" s="19"/>
      <c r="AB20" s="19"/>
      <c r="AC20" s="19"/>
      <c r="AD20" s="19"/>
      <c r="AE20" s="5"/>
      <c r="AF20" s="19"/>
      <c r="AG20" s="5"/>
      <c r="AH20" s="17"/>
      <c r="AI20" s="19"/>
      <c r="AJ20" s="19"/>
      <c r="AK20" s="19"/>
      <c r="AL20" s="19"/>
      <c r="AM20" s="17"/>
      <c r="AN20" s="19"/>
      <c r="AO20" s="19"/>
      <c r="AP20" s="19"/>
      <c r="AQ20" s="19"/>
      <c r="AR20" s="19"/>
      <c r="AS20" s="21"/>
      <c r="AT20" s="5"/>
      <c r="AU20" s="19"/>
      <c r="AV20" s="5"/>
      <c r="AW20" s="17">
        <f>M20+P20-Q20</f>
        <v>510</v>
      </c>
      <c r="AX20" s="19"/>
      <c r="AY20" s="5"/>
      <c r="AZ20" s="19"/>
      <c r="BA20" s="5"/>
      <c r="BB20" s="5"/>
      <c r="BC20" s="19"/>
      <c r="BD20" s="19"/>
      <c r="BE20" s="19"/>
      <c r="BF20" s="19"/>
      <c r="BG20" s="19"/>
      <c r="BH20" s="19"/>
      <c r="BI20" s="19"/>
      <c r="BJ20" s="19"/>
      <c r="BK20" s="13"/>
      <c r="BL20" s="5"/>
      <c r="BM20" s="5"/>
      <c r="BN20" s="19"/>
      <c r="BO20" s="17"/>
      <c r="BP20" s="19"/>
      <c r="BQ20" s="17"/>
      <c r="BR20" s="19"/>
      <c r="BS20" s="13"/>
      <c r="BT20" s="5"/>
      <c r="BU20" s="23"/>
      <c r="BV20" s="23"/>
      <c r="BW20" s="24"/>
      <c r="BX20" s="5"/>
      <c r="BY20" s="5"/>
      <c r="BZ20" s="5"/>
      <c r="CA20" s="24"/>
      <c r="CB20" s="24"/>
      <c r="CC20" s="24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>
        <f t="shared" si="4"/>
        <v>500</v>
      </c>
      <c r="CV20" s="25">
        <f t="shared" si="5"/>
        <v>0</v>
      </c>
    </row>
    <row r="21" spans="1:100" x14ac:dyDescent="0.2">
      <c r="A21" s="27"/>
      <c r="B21" s="28"/>
      <c r="C21" s="29"/>
      <c r="D21" s="30"/>
      <c r="E21" s="31"/>
      <c r="F21" s="32"/>
      <c r="G21" s="33"/>
      <c r="H21" s="34"/>
      <c r="I21" s="34"/>
      <c r="J21" s="35"/>
      <c r="K21" s="36"/>
      <c r="L21" s="37"/>
      <c r="M21" s="38">
        <f>SUM(M20:M20)</f>
        <v>500</v>
      </c>
      <c r="N21" s="38"/>
      <c r="O21" s="39" t="s">
        <v>137</v>
      </c>
      <c r="P21" s="38">
        <f>SUM(P20:P20)</f>
        <v>10</v>
      </c>
      <c r="Q21" s="38"/>
      <c r="R21" s="30"/>
      <c r="S21" s="38">
        <f t="shared" ref="S21:AD21" si="31">SUM(S20:S20)</f>
        <v>0</v>
      </c>
      <c r="T21" s="38">
        <f t="shared" si="31"/>
        <v>0</v>
      </c>
      <c r="U21" s="38">
        <f t="shared" si="31"/>
        <v>0</v>
      </c>
      <c r="V21" s="38">
        <f t="shared" si="31"/>
        <v>0</v>
      </c>
      <c r="W21" s="38">
        <f t="shared" si="31"/>
        <v>0</v>
      </c>
      <c r="X21" s="38">
        <f t="shared" si="31"/>
        <v>0</v>
      </c>
      <c r="Y21" s="38">
        <f t="shared" si="31"/>
        <v>0</v>
      </c>
      <c r="Z21" s="38">
        <f t="shared" si="31"/>
        <v>0</v>
      </c>
      <c r="AA21" s="38">
        <f t="shared" si="31"/>
        <v>0</v>
      </c>
      <c r="AB21" s="38">
        <f t="shared" si="31"/>
        <v>0</v>
      </c>
      <c r="AC21" s="38">
        <f t="shared" si="31"/>
        <v>0</v>
      </c>
      <c r="AD21" s="38">
        <f t="shared" si="31"/>
        <v>0</v>
      </c>
      <c r="AE21" s="30"/>
      <c r="AF21" s="38">
        <f>SUM(AF20:AF20)</f>
        <v>0</v>
      </c>
      <c r="AG21" s="30"/>
      <c r="AH21" s="38">
        <f t="shared" ref="AH21:AZ21" si="32">SUM(AH20:AH20)</f>
        <v>0</v>
      </c>
      <c r="AI21" s="38">
        <f t="shared" si="32"/>
        <v>0</v>
      </c>
      <c r="AJ21" s="38">
        <f t="shared" si="32"/>
        <v>0</v>
      </c>
      <c r="AK21" s="38">
        <f t="shared" si="32"/>
        <v>0</v>
      </c>
      <c r="AL21" s="38">
        <f t="shared" si="32"/>
        <v>0</v>
      </c>
      <c r="AM21" s="38">
        <f t="shared" si="32"/>
        <v>0</v>
      </c>
      <c r="AN21" s="38">
        <f t="shared" si="32"/>
        <v>0</v>
      </c>
      <c r="AO21" s="38">
        <f t="shared" si="32"/>
        <v>0</v>
      </c>
      <c r="AP21" s="38">
        <f t="shared" si="32"/>
        <v>0</v>
      </c>
      <c r="AQ21" s="38">
        <f t="shared" si="32"/>
        <v>0</v>
      </c>
      <c r="AR21" s="38">
        <f t="shared" si="32"/>
        <v>0</v>
      </c>
      <c r="AS21" s="38">
        <f t="shared" si="32"/>
        <v>0</v>
      </c>
      <c r="AT21" s="38">
        <f t="shared" si="32"/>
        <v>0</v>
      </c>
      <c r="AU21" s="38">
        <f t="shared" si="32"/>
        <v>0</v>
      </c>
      <c r="AV21" s="38">
        <f t="shared" si="32"/>
        <v>0</v>
      </c>
      <c r="AW21" s="38">
        <f>SUM(AW20:AW20)</f>
        <v>510</v>
      </c>
      <c r="AX21" s="38">
        <f t="shared" si="32"/>
        <v>0</v>
      </c>
      <c r="AY21" s="38">
        <f t="shared" si="32"/>
        <v>0</v>
      </c>
      <c r="AZ21" s="38">
        <f t="shared" si="32"/>
        <v>0</v>
      </c>
      <c r="BA21" s="30"/>
      <c r="BB21" s="38">
        <f t="shared" ref="BB21:CT21" si="33">SUM(BB20:BB20)</f>
        <v>0</v>
      </c>
      <c r="BC21" s="38">
        <f t="shared" si="33"/>
        <v>0</v>
      </c>
      <c r="BD21" s="38">
        <f t="shared" si="33"/>
        <v>0</v>
      </c>
      <c r="BE21" s="38">
        <f t="shared" si="33"/>
        <v>0</v>
      </c>
      <c r="BF21" s="38">
        <f t="shared" si="33"/>
        <v>0</v>
      </c>
      <c r="BG21" s="38">
        <f t="shared" si="33"/>
        <v>0</v>
      </c>
      <c r="BH21" s="38">
        <f t="shared" si="33"/>
        <v>0</v>
      </c>
      <c r="BI21" s="38">
        <f t="shared" si="33"/>
        <v>0</v>
      </c>
      <c r="BJ21" s="38">
        <f t="shared" si="33"/>
        <v>0</v>
      </c>
      <c r="BK21" s="38">
        <f t="shared" si="33"/>
        <v>0</v>
      </c>
      <c r="BL21" s="38">
        <f t="shared" si="33"/>
        <v>0</v>
      </c>
      <c r="BM21" s="38">
        <f t="shared" si="33"/>
        <v>0</v>
      </c>
      <c r="BN21" s="38">
        <f t="shared" si="33"/>
        <v>0</v>
      </c>
      <c r="BO21" s="38">
        <f t="shared" si="33"/>
        <v>0</v>
      </c>
      <c r="BP21" s="38">
        <f t="shared" si="33"/>
        <v>0</v>
      </c>
      <c r="BQ21" s="38">
        <f t="shared" si="33"/>
        <v>0</v>
      </c>
      <c r="BR21" s="38">
        <f t="shared" si="33"/>
        <v>0</v>
      </c>
      <c r="BS21" s="38">
        <f t="shared" si="33"/>
        <v>0</v>
      </c>
      <c r="BT21" s="38">
        <f t="shared" si="33"/>
        <v>0</v>
      </c>
      <c r="BU21" s="38">
        <f t="shared" si="33"/>
        <v>0</v>
      </c>
      <c r="BV21" s="38">
        <f t="shared" si="33"/>
        <v>0</v>
      </c>
      <c r="BW21" s="38">
        <f t="shared" si="33"/>
        <v>0</v>
      </c>
      <c r="BX21" s="38">
        <f t="shared" si="33"/>
        <v>0</v>
      </c>
      <c r="BY21" s="38">
        <f t="shared" si="33"/>
        <v>0</v>
      </c>
      <c r="BZ21" s="38">
        <f t="shared" si="33"/>
        <v>0</v>
      </c>
      <c r="CA21" s="38">
        <f t="shared" si="33"/>
        <v>0</v>
      </c>
      <c r="CB21" s="38">
        <f t="shared" si="33"/>
        <v>0</v>
      </c>
      <c r="CC21" s="38">
        <f t="shared" si="33"/>
        <v>0</v>
      </c>
      <c r="CD21" s="38">
        <f t="shared" si="33"/>
        <v>0</v>
      </c>
      <c r="CE21" s="38">
        <f t="shared" si="33"/>
        <v>0</v>
      </c>
      <c r="CF21" s="38">
        <f t="shared" si="33"/>
        <v>0</v>
      </c>
      <c r="CG21" s="38">
        <f t="shared" si="33"/>
        <v>0</v>
      </c>
      <c r="CH21" s="38">
        <f t="shared" si="33"/>
        <v>0</v>
      </c>
      <c r="CI21" s="38">
        <f t="shared" si="33"/>
        <v>0</v>
      </c>
      <c r="CJ21" s="38">
        <f t="shared" si="33"/>
        <v>0</v>
      </c>
      <c r="CK21" s="38">
        <f t="shared" si="33"/>
        <v>0</v>
      </c>
      <c r="CL21" s="38">
        <f t="shared" si="33"/>
        <v>0</v>
      </c>
      <c r="CM21" s="38">
        <f t="shared" si="33"/>
        <v>0</v>
      </c>
      <c r="CN21" s="38">
        <f t="shared" si="33"/>
        <v>0</v>
      </c>
      <c r="CO21" s="38">
        <f t="shared" si="33"/>
        <v>0</v>
      </c>
      <c r="CP21" s="38">
        <f t="shared" si="33"/>
        <v>0</v>
      </c>
      <c r="CQ21" s="38">
        <f t="shared" si="33"/>
        <v>0</v>
      </c>
      <c r="CR21" s="38">
        <f t="shared" si="33"/>
        <v>0</v>
      </c>
      <c r="CS21" s="38">
        <f t="shared" si="33"/>
        <v>0</v>
      </c>
      <c r="CT21" s="38">
        <f t="shared" si="33"/>
        <v>0</v>
      </c>
      <c r="CU21" s="17">
        <f t="shared" si="4"/>
        <v>500</v>
      </c>
      <c r="CV21" s="25">
        <f t="shared" si="5"/>
        <v>0</v>
      </c>
    </row>
    <row r="22" spans="1:100" x14ac:dyDescent="0.2">
      <c r="A22" s="2">
        <v>45883</v>
      </c>
      <c r="B22" s="3" t="s">
        <v>569</v>
      </c>
      <c r="C22" s="4" t="s">
        <v>862</v>
      </c>
      <c r="D22" s="5" t="s">
        <v>570</v>
      </c>
      <c r="E22" s="6" t="s">
        <v>571</v>
      </c>
      <c r="F22" s="7" t="s">
        <v>575</v>
      </c>
      <c r="G22" s="8" t="s">
        <v>572</v>
      </c>
      <c r="H22" s="9">
        <v>364</v>
      </c>
      <c r="I22" s="10"/>
      <c r="J22" s="11" t="s">
        <v>310</v>
      </c>
      <c r="K22" s="12">
        <v>1</v>
      </c>
      <c r="L22" s="13">
        <v>350</v>
      </c>
      <c r="M22" s="14">
        <f t="shared" ref="M22" si="34">L22*K22</f>
        <v>350</v>
      </c>
      <c r="N22" s="15"/>
      <c r="O22" s="16" t="s">
        <v>137</v>
      </c>
      <c r="P22" s="17">
        <f>M22*0.02</f>
        <v>7</v>
      </c>
      <c r="Q22" s="18"/>
      <c r="R22" s="5"/>
      <c r="S22" s="19"/>
      <c r="T22" s="19"/>
      <c r="U22" s="19"/>
      <c r="V22" s="19"/>
      <c r="W22" s="17"/>
      <c r="X22" s="20"/>
      <c r="Y22" s="19"/>
      <c r="Z22" s="19"/>
      <c r="AA22" s="19"/>
      <c r="AB22" s="19"/>
      <c r="AC22" s="19"/>
      <c r="AD22" s="19"/>
      <c r="AE22" s="5"/>
      <c r="AF22" s="19"/>
      <c r="AG22" s="5"/>
      <c r="AH22" s="17"/>
      <c r="AI22" s="19"/>
      <c r="AJ22" s="19"/>
      <c r="AK22" s="19"/>
      <c r="AL22" s="19"/>
      <c r="AM22" s="17"/>
      <c r="AN22" s="19"/>
      <c r="AO22" s="19"/>
      <c r="AP22" s="19"/>
      <c r="AQ22" s="19"/>
      <c r="AR22" s="19"/>
      <c r="AS22" s="21"/>
      <c r="AT22" s="5"/>
      <c r="AU22" s="19"/>
      <c r="AV22" s="5"/>
      <c r="AW22" s="17">
        <f>M22+P22-Q22</f>
        <v>357</v>
      </c>
      <c r="AX22" s="19"/>
      <c r="AY22" s="5"/>
      <c r="AZ22" s="19"/>
      <c r="BA22" s="5"/>
      <c r="BB22" s="5"/>
      <c r="BC22" s="19"/>
      <c r="BD22" s="19"/>
      <c r="BE22" s="19"/>
      <c r="BF22" s="19"/>
      <c r="BG22" s="19"/>
      <c r="BH22" s="19"/>
      <c r="BI22" s="19"/>
      <c r="BJ22" s="19"/>
      <c r="BK22" s="13"/>
      <c r="BL22" s="5"/>
      <c r="BM22" s="5"/>
      <c r="BN22" s="19"/>
      <c r="BO22" s="17"/>
      <c r="BP22" s="19"/>
      <c r="BQ22" s="17"/>
      <c r="BR22" s="19"/>
      <c r="BS22" s="13"/>
      <c r="BT22" s="5"/>
      <c r="BU22" s="23"/>
      <c r="BV22" s="23"/>
      <c r="BW22" s="24"/>
      <c r="BX22" s="5"/>
      <c r="BY22" s="5"/>
      <c r="BZ22" s="5"/>
      <c r="CA22" s="24"/>
      <c r="CB22" s="24"/>
      <c r="CC22" s="24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>
        <f t="shared" si="4"/>
        <v>350</v>
      </c>
      <c r="CV22" s="25">
        <f t="shared" si="5"/>
        <v>0</v>
      </c>
    </row>
    <row r="23" spans="1:100" x14ac:dyDescent="0.2">
      <c r="A23" s="27"/>
      <c r="B23" s="28"/>
      <c r="C23" s="29"/>
      <c r="D23" s="30"/>
      <c r="E23" s="31"/>
      <c r="F23" s="32"/>
      <c r="G23" s="33"/>
      <c r="H23" s="34"/>
      <c r="I23" s="34"/>
      <c r="J23" s="35"/>
      <c r="K23" s="36"/>
      <c r="L23" s="37"/>
      <c r="M23" s="38">
        <f>SUM(M22:M22)</f>
        <v>350</v>
      </c>
      <c r="N23" s="38"/>
      <c r="O23" s="39" t="s">
        <v>137</v>
      </c>
      <c r="P23" s="38">
        <f>SUM(P22:P22)</f>
        <v>7</v>
      </c>
      <c r="Q23" s="38"/>
      <c r="R23" s="30"/>
      <c r="S23" s="38">
        <f t="shared" ref="S23:AD23" si="35">SUM(S22:S22)</f>
        <v>0</v>
      </c>
      <c r="T23" s="38">
        <f t="shared" si="35"/>
        <v>0</v>
      </c>
      <c r="U23" s="38">
        <f t="shared" si="35"/>
        <v>0</v>
      </c>
      <c r="V23" s="38">
        <f t="shared" si="35"/>
        <v>0</v>
      </c>
      <c r="W23" s="38">
        <f t="shared" si="35"/>
        <v>0</v>
      </c>
      <c r="X23" s="38">
        <f t="shared" si="35"/>
        <v>0</v>
      </c>
      <c r="Y23" s="38">
        <f t="shared" si="35"/>
        <v>0</v>
      </c>
      <c r="Z23" s="38">
        <f t="shared" si="35"/>
        <v>0</v>
      </c>
      <c r="AA23" s="38">
        <f t="shared" si="35"/>
        <v>0</v>
      </c>
      <c r="AB23" s="38">
        <f t="shared" si="35"/>
        <v>0</v>
      </c>
      <c r="AC23" s="38">
        <f t="shared" si="35"/>
        <v>0</v>
      </c>
      <c r="AD23" s="38">
        <f t="shared" si="35"/>
        <v>0</v>
      </c>
      <c r="AE23" s="30"/>
      <c r="AF23" s="38">
        <f>SUM(AF22:AF22)</f>
        <v>0</v>
      </c>
      <c r="AG23" s="30"/>
      <c r="AH23" s="38">
        <f t="shared" ref="AH23:AZ23" si="36">SUM(AH22:AH22)</f>
        <v>0</v>
      </c>
      <c r="AI23" s="38">
        <f t="shared" si="36"/>
        <v>0</v>
      </c>
      <c r="AJ23" s="38">
        <f t="shared" si="36"/>
        <v>0</v>
      </c>
      <c r="AK23" s="38">
        <f t="shared" si="36"/>
        <v>0</v>
      </c>
      <c r="AL23" s="38">
        <f t="shared" si="36"/>
        <v>0</v>
      </c>
      <c r="AM23" s="38">
        <f t="shared" si="36"/>
        <v>0</v>
      </c>
      <c r="AN23" s="38">
        <f t="shared" si="36"/>
        <v>0</v>
      </c>
      <c r="AO23" s="38">
        <f t="shared" si="36"/>
        <v>0</v>
      </c>
      <c r="AP23" s="38">
        <f t="shared" si="36"/>
        <v>0</v>
      </c>
      <c r="AQ23" s="38">
        <f t="shared" si="36"/>
        <v>0</v>
      </c>
      <c r="AR23" s="38">
        <f t="shared" si="36"/>
        <v>0</v>
      </c>
      <c r="AS23" s="38">
        <f t="shared" si="36"/>
        <v>0</v>
      </c>
      <c r="AT23" s="38">
        <f t="shared" si="36"/>
        <v>0</v>
      </c>
      <c r="AU23" s="38">
        <f t="shared" si="36"/>
        <v>0</v>
      </c>
      <c r="AV23" s="38">
        <f t="shared" si="36"/>
        <v>0</v>
      </c>
      <c r="AW23" s="38">
        <f>SUM(AW22:AW22)</f>
        <v>357</v>
      </c>
      <c r="AX23" s="38">
        <f t="shared" si="36"/>
        <v>0</v>
      </c>
      <c r="AY23" s="38">
        <f t="shared" si="36"/>
        <v>0</v>
      </c>
      <c r="AZ23" s="38">
        <f t="shared" si="36"/>
        <v>0</v>
      </c>
      <c r="BA23" s="30"/>
      <c r="BB23" s="38">
        <f t="shared" ref="BB23:CT23" si="37">SUM(BB22:BB22)</f>
        <v>0</v>
      </c>
      <c r="BC23" s="38">
        <f t="shared" si="37"/>
        <v>0</v>
      </c>
      <c r="BD23" s="38">
        <f t="shared" si="37"/>
        <v>0</v>
      </c>
      <c r="BE23" s="38">
        <f t="shared" si="37"/>
        <v>0</v>
      </c>
      <c r="BF23" s="38">
        <f t="shared" si="37"/>
        <v>0</v>
      </c>
      <c r="BG23" s="38">
        <f t="shared" si="37"/>
        <v>0</v>
      </c>
      <c r="BH23" s="38">
        <f t="shared" si="37"/>
        <v>0</v>
      </c>
      <c r="BI23" s="38">
        <f t="shared" si="37"/>
        <v>0</v>
      </c>
      <c r="BJ23" s="38">
        <f t="shared" si="37"/>
        <v>0</v>
      </c>
      <c r="BK23" s="38">
        <f t="shared" si="37"/>
        <v>0</v>
      </c>
      <c r="BL23" s="38">
        <f t="shared" si="37"/>
        <v>0</v>
      </c>
      <c r="BM23" s="38">
        <f t="shared" si="37"/>
        <v>0</v>
      </c>
      <c r="BN23" s="38">
        <f t="shared" si="37"/>
        <v>0</v>
      </c>
      <c r="BO23" s="38">
        <f t="shared" si="37"/>
        <v>0</v>
      </c>
      <c r="BP23" s="38">
        <f t="shared" si="37"/>
        <v>0</v>
      </c>
      <c r="BQ23" s="38">
        <f t="shared" si="37"/>
        <v>0</v>
      </c>
      <c r="BR23" s="38">
        <f t="shared" si="37"/>
        <v>0</v>
      </c>
      <c r="BS23" s="38">
        <f t="shared" si="37"/>
        <v>0</v>
      </c>
      <c r="BT23" s="38">
        <f t="shared" si="37"/>
        <v>0</v>
      </c>
      <c r="BU23" s="38">
        <f t="shared" si="37"/>
        <v>0</v>
      </c>
      <c r="BV23" s="38">
        <f t="shared" si="37"/>
        <v>0</v>
      </c>
      <c r="BW23" s="38">
        <f t="shared" si="37"/>
        <v>0</v>
      </c>
      <c r="BX23" s="38">
        <f t="shared" si="37"/>
        <v>0</v>
      </c>
      <c r="BY23" s="38">
        <f t="shared" si="37"/>
        <v>0</v>
      </c>
      <c r="BZ23" s="38">
        <f t="shared" si="37"/>
        <v>0</v>
      </c>
      <c r="CA23" s="38">
        <f t="shared" si="37"/>
        <v>0</v>
      </c>
      <c r="CB23" s="38">
        <f t="shared" si="37"/>
        <v>0</v>
      </c>
      <c r="CC23" s="38">
        <f t="shared" si="37"/>
        <v>0</v>
      </c>
      <c r="CD23" s="38">
        <f t="shared" si="37"/>
        <v>0</v>
      </c>
      <c r="CE23" s="38">
        <f t="shared" si="37"/>
        <v>0</v>
      </c>
      <c r="CF23" s="38">
        <f t="shared" si="37"/>
        <v>0</v>
      </c>
      <c r="CG23" s="38">
        <f t="shared" si="37"/>
        <v>0</v>
      </c>
      <c r="CH23" s="38">
        <f t="shared" si="37"/>
        <v>0</v>
      </c>
      <c r="CI23" s="38">
        <f t="shared" si="37"/>
        <v>0</v>
      </c>
      <c r="CJ23" s="38">
        <f t="shared" si="37"/>
        <v>0</v>
      </c>
      <c r="CK23" s="38">
        <f t="shared" si="37"/>
        <v>0</v>
      </c>
      <c r="CL23" s="38">
        <f t="shared" si="37"/>
        <v>0</v>
      </c>
      <c r="CM23" s="38">
        <f t="shared" si="37"/>
        <v>0</v>
      </c>
      <c r="CN23" s="38">
        <f t="shared" si="37"/>
        <v>0</v>
      </c>
      <c r="CO23" s="38">
        <f t="shared" si="37"/>
        <v>0</v>
      </c>
      <c r="CP23" s="38">
        <f t="shared" si="37"/>
        <v>0</v>
      </c>
      <c r="CQ23" s="38">
        <f t="shared" si="37"/>
        <v>0</v>
      </c>
      <c r="CR23" s="38">
        <f t="shared" si="37"/>
        <v>0</v>
      </c>
      <c r="CS23" s="38">
        <f t="shared" si="37"/>
        <v>0</v>
      </c>
      <c r="CT23" s="38">
        <f t="shared" si="37"/>
        <v>0</v>
      </c>
      <c r="CU23" s="17">
        <f t="shared" si="4"/>
        <v>350</v>
      </c>
      <c r="CV23" s="25">
        <f t="shared" si="5"/>
        <v>0</v>
      </c>
    </row>
    <row r="24" spans="1:100" x14ac:dyDescent="0.2">
      <c r="A24" s="2">
        <v>45883</v>
      </c>
      <c r="B24" s="3" t="s">
        <v>569</v>
      </c>
      <c r="C24" s="4" t="s">
        <v>863</v>
      </c>
      <c r="D24" s="5" t="s">
        <v>570</v>
      </c>
      <c r="E24" s="6" t="s">
        <v>571</v>
      </c>
      <c r="F24" s="7" t="s">
        <v>575</v>
      </c>
      <c r="G24" s="8" t="s">
        <v>572</v>
      </c>
      <c r="H24" s="9">
        <v>366</v>
      </c>
      <c r="I24" s="10"/>
      <c r="J24" s="11" t="s">
        <v>310</v>
      </c>
      <c r="K24" s="12">
        <v>1</v>
      </c>
      <c r="L24" s="13">
        <v>350</v>
      </c>
      <c r="M24" s="14">
        <f t="shared" ref="M24" si="38">L24*K24</f>
        <v>350</v>
      </c>
      <c r="N24" s="15"/>
      <c r="O24" s="16" t="s">
        <v>137</v>
      </c>
      <c r="P24" s="17">
        <f>M24*0.02</f>
        <v>7</v>
      </c>
      <c r="Q24" s="18"/>
      <c r="R24" s="5"/>
      <c r="S24" s="19"/>
      <c r="T24" s="19"/>
      <c r="U24" s="19"/>
      <c r="V24" s="19"/>
      <c r="W24" s="17"/>
      <c r="X24" s="20"/>
      <c r="Y24" s="19"/>
      <c r="Z24" s="19"/>
      <c r="AA24" s="19"/>
      <c r="AB24" s="19"/>
      <c r="AC24" s="19"/>
      <c r="AD24" s="19"/>
      <c r="AE24" s="5"/>
      <c r="AF24" s="19"/>
      <c r="AG24" s="5"/>
      <c r="AH24" s="17"/>
      <c r="AI24" s="19"/>
      <c r="AJ24" s="19"/>
      <c r="AK24" s="19"/>
      <c r="AL24" s="19"/>
      <c r="AM24" s="17"/>
      <c r="AN24" s="19"/>
      <c r="AO24" s="19"/>
      <c r="AP24" s="19"/>
      <c r="AQ24" s="19"/>
      <c r="AR24" s="19"/>
      <c r="AS24" s="21"/>
      <c r="AT24" s="5"/>
      <c r="AU24" s="19"/>
      <c r="AV24" s="5"/>
      <c r="AW24" s="17">
        <f>M24+P24-Q24</f>
        <v>357</v>
      </c>
      <c r="AX24" s="19"/>
      <c r="AY24" s="5"/>
      <c r="AZ24" s="19"/>
      <c r="BA24" s="5"/>
      <c r="BB24" s="5"/>
      <c r="BC24" s="19"/>
      <c r="BD24" s="19"/>
      <c r="BE24" s="19"/>
      <c r="BF24" s="19"/>
      <c r="BG24" s="19"/>
      <c r="BH24" s="19"/>
      <c r="BI24" s="19"/>
      <c r="BJ24" s="19"/>
      <c r="BK24" s="13"/>
      <c r="BL24" s="5"/>
      <c r="BM24" s="5"/>
      <c r="BN24" s="19"/>
      <c r="BO24" s="17"/>
      <c r="BP24" s="19"/>
      <c r="BQ24" s="17"/>
      <c r="BR24" s="19"/>
      <c r="BS24" s="13"/>
      <c r="BT24" s="5"/>
      <c r="BU24" s="23"/>
      <c r="BV24" s="23"/>
      <c r="BW24" s="24"/>
      <c r="BX24" s="5"/>
      <c r="BY24" s="5"/>
      <c r="BZ24" s="5"/>
      <c r="CA24" s="24"/>
      <c r="CB24" s="24"/>
      <c r="CC24" s="24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>
        <f t="shared" si="4"/>
        <v>350</v>
      </c>
      <c r="CV24" s="25">
        <f t="shared" si="5"/>
        <v>0</v>
      </c>
    </row>
    <row r="25" spans="1:100" x14ac:dyDescent="0.2">
      <c r="A25" s="27"/>
      <c r="B25" s="28"/>
      <c r="C25" s="29"/>
      <c r="D25" s="30"/>
      <c r="E25" s="31"/>
      <c r="F25" s="32"/>
      <c r="G25" s="33"/>
      <c r="H25" s="34"/>
      <c r="I25" s="34"/>
      <c r="J25" s="35"/>
      <c r="K25" s="36"/>
      <c r="L25" s="37"/>
      <c r="M25" s="38">
        <f>SUM(M24:M24)</f>
        <v>350</v>
      </c>
      <c r="N25" s="38"/>
      <c r="O25" s="39" t="s">
        <v>137</v>
      </c>
      <c r="P25" s="38">
        <f>SUM(P24:P24)</f>
        <v>7</v>
      </c>
      <c r="Q25" s="38"/>
      <c r="R25" s="30"/>
      <c r="S25" s="38">
        <f t="shared" ref="S25:AD25" si="39">SUM(S24:S24)</f>
        <v>0</v>
      </c>
      <c r="T25" s="38">
        <f t="shared" si="39"/>
        <v>0</v>
      </c>
      <c r="U25" s="38">
        <f t="shared" si="39"/>
        <v>0</v>
      </c>
      <c r="V25" s="38">
        <f t="shared" si="39"/>
        <v>0</v>
      </c>
      <c r="W25" s="38">
        <f t="shared" si="39"/>
        <v>0</v>
      </c>
      <c r="X25" s="38">
        <f t="shared" si="39"/>
        <v>0</v>
      </c>
      <c r="Y25" s="38">
        <f t="shared" si="39"/>
        <v>0</v>
      </c>
      <c r="Z25" s="38">
        <f t="shared" si="39"/>
        <v>0</v>
      </c>
      <c r="AA25" s="38">
        <f t="shared" si="39"/>
        <v>0</v>
      </c>
      <c r="AB25" s="38">
        <f t="shared" si="39"/>
        <v>0</v>
      </c>
      <c r="AC25" s="38">
        <f t="shared" si="39"/>
        <v>0</v>
      </c>
      <c r="AD25" s="38">
        <f t="shared" si="39"/>
        <v>0</v>
      </c>
      <c r="AE25" s="30"/>
      <c r="AF25" s="38">
        <f>SUM(AF24:AF24)</f>
        <v>0</v>
      </c>
      <c r="AG25" s="30"/>
      <c r="AH25" s="38">
        <f t="shared" ref="AH25:AZ25" si="40">SUM(AH24:AH24)</f>
        <v>0</v>
      </c>
      <c r="AI25" s="38">
        <f t="shared" si="40"/>
        <v>0</v>
      </c>
      <c r="AJ25" s="38">
        <f t="shared" si="40"/>
        <v>0</v>
      </c>
      <c r="AK25" s="38">
        <f t="shared" si="40"/>
        <v>0</v>
      </c>
      <c r="AL25" s="38">
        <f t="shared" si="40"/>
        <v>0</v>
      </c>
      <c r="AM25" s="38">
        <f t="shared" si="40"/>
        <v>0</v>
      </c>
      <c r="AN25" s="38">
        <f t="shared" si="40"/>
        <v>0</v>
      </c>
      <c r="AO25" s="38">
        <f t="shared" si="40"/>
        <v>0</v>
      </c>
      <c r="AP25" s="38">
        <f t="shared" si="40"/>
        <v>0</v>
      </c>
      <c r="AQ25" s="38">
        <f t="shared" si="40"/>
        <v>0</v>
      </c>
      <c r="AR25" s="38">
        <f t="shared" si="40"/>
        <v>0</v>
      </c>
      <c r="AS25" s="38">
        <f t="shared" si="40"/>
        <v>0</v>
      </c>
      <c r="AT25" s="38">
        <f t="shared" si="40"/>
        <v>0</v>
      </c>
      <c r="AU25" s="38">
        <f t="shared" si="40"/>
        <v>0</v>
      </c>
      <c r="AV25" s="38">
        <f t="shared" si="40"/>
        <v>0</v>
      </c>
      <c r="AW25" s="38">
        <f>SUM(AW24:AW24)</f>
        <v>357</v>
      </c>
      <c r="AX25" s="38">
        <f t="shared" si="40"/>
        <v>0</v>
      </c>
      <c r="AY25" s="38">
        <f t="shared" si="40"/>
        <v>0</v>
      </c>
      <c r="AZ25" s="38">
        <f t="shared" si="40"/>
        <v>0</v>
      </c>
      <c r="BA25" s="30"/>
      <c r="BB25" s="38">
        <f t="shared" ref="BB25:CT25" si="41">SUM(BB24:BB24)</f>
        <v>0</v>
      </c>
      <c r="BC25" s="38">
        <f t="shared" si="41"/>
        <v>0</v>
      </c>
      <c r="BD25" s="38">
        <f t="shared" si="41"/>
        <v>0</v>
      </c>
      <c r="BE25" s="38">
        <f t="shared" si="41"/>
        <v>0</v>
      </c>
      <c r="BF25" s="38">
        <f t="shared" si="41"/>
        <v>0</v>
      </c>
      <c r="BG25" s="38">
        <f t="shared" si="41"/>
        <v>0</v>
      </c>
      <c r="BH25" s="38">
        <f t="shared" si="41"/>
        <v>0</v>
      </c>
      <c r="BI25" s="38">
        <f t="shared" si="41"/>
        <v>0</v>
      </c>
      <c r="BJ25" s="38">
        <f t="shared" si="41"/>
        <v>0</v>
      </c>
      <c r="BK25" s="38">
        <f t="shared" si="41"/>
        <v>0</v>
      </c>
      <c r="BL25" s="38">
        <f t="shared" si="41"/>
        <v>0</v>
      </c>
      <c r="BM25" s="38">
        <f t="shared" si="41"/>
        <v>0</v>
      </c>
      <c r="BN25" s="38">
        <f t="shared" si="41"/>
        <v>0</v>
      </c>
      <c r="BO25" s="38">
        <f t="shared" si="41"/>
        <v>0</v>
      </c>
      <c r="BP25" s="38">
        <f t="shared" si="41"/>
        <v>0</v>
      </c>
      <c r="BQ25" s="38">
        <f t="shared" si="41"/>
        <v>0</v>
      </c>
      <c r="BR25" s="38">
        <f t="shared" si="41"/>
        <v>0</v>
      </c>
      <c r="BS25" s="38">
        <f t="shared" si="41"/>
        <v>0</v>
      </c>
      <c r="BT25" s="38">
        <f t="shared" si="41"/>
        <v>0</v>
      </c>
      <c r="BU25" s="38">
        <f t="shared" si="41"/>
        <v>0</v>
      </c>
      <c r="BV25" s="38">
        <f t="shared" si="41"/>
        <v>0</v>
      </c>
      <c r="BW25" s="38">
        <f t="shared" si="41"/>
        <v>0</v>
      </c>
      <c r="BX25" s="38">
        <f t="shared" si="41"/>
        <v>0</v>
      </c>
      <c r="BY25" s="38">
        <f t="shared" si="41"/>
        <v>0</v>
      </c>
      <c r="BZ25" s="38">
        <f t="shared" si="41"/>
        <v>0</v>
      </c>
      <c r="CA25" s="38">
        <f t="shared" si="41"/>
        <v>0</v>
      </c>
      <c r="CB25" s="38">
        <f t="shared" si="41"/>
        <v>0</v>
      </c>
      <c r="CC25" s="38">
        <f t="shared" si="41"/>
        <v>0</v>
      </c>
      <c r="CD25" s="38">
        <f t="shared" si="41"/>
        <v>0</v>
      </c>
      <c r="CE25" s="38">
        <f t="shared" si="41"/>
        <v>0</v>
      </c>
      <c r="CF25" s="38">
        <f t="shared" si="41"/>
        <v>0</v>
      </c>
      <c r="CG25" s="38">
        <f t="shared" si="41"/>
        <v>0</v>
      </c>
      <c r="CH25" s="38">
        <f t="shared" si="41"/>
        <v>0</v>
      </c>
      <c r="CI25" s="38">
        <f t="shared" si="41"/>
        <v>0</v>
      </c>
      <c r="CJ25" s="38">
        <f t="shared" si="41"/>
        <v>0</v>
      </c>
      <c r="CK25" s="38">
        <f t="shared" si="41"/>
        <v>0</v>
      </c>
      <c r="CL25" s="38">
        <f t="shared" si="41"/>
        <v>0</v>
      </c>
      <c r="CM25" s="38">
        <f t="shared" si="41"/>
        <v>0</v>
      </c>
      <c r="CN25" s="38">
        <f t="shared" si="41"/>
        <v>0</v>
      </c>
      <c r="CO25" s="38">
        <f t="shared" si="41"/>
        <v>0</v>
      </c>
      <c r="CP25" s="38">
        <f t="shared" si="41"/>
        <v>0</v>
      </c>
      <c r="CQ25" s="38">
        <f t="shared" si="41"/>
        <v>0</v>
      </c>
      <c r="CR25" s="38">
        <f t="shared" si="41"/>
        <v>0</v>
      </c>
      <c r="CS25" s="38">
        <f t="shared" si="41"/>
        <v>0</v>
      </c>
      <c r="CT25" s="38">
        <f t="shared" si="41"/>
        <v>0</v>
      </c>
      <c r="CU25" s="17">
        <f t="shared" si="4"/>
        <v>350</v>
      </c>
      <c r="CV25" s="25">
        <f t="shared" si="5"/>
        <v>0</v>
      </c>
    </row>
    <row r="26" spans="1:100" x14ac:dyDescent="0.2">
      <c r="A26" s="2">
        <v>45878</v>
      </c>
      <c r="B26" s="3" t="s">
        <v>569</v>
      </c>
      <c r="C26" s="4" t="s">
        <v>864</v>
      </c>
      <c r="D26" s="5" t="s">
        <v>570</v>
      </c>
      <c r="E26" s="6" t="s">
        <v>272</v>
      </c>
      <c r="F26" s="7" t="s">
        <v>229</v>
      </c>
      <c r="G26" s="8" t="s">
        <v>273</v>
      </c>
      <c r="H26" s="9">
        <v>27589</v>
      </c>
      <c r="I26" s="10" t="s">
        <v>577</v>
      </c>
      <c r="J26" s="11" t="s">
        <v>339</v>
      </c>
      <c r="K26" s="12">
        <v>6</v>
      </c>
      <c r="L26" s="13">
        <v>90</v>
      </c>
      <c r="M26" s="14">
        <f t="shared" ref="M26" si="42">L26*K26</f>
        <v>540</v>
      </c>
      <c r="N26" s="15"/>
      <c r="O26" s="16" t="s">
        <v>111</v>
      </c>
      <c r="P26" s="17">
        <f>M26/1.12*0.01</f>
        <v>4.8214285714285712</v>
      </c>
      <c r="Q26" s="18">
        <f>M26/1.12*0.12</f>
        <v>57.857142857142854</v>
      </c>
      <c r="R26" s="17">
        <f>M26+P26-Q26</f>
        <v>486.96428571428572</v>
      </c>
      <c r="S26" s="19"/>
      <c r="T26" s="19"/>
      <c r="U26" s="19"/>
      <c r="V26" s="19"/>
      <c r="W26" s="17"/>
      <c r="X26" s="20"/>
      <c r="Y26" s="19"/>
      <c r="Z26" s="19"/>
      <c r="AA26" s="19"/>
      <c r="AB26" s="19"/>
      <c r="AC26" s="19"/>
      <c r="AD26" s="19"/>
      <c r="AE26" s="5"/>
      <c r="AF26" s="19"/>
      <c r="AG26" s="5"/>
      <c r="AH26" s="17"/>
      <c r="AI26" s="19"/>
      <c r="AJ26" s="19"/>
      <c r="AK26" s="19"/>
      <c r="AL26" s="19"/>
      <c r="AM26" s="17"/>
      <c r="AN26" s="19"/>
      <c r="AO26" s="19"/>
      <c r="AP26" s="19"/>
      <c r="AQ26" s="19"/>
      <c r="AR26" s="19"/>
      <c r="AS26" s="21"/>
      <c r="AT26" s="5"/>
      <c r="AU26" s="19"/>
      <c r="AV26" s="5"/>
      <c r="AW26" s="22"/>
      <c r="AX26" s="19"/>
      <c r="AY26" s="5"/>
      <c r="AZ26" s="19"/>
      <c r="BA26" s="5"/>
      <c r="BB26" s="5"/>
      <c r="BC26" s="19"/>
      <c r="BD26" s="19"/>
      <c r="BE26" s="19"/>
      <c r="BF26" s="19"/>
      <c r="BG26" s="19"/>
      <c r="BH26" s="19"/>
      <c r="BI26" s="19"/>
      <c r="BJ26" s="19"/>
      <c r="BK26" s="13"/>
      <c r="BL26" s="5"/>
      <c r="BM26" s="5"/>
      <c r="BN26" s="19"/>
      <c r="BO26" s="17"/>
      <c r="BP26" s="19"/>
      <c r="BQ26" s="17"/>
      <c r="BR26" s="19"/>
      <c r="BS26" s="13"/>
      <c r="BT26" s="5"/>
      <c r="BU26" s="23"/>
      <c r="BV26" s="23"/>
      <c r="BW26" s="24"/>
      <c r="BX26" s="5"/>
      <c r="BY26" s="5"/>
      <c r="BZ26" s="5"/>
      <c r="CA26" s="24"/>
      <c r="CB26" s="24"/>
      <c r="CC26" s="24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>
        <f t="shared" si="4"/>
        <v>540</v>
      </c>
      <c r="CV26" s="25">
        <f t="shared" si="5"/>
        <v>0</v>
      </c>
    </row>
    <row r="27" spans="1:100" x14ac:dyDescent="0.2">
      <c r="A27" s="27"/>
      <c r="B27" s="28"/>
      <c r="C27" s="29"/>
      <c r="D27" s="30"/>
      <c r="E27" s="31"/>
      <c r="F27" s="32"/>
      <c r="G27" s="33"/>
      <c r="H27" s="34"/>
      <c r="I27" s="34"/>
      <c r="J27" s="35"/>
      <c r="K27" s="36"/>
      <c r="L27" s="37"/>
      <c r="M27" s="38">
        <f>SUM(M26:M26)</f>
        <v>540</v>
      </c>
      <c r="N27" s="38"/>
      <c r="O27" s="39" t="s">
        <v>111</v>
      </c>
      <c r="P27" s="38">
        <f>SUM(P26:P26)</f>
        <v>4.8214285714285712</v>
      </c>
      <c r="Q27" s="38">
        <f>SUM(Q26:Q26)</f>
        <v>57.857142857142854</v>
      </c>
      <c r="R27" s="38">
        <f>SUM(R26:R26)</f>
        <v>486.96428571428572</v>
      </c>
      <c r="S27" s="38">
        <f t="shared" ref="S27:AD27" si="43">SUM(S26:S26)</f>
        <v>0</v>
      </c>
      <c r="T27" s="38">
        <f t="shared" si="43"/>
        <v>0</v>
      </c>
      <c r="U27" s="38">
        <f t="shared" si="43"/>
        <v>0</v>
      </c>
      <c r="V27" s="38">
        <f t="shared" si="43"/>
        <v>0</v>
      </c>
      <c r="W27" s="38">
        <f t="shared" si="43"/>
        <v>0</v>
      </c>
      <c r="X27" s="38">
        <f t="shared" si="43"/>
        <v>0</v>
      </c>
      <c r="Y27" s="38">
        <f t="shared" si="43"/>
        <v>0</v>
      </c>
      <c r="Z27" s="38">
        <f t="shared" si="43"/>
        <v>0</v>
      </c>
      <c r="AA27" s="38">
        <f t="shared" si="43"/>
        <v>0</v>
      </c>
      <c r="AB27" s="38">
        <f t="shared" si="43"/>
        <v>0</v>
      </c>
      <c r="AC27" s="38">
        <f t="shared" si="43"/>
        <v>0</v>
      </c>
      <c r="AD27" s="38">
        <f t="shared" si="43"/>
        <v>0</v>
      </c>
      <c r="AE27" s="30"/>
      <c r="AF27" s="38">
        <f>SUM(AF26:AF26)</f>
        <v>0</v>
      </c>
      <c r="AG27" s="30"/>
      <c r="AH27" s="38">
        <f t="shared" ref="AH27:AZ27" si="44">SUM(AH26:AH26)</f>
        <v>0</v>
      </c>
      <c r="AI27" s="38">
        <f t="shared" si="44"/>
        <v>0</v>
      </c>
      <c r="AJ27" s="38">
        <f t="shared" si="44"/>
        <v>0</v>
      </c>
      <c r="AK27" s="38">
        <f t="shared" si="44"/>
        <v>0</v>
      </c>
      <c r="AL27" s="38">
        <f t="shared" si="44"/>
        <v>0</v>
      </c>
      <c r="AM27" s="38">
        <f t="shared" si="44"/>
        <v>0</v>
      </c>
      <c r="AN27" s="38">
        <f t="shared" si="44"/>
        <v>0</v>
      </c>
      <c r="AO27" s="38">
        <f t="shared" si="44"/>
        <v>0</v>
      </c>
      <c r="AP27" s="38">
        <f t="shared" si="44"/>
        <v>0</v>
      </c>
      <c r="AQ27" s="38">
        <f t="shared" si="44"/>
        <v>0</v>
      </c>
      <c r="AR27" s="38">
        <f t="shared" si="44"/>
        <v>0</v>
      </c>
      <c r="AS27" s="38">
        <f t="shared" si="44"/>
        <v>0</v>
      </c>
      <c r="AT27" s="38">
        <f t="shared" si="44"/>
        <v>0</v>
      </c>
      <c r="AU27" s="38">
        <f t="shared" si="44"/>
        <v>0</v>
      </c>
      <c r="AV27" s="38">
        <f t="shared" si="44"/>
        <v>0</v>
      </c>
      <c r="AW27" s="38">
        <f t="shared" si="44"/>
        <v>0</v>
      </c>
      <c r="AX27" s="38">
        <f t="shared" si="44"/>
        <v>0</v>
      </c>
      <c r="AY27" s="38">
        <f t="shared" si="44"/>
        <v>0</v>
      </c>
      <c r="AZ27" s="38">
        <f t="shared" si="44"/>
        <v>0</v>
      </c>
      <c r="BA27" s="30"/>
      <c r="BB27" s="38">
        <f t="shared" ref="BB27:CT27" si="45">SUM(BB26:BB26)</f>
        <v>0</v>
      </c>
      <c r="BC27" s="38">
        <f t="shared" si="45"/>
        <v>0</v>
      </c>
      <c r="BD27" s="38">
        <f t="shared" si="45"/>
        <v>0</v>
      </c>
      <c r="BE27" s="38">
        <f t="shared" si="45"/>
        <v>0</v>
      </c>
      <c r="BF27" s="38">
        <f t="shared" si="45"/>
        <v>0</v>
      </c>
      <c r="BG27" s="38">
        <f t="shared" si="45"/>
        <v>0</v>
      </c>
      <c r="BH27" s="38">
        <f t="shared" si="45"/>
        <v>0</v>
      </c>
      <c r="BI27" s="38">
        <f t="shared" si="45"/>
        <v>0</v>
      </c>
      <c r="BJ27" s="38">
        <f t="shared" si="45"/>
        <v>0</v>
      </c>
      <c r="BK27" s="38">
        <f t="shared" si="45"/>
        <v>0</v>
      </c>
      <c r="BL27" s="38">
        <f t="shared" si="45"/>
        <v>0</v>
      </c>
      <c r="BM27" s="38">
        <f t="shared" si="45"/>
        <v>0</v>
      </c>
      <c r="BN27" s="38">
        <f t="shared" si="45"/>
        <v>0</v>
      </c>
      <c r="BO27" s="38">
        <f t="shared" si="45"/>
        <v>0</v>
      </c>
      <c r="BP27" s="38">
        <f t="shared" si="45"/>
        <v>0</v>
      </c>
      <c r="BQ27" s="38">
        <f t="shared" si="45"/>
        <v>0</v>
      </c>
      <c r="BR27" s="38">
        <f t="shared" si="45"/>
        <v>0</v>
      </c>
      <c r="BS27" s="38">
        <f t="shared" si="45"/>
        <v>0</v>
      </c>
      <c r="BT27" s="38">
        <f t="shared" si="45"/>
        <v>0</v>
      </c>
      <c r="BU27" s="38">
        <f t="shared" si="45"/>
        <v>0</v>
      </c>
      <c r="BV27" s="38">
        <f t="shared" si="45"/>
        <v>0</v>
      </c>
      <c r="BW27" s="38">
        <f t="shared" si="45"/>
        <v>0</v>
      </c>
      <c r="BX27" s="38">
        <f t="shared" si="45"/>
        <v>0</v>
      </c>
      <c r="BY27" s="38">
        <f t="shared" si="45"/>
        <v>0</v>
      </c>
      <c r="BZ27" s="38">
        <f t="shared" si="45"/>
        <v>0</v>
      </c>
      <c r="CA27" s="38">
        <f t="shared" si="45"/>
        <v>0</v>
      </c>
      <c r="CB27" s="38">
        <f t="shared" si="45"/>
        <v>0</v>
      </c>
      <c r="CC27" s="38">
        <f t="shared" si="45"/>
        <v>0</v>
      </c>
      <c r="CD27" s="38">
        <f t="shared" si="45"/>
        <v>0</v>
      </c>
      <c r="CE27" s="38">
        <f t="shared" si="45"/>
        <v>0</v>
      </c>
      <c r="CF27" s="38">
        <f t="shared" si="45"/>
        <v>0</v>
      </c>
      <c r="CG27" s="38">
        <f t="shared" si="45"/>
        <v>0</v>
      </c>
      <c r="CH27" s="38">
        <f t="shared" si="45"/>
        <v>0</v>
      </c>
      <c r="CI27" s="38">
        <f t="shared" si="45"/>
        <v>0</v>
      </c>
      <c r="CJ27" s="38">
        <f t="shared" si="45"/>
        <v>0</v>
      </c>
      <c r="CK27" s="38">
        <f t="shared" si="45"/>
        <v>0</v>
      </c>
      <c r="CL27" s="38">
        <f t="shared" si="45"/>
        <v>0</v>
      </c>
      <c r="CM27" s="38">
        <f t="shared" si="45"/>
        <v>0</v>
      </c>
      <c r="CN27" s="38">
        <f t="shared" si="45"/>
        <v>0</v>
      </c>
      <c r="CO27" s="38">
        <f t="shared" si="45"/>
        <v>0</v>
      </c>
      <c r="CP27" s="38">
        <f t="shared" si="45"/>
        <v>0</v>
      </c>
      <c r="CQ27" s="38">
        <f t="shared" si="45"/>
        <v>0</v>
      </c>
      <c r="CR27" s="38">
        <f t="shared" si="45"/>
        <v>0</v>
      </c>
      <c r="CS27" s="38">
        <f t="shared" si="45"/>
        <v>0</v>
      </c>
      <c r="CT27" s="38">
        <f t="shared" si="45"/>
        <v>0</v>
      </c>
      <c r="CU27" s="17">
        <f t="shared" si="4"/>
        <v>540</v>
      </c>
      <c r="CV27" s="25">
        <f t="shared" si="5"/>
        <v>0</v>
      </c>
    </row>
    <row r="28" spans="1:100" x14ac:dyDescent="0.2">
      <c r="A28" s="2">
        <v>45875</v>
      </c>
      <c r="B28" s="3" t="s">
        <v>569</v>
      </c>
      <c r="C28" s="4" t="s">
        <v>865</v>
      </c>
      <c r="D28" s="5" t="s">
        <v>570</v>
      </c>
      <c r="E28" s="6" t="s">
        <v>272</v>
      </c>
      <c r="F28" s="7" t="s">
        <v>229</v>
      </c>
      <c r="G28" s="8" t="s">
        <v>273</v>
      </c>
      <c r="H28" s="9">
        <v>26789</v>
      </c>
      <c r="I28" s="10"/>
      <c r="J28" s="11" t="s">
        <v>339</v>
      </c>
      <c r="K28" s="12">
        <v>6</v>
      </c>
      <c r="L28" s="13">
        <v>90</v>
      </c>
      <c r="M28" s="14">
        <f t="shared" ref="M28" si="46">L28*K28</f>
        <v>540</v>
      </c>
      <c r="N28" s="15"/>
      <c r="O28" s="16" t="s">
        <v>111</v>
      </c>
      <c r="P28" s="17">
        <f>M28/1.12*0.01</f>
        <v>4.8214285714285712</v>
      </c>
      <c r="Q28" s="18">
        <f>M28/1.12*0.12</f>
        <v>57.857142857142854</v>
      </c>
      <c r="R28" s="17">
        <f>M28+P28-Q28</f>
        <v>486.96428571428572</v>
      </c>
      <c r="S28" s="19"/>
      <c r="T28" s="19"/>
      <c r="U28" s="19"/>
      <c r="V28" s="19"/>
      <c r="W28" s="17"/>
      <c r="X28" s="20"/>
      <c r="Y28" s="19"/>
      <c r="Z28" s="19"/>
      <c r="AA28" s="19"/>
      <c r="AB28" s="19"/>
      <c r="AC28" s="19"/>
      <c r="AD28" s="19"/>
      <c r="AE28" s="5"/>
      <c r="AF28" s="19"/>
      <c r="AG28" s="5"/>
      <c r="AH28" s="17"/>
      <c r="AI28" s="19"/>
      <c r="AJ28" s="19"/>
      <c r="AK28" s="19"/>
      <c r="AL28" s="19"/>
      <c r="AM28" s="17"/>
      <c r="AN28" s="19"/>
      <c r="AO28" s="19"/>
      <c r="AP28" s="19"/>
      <c r="AQ28" s="19"/>
      <c r="AR28" s="19"/>
      <c r="AS28" s="21"/>
      <c r="AT28" s="5"/>
      <c r="AU28" s="19"/>
      <c r="AV28" s="5"/>
      <c r="AW28" s="22"/>
      <c r="AX28" s="19"/>
      <c r="AY28" s="5"/>
      <c r="AZ28" s="19"/>
      <c r="BA28" s="5"/>
      <c r="BB28" s="5"/>
      <c r="BC28" s="19"/>
      <c r="BD28" s="19"/>
      <c r="BE28" s="19"/>
      <c r="BF28" s="19"/>
      <c r="BG28" s="19"/>
      <c r="BH28" s="19"/>
      <c r="BI28" s="19"/>
      <c r="BJ28" s="19"/>
      <c r="BK28" s="13"/>
      <c r="BL28" s="5"/>
      <c r="BM28" s="5"/>
      <c r="BN28" s="19"/>
      <c r="BO28" s="17"/>
      <c r="BP28" s="19"/>
      <c r="BQ28" s="17"/>
      <c r="BR28" s="19"/>
      <c r="BS28" s="13"/>
      <c r="BT28" s="5"/>
      <c r="BU28" s="23"/>
      <c r="BV28" s="23"/>
      <c r="BW28" s="24"/>
      <c r="BX28" s="5"/>
      <c r="BY28" s="5"/>
      <c r="BZ28" s="5"/>
      <c r="CA28" s="24"/>
      <c r="CB28" s="24"/>
      <c r="CC28" s="24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>
        <f t="shared" si="4"/>
        <v>540</v>
      </c>
      <c r="CV28" s="25">
        <f t="shared" si="5"/>
        <v>0</v>
      </c>
    </row>
    <row r="29" spans="1:100" s="205" customFormat="1" x14ac:dyDescent="0.2">
      <c r="A29" s="192"/>
      <c r="B29" s="193"/>
      <c r="C29" s="194"/>
      <c r="D29" s="195"/>
      <c r="E29" s="196"/>
      <c r="F29" s="197"/>
      <c r="G29" s="198"/>
      <c r="H29" s="199"/>
      <c r="I29" s="199"/>
      <c r="J29" s="200"/>
      <c r="K29" s="201"/>
      <c r="L29" s="202"/>
      <c r="M29" s="203">
        <f>SUM(M28:M28)</f>
        <v>540</v>
      </c>
      <c r="N29" s="203">
        <f>M29+M27+M25+M23+M21+M19+M17+M15+M13+M11+M9+M7</f>
        <v>7680</v>
      </c>
      <c r="O29" s="204" t="s">
        <v>111</v>
      </c>
      <c r="P29" s="203">
        <f>SUM(P28:P28)</f>
        <v>4.8214285714285712</v>
      </c>
      <c r="Q29" s="203">
        <f>SUM(Q28:Q28)</f>
        <v>57.857142857142854</v>
      </c>
      <c r="R29" s="203">
        <f>SUM(R28:R28)</f>
        <v>486.96428571428572</v>
      </c>
      <c r="S29" s="203">
        <f t="shared" ref="S29:AD29" si="47">SUM(S28:S28)</f>
        <v>0</v>
      </c>
      <c r="T29" s="203">
        <f t="shared" si="47"/>
        <v>0</v>
      </c>
      <c r="U29" s="203">
        <f t="shared" si="47"/>
        <v>0</v>
      </c>
      <c r="V29" s="203">
        <f t="shared" si="47"/>
        <v>0</v>
      </c>
      <c r="W29" s="203">
        <f t="shared" si="47"/>
        <v>0</v>
      </c>
      <c r="X29" s="203">
        <f t="shared" si="47"/>
        <v>0</v>
      </c>
      <c r="Y29" s="203">
        <f t="shared" si="47"/>
        <v>0</v>
      </c>
      <c r="Z29" s="203">
        <f t="shared" si="47"/>
        <v>0</v>
      </c>
      <c r="AA29" s="203">
        <f t="shared" si="47"/>
        <v>0</v>
      </c>
      <c r="AB29" s="203">
        <f t="shared" si="47"/>
        <v>0</v>
      </c>
      <c r="AC29" s="203">
        <f t="shared" si="47"/>
        <v>0</v>
      </c>
      <c r="AD29" s="203">
        <f t="shared" si="47"/>
        <v>0</v>
      </c>
      <c r="AE29" s="195"/>
      <c r="AF29" s="203">
        <f>SUM(AF28:AF28)</f>
        <v>0</v>
      </c>
      <c r="AG29" s="195"/>
      <c r="AH29" s="203">
        <f t="shared" ref="AH29:AZ29" si="48">SUM(AH28:AH28)</f>
        <v>0</v>
      </c>
      <c r="AI29" s="203">
        <f t="shared" si="48"/>
        <v>0</v>
      </c>
      <c r="AJ29" s="203">
        <f t="shared" si="48"/>
        <v>0</v>
      </c>
      <c r="AK29" s="203">
        <f t="shared" si="48"/>
        <v>0</v>
      </c>
      <c r="AL29" s="203">
        <f t="shared" si="48"/>
        <v>0</v>
      </c>
      <c r="AM29" s="203">
        <f t="shared" si="48"/>
        <v>0</v>
      </c>
      <c r="AN29" s="203">
        <f t="shared" si="48"/>
        <v>0</v>
      </c>
      <c r="AO29" s="203">
        <f t="shared" si="48"/>
        <v>0</v>
      </c>
      <c r="AP29" s="203">
        <f t="shared" si="48"/>
        <v>0</v>
      </c>
      <c r="AQ29" s="203">
        <f t="shared" si="48"/>
        <v>0</v>
      </c>
      <c r="AR29" s="203">
        <f t="shared" si="48"/>
        <v>0</v>
      </c>
      <c r="AS29" s="203">
        <f t="shared" si="48"/>
        <v>0</v>
      </c>
      <c r="AT29" s="203">
        <f t="shared" si="48"/>
        <v>0</v>
      </c>
      <c r="AU29" s="203">
        <f t="shared" si="48"/>
        <v>0</v>
      </c>
      <c r="AV29" s="203">
        <f t="shared" si="48"/>
        <v>0</v>
      </c>
      <c r="AW29" s="203">
        <f t="shared" si="48"/>
        <v>0</v>
      </c>
      <c r="AX29" s="203">
        <f t="shared" si="48"/>
        <v>0</v>
      </c>
      <c r="AY29" s="203">
        <f t="shared" si="48"/>
        <v>0</v>
      </c>
      <c r="AZ29" s="203">
        <f t="shared" si="48"/>
        <v>0</v>
      </c>
      <c r="BA29" s="195"/>
      <c r="BB29" s="203">
        <f t="shared" ref="BB29:CT29" si="49">SUM(BB28:BB28)</f>
        <v>0</v>
      </c>
      <c r="BC29" s="203">
        <f t="shared" si="49"/>
        <v>0</v>
      </c>
      <c r="BD29" s="203">
        <f t="shared" si="49"/>
        <v>0</v>
      </c>
      <c r="BE29" s="203">
        <f t="shared" si="49"/>
        <v>0</v>
      </c>
      <c r="BF29" s="203">
        <f t="shared" si="49"/>
        <v>0</v>
      </c>
      <c r="BG29" s="203">
        <f t="shared" si="49"/>
        <v>0</v>
      </c>
      <c r="BH29" s="203">
        <f t="shared" si="49"/>
        <v>0</v>
      </c>
      <c r="BI29" s="203">
        <f t="shared" si="49"/>
        <v>0</v>
      </c>
      <c r="BJ29" s="203">
        <f t="shared" si="49"/>
        <v>0</v>
      </c>
      <c r="BK29" s="203">
        <f t="shared" si="49"/>
        <v>0</v>
      </c>
      <c r="BL29" s="203">
        <f t="shared" si="49"/>
        <v>0</v>
      </c>
      <c r="BM29" s="203">
        <f t="shared" si="49"/>
        <v>0</v>
      </c>
      <c r="BN29" s="203">
        <f t="shared" si="49"/>
        <v>0</v>
      </c>
      <c r="BO29" s="203">
        <f t="shared" si="49"/>
        <v>0</v>
      </c>
      <c r="BP29" s="203">
        <f t="shared" si="49"/>
        <v>0</v>
      </c>
      <c r="BQ29" s="203">
        <f t="shared" si="49"/>
        <v>0</v>
      </c>
      <c r="BR29" s="203">
        <f t="shared" si="49"/>
        <v>0</v>
      </c>
      <c r="BS29" s="203">
        <f t="shared" si="49"/>
        <v>0</v>
      </c>
      <c r="BT29" s="203">
        <f t="shared" si="49"/>
        <v>0</v>
      </c>
      <c r="BU29" s="203">
        <f t="shared" si="49"/>
        <v>0</v>
      </c>
      <c r="BV29" s="203">
        <f t="shared" si="49"/>
        <v>0</v>
      </c>
      <c r="BW29" s="203">
        <f t="shared" si="49"/>
        <v>0</v>
      </c>
      <c r="BX29" s="203">
        <f t="shared" si="49"/>
        <v>0</v>
      </c>
      <c r="BY29" s="203">
        <f t="shared" si="49"/>
        <v>0</v>
      </c>
      <c r="BZ29" s="203">
        <f t="shared" si="49"/>
        <v>0</v>
      </c>
      <c r="CA29" s="203">
        <f t="shared" si="49"/>
        <v>0</v>
      </c>
      <c r="CB29" s="203">
        <f t="shared" si="49"/>
        <v>0</v>
      </c>
      <c r="CC29" s="203">
        <f t="shared" si="49"/>
        <v>0</v>
      </c>
      <c r="CD29" s="203">
        <f t="shared" si="49"/>
        <v>0</v>
      </c>
      <c r="CE29" s="203">
        <f t="shared" si="49"/>
        <v>0</v>
      </c>
      <c r="CF29" s="203">
        <f t="shared" si="49"/>
        <v>0</v>
      </c>
      <c r="CG29" s="203">
        <f t="shared" si="49"/>
        <v>0</v>
      </c>
      <c r="CH29" s="203">
        <f t="shared" si="49"/>
        <v>0</v>
      </c>
      <c r="CI29" s="203">
        <f t="shared" si="49"/>
        <v>0</v>
      </c>
      <c r="CJ29" s="203">
        <f t="shared" si="49"/>
        <v>0</v>
      </c>
      <c r="CK29" s="203">
        <f t="shared" si="49"/>
        <v>0</v>
      </c>
      <c r="CL29" s="203">
        <f t="shared" si="49"/>
        <v>0</v>
      </c>
      <c r="CM29" s="203">
        <f t="shared" si="49"/>
        <v>0</v>
      </c>
      <c r="CN29" s="203">
        <f t="shared" si="49"/>
        <v>0</v>
      </c>
      <c r="CO29" s="203">
        <f t="shared" si="49"/>
        <v>0</v>
      </c>
      <c r="CP29" s="203">
        <f t="shared" si="49"/>
        <v>0</v>
      </c>
      <c r="CQ29" s="203">
        <f t="shared" si="49"/>
        <v>0</v>
      </c>
      <c r="CR29" s="203">
        <f t="shared" si="49"/>
        <v>0</v>
      </c>
      <c r="CS29" s="203">
        <f t="shared" si="49"/>
        <v>0</v>
      </c>
      <c r="CT29" s="203">
        <f t="shared" si="49"/>
        <v>0</v>
      </c>
      <c r="CU29" s="17">
        <f t="shared" si="4"/>
        <v>540</v>
      </c>
      <c r="CV29" s="25">
        <f t="shared" si="5"/>
        <v>0</v>
      </c>
    </row>
    <row r="30" spans="1:100" x14ac:dyDescent="0.2">
      <c r="A30" s="2">
        <v>45884</v>
      </c>
      <c r="B30" s="3" t="s">
        <v>747</v>
      </c>
      <c r="C30" s="4" t="s">
        <v>866</v>
      </c>
      <c r="D30" s="5" t="s">
        <v>748</v>
      </c>
      <c r="E30" s="6" t="s">
        <v>272</v>
      </c>
      <c r="F30" s="7" t="s">
        <v>749</v>
      </c>
      <c r="G30" s="8" t="s">
        <v>273</v>
      </c>
      <c r="H30" s="9">
        <v>28900</v>
      </c>
      <c r="I30" s="10" t="s">
        <v>750</v>
      </c>
      <c r="J30" s="11" t="s">
        <v>339</v>
      </c>
      <c r="K30" s="12">
        <v>6</v>
      </c>
      <c r="L30" s="13">
        <v>90</v>
      </c>
      <c r="M30" s="14">
        <f t="shared" ref="M30" si="50">L30*K30</f>
        <v>540</v>
      </c>
      <c r="N30" s="15"/>
      <c r="O30" s="16" t="s">
        <v>111</v>
      </c>
      <c r="P30" s="17">
        <f>M30/1.12*0.01</f>
        <v>4.8214285714285712</v>
      </c>
      <c r="Q30" s="18">
        <f>M30/1.12*0.12</f>
        <v>57.857142857142854</v>
      </c>
      <c r="R30" s="17">
        <f>M30+P30-Q30</f>
        <v>486.96428571428572</v>
      </c>
      <c r="S30" s="19"/>
      <c r="T30" s="19"/>
      <c r="U30" s="19"/>
      <c r="V30" s="19"/>
      <c r="W30" s="17"/>
      <c r="X30" s="20"/>
      <c r="Y30" s="19"/>
      <c r="Z30" s="19"/>
      <c r="AA30" s="19"/>
      <c r="AB30" s="19"/>
      <c r="AC30" s="19"/>
      <c r="AD30" s="19"/>
      <c r="AE30" s="5"/>
      <c r="AF30" s="19"/>
      <c r="AG30" s="5"/>
      <c r="AH30" s="17"/>
      <c r="AI30" s="19"/>
      <c r="AJ30" s="19"/>
      <c r="AK30" s="19"/>
      <c r="AL30" s="19"/>
      <c r="AM30" s="17"/>
      <c r="AN30" s="19"/>
      <c r="AO30" s="19"/>
      <c r="AP30" s="19"/>
      <c r="AQ30" s="19"/>
      <c r="AR30" s="19"/>
      <c r="AS30" s="21"/>
      <c r="AT30" s="5"/>
      <c r="AU30" s="19"/>
      <c r="AV30" s="5"/>
      <c r="AW30" s="22"/>
      <c r="AX30" s="19"/>
      <c r="AY30" s="5"/>
      <c r="AZ30" s="19"/>
      <c r="BA30" s="5"/>
      <c r="BB30" s="5"/>
      <c r="BC30" s="19"/>
      <c r="BD30" s="19"/>
      <c r="BE30" s="19"/>
      <c r="BF30" s="19"/>
      <c r="BG30" s="19"/>
      <c r="BH30" s="19"/>
      <c r="BI30" s="19"/>
      <c r="BJ30" s="19"/>
      <c r="BK30" s="13"/>
      <c r="BL30" s="5"/>
      <c r="BM30" s="5"/>
      <c r="BN30" s="19"/>
      <c r="BO30" s="17"/>
      <c r="BP30" s="19"/>
      <c r="BQ30" s="17"/>
      <c r="BR30" s="19"/>
      <c r="BS30" s="13"/>
      <c r="BT30" s="5"/>
      <c r="BU30" s="23"/>
      <c r="BV30" s="23"/>
      <c r="BW30" s="24"/>
      <c r="BX30" s="5"/>
      <c r="BY30" s="5"/>
      <c r="BZ30" s="5"/>
      <c r="CA30" s="24"/>
      <c r="CB30" s="24"/>
      <c r="CC30" s="24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>
        <f t="shared" si="4"/>
        <v>540</v>
      </c>
      <c r="CV30" s="25">
        <f t="shared" si="5"/>
        <v>0</v>
      </c>
    </row>
    <row r="31" spans="1:100" x14ac:dyDescent="0.2">
      <c r="A31" s="27"/>
      <c r="B31" s="28"/>
      <c r="C31" s="29"/>
      <c r="D31" s="30"/>
      <c r="E31" s="31"/>
      <c r="F31" s="32"/>
      <c r="G31" s="33"/>
      <c r="H31" s="34"/>
      <c r="I31" s="34"/>
      <c r="J31" s="35"/>
      <c r="K31" s="36"/>
      <c r="L31" s="37"/>
      <c r="M31" s="38">
        <f>SUM(M30:M30)</f>
        <v>540</v>
      </c>
      <c r="N31" s="38"/>
      <c r="O31" s="39" t="s">
        <v>111</v>
      </c>
      <c r="P31" s="38">
        <f>SUM(P30:P30)</f>
        <v>4.8214285714285712</v>
      </c>
      <c r="Q31" s="38">
        <f>SUM(Q30:Q30)</f>
        <v>57.857142857142854</v>
      </c>
      <c r="R31" s="38">
        <f>SUM(R30:R30)</f>
        <v>486.96428571428572</v>
      </c>
      <c r="S31" s="38">
        <f t="shared" ref="S31:AD31" si="51">SUM(S30:S30)</f>
        <v>0</v>
      </c>
      <c r="T31" s="38">
        <f t="shared" si="51"/>
        <v>0</v>
      </c>
      <c r="U31" s="38">
        <f t="shared" si="51"/>
        <v>0</v>
      </c>
      <c r="V31" s="38">
        <f t="shared" si="51"/>
        <v>0</v>
      </c>
      <c r="W31" s="38">
        <f t="shared" si="51"/>
        <v>0</v>
      </c>
      <c r="X31" s="38">
        <f t="shared" si="51"/>
        <v>0</v>
      </c>
      <c r="Y31" s="38">
        <f t="shared" si="51"/>
        <v>0</v>
      </c>
      <c r="Z31" s="38">
        <f t="shared" si="51"/>
        <v>0</v>
      </c>
      <c r="AA31" s="38">
        <f t="shared" si="51"/>
        <v>0</v>
      </c>
      <c r="AB31" s="38">
        <f t="shared" si="51"/>
        <v>0</v>
      </c>
      <c r="AC31" s="38">
        <f t="shared" si="51"/>
        <v>0</v>
      </c>
      <c r="AD31" s="38">
        <f t="shared" si="51"/>
        <v>0</v>
      </c>
      <c r="AE31" s="30"/>
      <c r="AF31" s="38">
        <f>SUM(AF30:AF30)</f>
        <v>0</v>
      </c>
      <c r="AG31" s="30"/>
      <c r="AH31" s="38">
        <f t="shared" ref="AH31:AZ31" si="52">SUM(AH30:AH30)</f>
        <v>0</v>
      </c>
      <c r="AI31" s="38">
        <f t="shared" si="52"/>
        <v>0</v>
      </c>
      <c r="AJ31" s="38">
        <f t="shared" si="52"/>
        <v>0</v>
      </c>
      <c r="AK31" s="38">
        <f t="shared" si="52"/>
        <v>0</v>
      </c>
      <c r="AL31" s="38">
        <f t="shared" si="52"/>
        <v>0</v>
      </c>
      <c r="AM31" s="38">
        <f t="shared" si="52"/>
        <v>0</v>
      </c>
      <c r="AN31" s="38">
        <f t="shared" si="52"/>
        <v>0</v>
      </c>
      <c r="AO31" s="38">
        <f t="shared" si="52"/>
        <v>0</v>
      </c>
      <c r="AP31" s="38">
        <f t="shared" si="52"/>
        <v>0</v>
      </c>
      <c r="AQ31" s="38">
        <f t="shared" si="52"/>
        <v>0</v>
      </c>
      <c r="AR31" s="38">
        <f t="shared" si="52"/>
        <v>0</v>
      </c>
      <c r="AS31" s="38">
        <f t="shared" si="52"/>
        <v>0</v>
      </c>
      <c r="AT31" s="38">
        <f t="shared" si="52"/>
        <v>0</v>
      </c>
      <c r="AU31" s="38">
        <f t="shared" si="52"/>
        <v>0</v>
      </c>
      <c r="AV31" s="38">
        <f t="shared" si="52"/>
        <v>0</v>
      </c>
      <c r="AW31" s="38">
        <f t="shared" si="52"/>
        <v>0</v>
      </c>
      <c r="AX31" s="38">
        <f t="shared" si="52"/>
        <v>0</v>
      </c>
      <c r="AY31" s="38">
        <f t="shared" si="52"/>
        <v>0</v>
      </c>
      <c r="AZ31" s="38">
        <f t="shared" si="52"/>
        <v>0</v>
      </c>
      <c r="BA31" s="30"/>
      <c r="BB31" s="38">
        <f t="shared" ref="BB31:CT31" si="53">SUM(BB30:BB30)</f>
        <v>0</v>
      </c>
      <c r="BC31" s="38">
        <f t="shared" si="53"/>
        <v>0</v>
      </c>
      <c r="BD31" s="38">
        <f t="shared" si="53"/>
        <v>0</v>
      </c>
      <c r="BE31" s="38">
        <f t="shared" si="53"/>
        <v>0</v>
      </c>
      <c r="BF31" s="38">
        <f t="shared" si="53"/>
        <v>0</v>
      </c>
      <c r="BG31" s="38">
        <f t="shared" si="53"/>
        <v>0</v>
      </c>
      <c r="BH31" s="38">
        <f t="shared" si="53"/>
        <v>0</v>
      </c>
      <c r="BI31" s="38">
        <f t="shared" si="53"/>
        <v>0</v>
      </c>
      <c r="BJ31" s="38">
        <f t="shared" si="53"/>
        <v>0</v>
      </c>
      <c r="BK31" s="38">
        <f t="shared" si="53"/>
        <v>0</v>
      </c>
      <c r="BL31" s="38">
        <f t="shared" si="53"/>
        <v>0</v>
      </c>
      <c r="BM31" s="38">
        <f t="shared" si="53"/>
        <v>0</v>
      </c>
      <c r="BN31" s="38">
        <f t="shared" si="53"/>
        <v>0</v>
      </c>
      <c r="BO31" s="38">
        <f t="shared" si="53"/>
        <v>0</v>
      </c>
      <c r="BP31" s="38">
        <f t="shared" si="53"/>
        <v>0</v>
      </c>
      <c r="BQ31" s="38">
        <f t="shared" si="53"/>
        <v>0</v>
      </c>
      <c r="BR31" s="38">
        <f t="shared" si="53"/>
        <v>0</v>
      </c>
      <c r="BS31" s="38">
        <f t="shared" si="53"/>
        <v>0</v>
      </c>
      <c r="BT31" s="38">
        <f t="shared" si="53"/>
        <v>0</v>
      </c>
      <c r="BU31" s="38">
        <f t="shared" si="53"/>
        <v>0</v>
      </c>
      <c r="BV31" s="38">
        <f t="shared" si="53"/>
        <v>0</v>
      </c>
      <c r="BW31" s="38">
        <f t="shared" si="53"/>
        <v>0</v>
      </c>
      <c r="BX31" s="38">
        <f t="shared" si="53"/>
        <v>0</v>
      </c>
      <c r="BY31" s="38">
        <f t="shared" si="53"/>
        <v>0</v>
      </c>
      <c r="BZ31" s="38">
        <f t="shared" si="53"/>
        <v>0</v>
      </c>
      <c r="CA31" s="38">
        <f t="shared" si="53"/>
        <v>0</v>
      </c>
      <c r="CB31" s="38">
        <f t="shared" si="53"/>
        <v>0</v>
      </c>
      <c r="CC31" s="38">
        <f t="shared" si="53"/>
        <v>0</v>
      </c>
      <c r="CD31" s="38">
        <f t="shared" si="53"/>
        <v>0</v>
      </c>
      <c r="CE31" s="38">
        <f t="shared" si="53"/>
        <v>0</v>
      </c>
      <c r="CF31" s="38">
        <f t="shared" si="53"/>
        <v>0</v>
      </c>
      <c r="CG31" s="38">
        <f t="shared" si="53"/>
        <v>0</v>
      </c>
      <c r="CH31" s="38">
        <f t="shared" si="53"/>
        <v>0</v>
      </c>
      <c r="CI31" s="38">
        <f t="shared" si="53"/>
        <v>0</v>
      </c>
      <c r="CJ31" s="38">
        <f t="shared" si="53"/>
        <v>0</v>
      </c>
      <c r="CK31" s="38">
        <f t="shared" si="53"/>
        <v>0</v>
      </c>
      <c r="CL31" s="38">
        <f t="shared" si="53"/>
        <v>0</v>
      </c>
      <c r="CM31" s="38">
        <f t="shared" si="53"/>
        <v>0</v>
      </c>
      <c r="CN31" s="38">
        <f t="shared" si="53"/>
        <v>0</v>
      </c>
      <c r="CO31" s="38">
        <f t="shared" si="53"/>
        <v>0</v>
      </c>
      <c r="CP31" s="38">
        <f t="shared" si="53"/>
        <v>0</v>
      </c>
      <c r="CQ31" s="38">
        <f t="shared" si="53"/>
        <v>0</v>
      </c>
      <c r="CR31" s="38">
        <f t="shared" si="53"/>
        <v>0</v>
      </c>
      <c r="CS31" s="38">
        <f t="shared" si="53"/>
        <v>0</v>
      </c>
      <c r="CT31" s="38">
        <f t="shared" si="53"/>
        <v>0</v>
      </c>
      <c r="CU31" s="17">
        <f t="shared" si="4"/>
        <v>540</v>
      </c>
      <c r="CV31" s="25">
        <f t="shared" si="5"/>
        <v>0</v>
      </c>
    </row>
    <row r="32" spans="1:100" x14ac:dyDescent="0.2">
      <c r="A32" s="2">
        <v>45879</v>
      </c>
      <c r="B32" s="3" t="s">
        <v>747</v>
      </c>
      <c r="C32" s="4" t="s">
        <v>867</v>
      </c>
      <c r="D32" s="5" t="s">
        <v>748</v>
      </c>
      <c r="E32" s="6" t="s">
        <v>751</v>
      </c>
      <c r="F32" s="7"/>
      <c r="G32" s="8" t="s">
        <v>752</v>
      </c>
      <c r="H32" s="9">
        <v>1342</v>
      </c>
      <c r="I32" s="10"/>
      <c r="J32" s="11" t="s">
        <v>753</v>
      </c>
      <c r="K32" s="12">
        <v>1</v>
      </c>
      <c r="L32" s="13">
        <v>144</v>
      </c>
      <c r="M32" s="14">
        <f t="shared" ref="M32" si="54">L32*K32</f>
        <v>144</v>
      </c>
      <c r="N32" s="15"/>
      <c r="O32" s="16" t="s">
        <v>111</v>
      </c>
      <c r="P32" s="17">
        <f>M32/1.12*0.02</f>
        <v>2.5714285714285712</v>
      </c>
      <c r="Q32" s="18">
        <f>M32/1.12*0.12</f>
        <v>15.428571428571425</v>
      </c>
      <c r="R32" s="5"/>
      <c r="S32" s="19"/>
      <c r="T32" s="19"/>
      <c r="U32" s="19"/>
      <c r="V32" s="19"/>
      <c r="W32" s="17"/>
      <c r="X32" s="20"/>
      <c r="Y32" s="19"/>
      <c r="Z32" s="19"/>
      <c r="AA32" s="19"/>
      <c r="AB32" s="19"/>
      <c r="AC32" s="19"/>
      <c r="AD32" s="19"/>
      <c r="AE32" s="5"/>
      <c r="AF32" s="19"/>
      <c r="AG32" s="5"/>
      <c r="AH32" s="17"/>
      <c r="AI32" s="19"/>
      <c r="AJ32" s="19"/>
      <c r="AK32" s="19"/>
      <c r="AL32" s="19"/>
      <c r="AM32" s="17"/>
      <c r="AN32" s="19"/>
      <c r="AO32" s="19"/>
      <c r="AP32" s="19"/>
      <c r="AQ32" s="19"/>
      <c r="AR32" s="19"/>
      <c r="AS32" s="21"/>
      <c r="AT32" s="5"/>
      <c r="AU32" s="19"/>
      <c r="AV32" s="5"/>
      <c r="AW32" s="22"/>
      <c r="AX32" s="19"/>
      <c r="AY32" s="5"/>
      <c r="AZ32" s="19"/>
      <c r="BA32" s="5"/>
      <c r="BB32" s="5"/>
      <c r="BC32" s="19"/>
      <c r="BD32" s="19"/>
      <c r="BE32" s="19"/>
      <c r="BF32" s="19"/>
      <c r="BG32" s="19"/>
      <c r="BH32" s="19"/>
      <c r="BI32" s="19"/>
      <c r="BJ32" s="19"/>
      <c r="BK32" s="13"/>
      <c r="BL32" s="5"/>
      <c r="BM32" s="5"/>
      <c r="BN32" s="19"/>
      <c r="BO32" s="17">
        <f>M32+P32-Q32</f>
        <v>131.14285714285717</v>
      </c>
      <c r="BP32" s="19"/>
      <c r="BQ32" s="17"/>
      <c r="BR32" s="19"/>
      <c r="BS32" s="13"/>
      <c r="BT32" s="5"/>
      <c r="BU32" s="23"/>
      <c r="BV32" s="23"/>
      <c r="BW32" s="24"/>
      <c r="BX32" s="5"/>
      <c r="BY32" s="5"/>
      <c r="BZ32" s="5"/>
      <c r="CA32" s="24"/>
      <c r="CB32" s="24"/>
      <c r="CC32" s="24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>
        <f t="shared" si="4"/>
        <v>144</v>
      </c>
      <c r="CV32" s="25">
        <f t="shared" si="5"/>
        <v>0</v>
      </c>
    </row>
    <row r="33" spans="1:100" x14ac:dyDescent="0.2">
      <c r="A33" s="27"/>
      <c r="B33" s="28"/>
      <c r="C33" s="29"/>
      <c r="D33" s="30"/>
      <c r="E33" s="31"/>
      <c r="F33" s="32"/>
      <c r="G33" s="33"/>
      <c r="H33" s="34"/>
      <c r="I33" s="34"/>
      <c r="J33" s="35"/>
      <c r="K33" s="36"/>
      <c r="L33" s="37"/>
      <c r="M33" s="38">
        <f>SUM(M32:M32)</f>
        <v>144</v>
      </c>
      <c r="N33" s="38"/>
      <c r="O33" s="39" t="s">
        <v>111</v>
      </c>
      <c r="P33" s="38">
        <f>SUM(P32:P32)</f>
        <v>2.5714285714285712</v>
      </c>
      <c r="Q33" s="38">
        <f>SUM(Q32:Q32)</f>
        <v>15.428571428571425</v>
      </c>
      <c r="R33" s="30"/>
      <c r="S33" s="38">
        <f t="shared" ref="S33:AD33" si="55">SUM(S32:S32)</f>
        <v>0</v>
      </c>
      <c r="T33" s="38">
        <f t="shared" si="55"/>
        <v>0</v>
      </c>
      <c r="U33" s="38">
        <f t="shared" si="55"/>
        <v>0</v>
      </c>
      <c r="V33" s="38">
        <f t="shared" si="55"/>
        <v>0</v>
      </c>
      <c r="W33" s="38">
        <f t="shared" si="55"/>
        <v>0</v>
      </c>
      <c r="X33" s="38">
        <f t="shared" si="55"/>
        <v>0</v>
      </c>
      <c r="Y33" s="38">
        <f t="shared" si="55"/>
        <v>0</v>
      </c>
      <c r="Z33" s="38">
        <f t="shared" si="55"/>
        <v>0</v>
      </c>
      <c r="AA33" s="38">
        <f t="shared" si="55"/>
        <v>0</v>
      </c>
      <c r="AB33" s="38">
        <f t="shared" si="55"/>
        <v>0</v>
      </c>
      <c r="AC33" s="38">
        <f t="shared" si="55"/>
        <v>0</v>
      </c>
      <c r="AD33" s="38">
        <f t="shared" si="55"/>
        <v>0</v>
      </c>
      <c r="AE33" s="30"/>
      <c r="AF33" s="38">
        <f>SUM(AF32:AF32)</f>
        <v>0</v>
      </c>
      <c r="AG33" s="30"/>
      <c r="AH33" s="38">
        <f t="shared" ref="AH33:AZ33" si="56">SUM(AH32:AH32)</f>
        <v>0</v>
      </c>
      <c r="AI33" s="38">
        <f t="shared" si="56"/>
        <v>0</v>
      </c>
      <c r="AJ33" s="38">
        <f t="shared" si="56"/>
        <v>0</v>
      </c>
      <c r="AK33" s="38">
        <f t="shared" si="56"/>
        <v>0</v>
      </c>
      <c r="AL33" s="38">
        <f t="shared" si="56"/>
        <v>0</v>
      </c>
      <c r="AM33" s="38">
        <f t="shared" si="56"/>
        <v>0</v>
      </c>
      <c r="AN33" s="38">
        <f t="shared" si="56"/>
        <v>0</v>
      </c>
      <c r="AO33" s="38">
        <f t="shared" si="56"/>
        <v>0</v>
      </c>
      <c r="AP33" s="38">
        <f t="shared" si="56"/>
        <v>0</v>
      </c>
      <c r="AQ33" s="38">
        <f t="shared" si="56"/>
        <v>0</v>
      </c>
      <c r="AR33" s="38">
        <f t="shared" si="56"/>
        <v>0</v>
      </c>
      <c r="AS33" s="38">
        <f t="shared" si="56"/>
        <v>0</v>
      </c>
      <c r="AT33" s="38">
        <f t="shared" si="56"/>
        <v>0</v>
      </c>
      <c r="AU33" s="38">
        <f t="shared" si="56"/>
        <v>0</v>
      </c>
      <c r="AV33" s="38">
        <f t="shared" si="56"/>
        <v>0</v>
      </c>
      <c r="AW33" s="38">
        <f t="shared" si="56"/>
        <v>0</v>
      </c>
      <c r="AX33" s="38">
        <f t="shared" si="56"/>
        <v>0</v>
      </c>
      <c r="AY33" s="38">
        <f t="shared" si="56"/>
        <v>0</v>
      </c>
      <c r="AZ33" s="38">
        <f t="shared" si="56"/>
        <v>0</v>
      </c>
      <c r="BA33" s="30"/>
      <c r="BB33" s="38">
        <f t="shared" ref="BB33:CT33" si="57">SUM(BB32:BB32)</f>
        <v>0</v>
      </c>
      <c r="BC33" s="38">
        <f t="shared" si="57"/>
        <v>0</v>
      </c>
      <c r="BD33" s="38">
        <f t="shared" si="57"/>
        <v>0</v>
      </c>
      <c r="BE33" s="38">
        <f t="shared" si="57"/>
        <v>0</v>
      </c>
      <c r="BF33" s="38">
        <f t="shared" si="57"/>
        <v>0</v>
      </c>
      <c r="BG33" s="38">
        <f t="shared" si="57"/>
        <v>0</v>
      </c>
      <c r="BH33" s="38">
        <f t="shared" si="57"/>
        <v>0</v>
      </c>
      <c r="BI33" s="38">
        <f t="shared" si="57"/>
        <v>0</v>
      </c>
      <c r="BJ33" s="38">
        <f t="shared" si="57"/>
        <v>0</v>
      </c>
      <c r="BK33" s="38">
        <f t="shared" si="57"/>
        <v>0</v>
      </c>
      <c r="BL33" s="38">
        <f t="shared" si="57"/>
        <v>0</v>
      </c>
      <c r="BM33" s="38">
        <f t="shared" si="57"/>
        <v>0</v>
      </c>
      <c r="BN33" s="38">
        <f t="shared" si="57"/>
        <v>0</v>
      </c>
      <c r="BO33" s="38">
        <f>SUM(BO32:BO32)</f>
        <v>131.14285714285717</v>
      </c>
      <c r="BP33" s="38">
        <f t="shared" si="57"/>
        <v>0</v>
      </c>
      <c r="BQ33" s="38">
        <f t="shared" si="57"/>
        <v>0</v>
      </c>
      <c r="BR33" s="38">
        <f t="shared" si="57"/>
        <v>0</v>
      </c>
      <c r="BS33" s="38">
        <f t="shared" si="57"/>
        <v>0</v>
      </c>
      <c r="BT33" s="38">
        <f t="shared" si="57"/>
        <v>0</v>
      </c>
      <c r="BU33" s="38">
        <f t="shared" si="57"/>
        <v>0</v>
      </c>
      <c r="BV33" s="38">
        <f t="shared" si="57"/>
        <v>0</v>
      </c>
      <c r="BW33" s="38">
        <f t="shared" si="57"/>
        <v>0</v>
      </c>
      <c r="BX33" s="38">
        <f t="shared" si="57"/>
        <v>0</v>
      </c>
      <c r="BY33" s="38">
        <f t="shared" si="57"/>
        <v>0</v>
      </c>
      <c r="BZ33" s="38">
        <f t="shared" si="57"/>
        <v>0</v>
      </c>
      <c r="CA33" s="38">
        <f t="shared" si="57"/>
        <v>0</v>
      </c>
      <c r="CB33" s="38">
        <f t="shared" si="57"/>
        <v>0</v>
      </c>
      <c r="CC33" s="38">
        <f t="shared" si="57"/>
        <v>0</v>
      </c>
      <c r="CD33" s="38">
        <f t="shared" si="57"/>
        <v>0</v>
      </c>
      <c r="CE33" s="38">
        <f t="shared" si="57"/>
        <v>0</v>
      </c>
      <c r="CF33" s="38">
        <f t="shared" si="57"/>
        <v>0</v>
      </c>
      <c r="CG33" s="38">
        <f t="shared" si="57"/>
        <v>0</v>
      </c>
      <c r="CH33" s="38">
        <f t="shared" si="57"/>
        <v>0</v>
      </c>
      <c r="CI33" s="38">
        <f t="shared" si="57"/>
        <v>0</v>
      </c>
      <c r="CJ33" s="38">
        <f t="shared" si="57"/>
        <v>0</v>
      </c>
      <c r="CK33" s="38">
        <f t="shared" si="57"/>
        <v>0</v>
      </c>
      <c r="CL33" s="38">
        <f t="shared" si="57"/>
        <v>0</v>
      </c>
      <c r="CM33" s="38">
        <f t="shared" si="57"/>
        <v>0</v>
      </c>
      <c r="CN33" s="38">
        <f t="shared" si="57"/>
        <v>0</v>
      </c>
      <c r="CO33" s="38">
        <f t="shared" si="57"/>
        <v>0</v>
      </c>
      <c r="CP33" s="38">
        <f t="shared" si="57"/>
        <v>0</v>
      </c>
      <c r="CQ33" s="38">
        <f t="shared" si="57"/>
        <v>0</v>
      </c>
      <c r="CR33" s="38">
        <f t="shared" si="57"/>
        <v>0</v>
      </c>
      <c r="CS33" s="38">
        <f t="shared" si="57"/>
        <v>0</v>
      </c>
      <c r="CT33" s="38">
        <f t="shared" si="57"/>
        <v>0</v>
      </c>
      <c r="CU33" s="17">
        <f t="shared" si="4"/>
        <v>144</v>
      </c>
      <c r="CV33" s="25">
        <f t="shared" si="5"/>
        <v>0</v>
      </c>
    </row>
    <row r="34" spans="1:100" x14ac:dyDescent="0.2">
      <c r="A34" s="2">
        <v>45879</v>
      </c>
      <c r="B34" s="3" t="s">
        <v>747</v>
      </c>
      <c r="C34" s="4" t="s">
        <v>868</v>
      </c>
      <c r="D34" s="5" t="s">
        <v>748</v>
      </c>
      <c r="E34" s="6" t="s">
        <v>370</v>
      </c>
      <c r="F34" s="7" t="s">
        <v>336</v>
      </c>
      <c r="G34" s="8" t="s">
        <v>199</v>
      </c>
      <c r="H34" s="9" t="s">
        <v>754</v>
      </c>
      <c r="I34" s="10" t="s">
        <v>755</v>
      </c>
      <c r="J34" s="11" t="s">
        <v>756</v>
      </c>
      <c r="K34" s="12">
        <v>6</v>
      </c>
      <c r="L34" s="13">
        <v>80</v>
      </c>
      <c r="M34" s="14">
        <f t="shared" ref="M34:M39" si="58">L34*K34</f>
        <v>480</v>
      </c>
      <c r="N34" s="15"/>
      <c r="O34" s="16" t="s">
        <v>111</v>
      </c>
      <c r="P34" s="17">
        <f>M34/1.12*0.01</f>
        <v>4.2857142857142856</v>
      </c>
      <c r="Q34" s="18">
        <f>M34/1.12*0.12</f>
        <v>51.428571428571423</v>
      </c>
      <c r="R34" s="17">
        <f>M34+P34-Q34</f>
        <v>432.85714285714283</v>
      </c>
      <c r="S34" s="19"/>
      <c r="T34" s="19"/>
      <c r="U34" s="19"/>
      <c r="V34" s="19"/>
      <c r="W34" s="17"/>
      <c r="X34" s="20"/>
      <c r="Y34" s="19"/>
      <c r="Z34" s="19"/>
      <c r="AA34" s="19"/>
      <c r="AB34" s="19"/>
      <c r="AC34" s="19"/>
      <c r="AD34" s="19"/>
      <c r="AE34" s="5"/>
      <c r="AF34" s="19"/>
      <c r="AG34" s="5"/>
      <c r="AH34" s="17"/>
      <c r="AI34" s="19"/>
      <c r="AJ34" s="19"/>
      <c r="AK34" s="19"/>
      <c r="AL34" s="19"/>
      <c r="AM34" s="17"/>
      <c r="AN34" s="19"/>
      <c r="AO34" s="19"/>
      <c r="AP34" s="19"/>
      <c r="AQ34" s="19"/>
      <c r="AR34" s="19"/>
      <c r="AS34" s="21"/>
      <c r="AT34" s="5"/>
      <c r="AU34" s="19"/>
      <c r="AV34" s="5"/>
      <c r="AW34" s="22"/>
      <c r="AX34" s="19"/>
      <c r="AY34" s="5"/>
      <c r="AZ34" s="19"/>
      <c r="BA34" s="5"/>
      <c r="BB34" s="5"/>
      <c r="BC34" s="19"/>
      <c r="BD34" s="19"/>
      <c r="BE34" s="19"/>
      <c r="BF34" s="19"/>
      <c r="BG34" s="19"/>
      <c r="BH34" s="19"/>
      <c r="BI34" s="19"/>
      <c r="BJ34" s="19"/>
      <c r="BK34" s="13"/>
      <c r="BL34" s="5"/>
      <c r="BM34" s="5"/>
      <c r="BN34" s="19"/>
      <c r="BO34" s="17"/>
      <c r="BP34" s="19"/>
      <c r="BQ34" s="17"/>
      <c r="BR34" s="19"/>
      <c r="BS34" s="13"/>
      <c r="BT34" s="5"/>
      <c r="BU34" s="23"/>
      <c r="BV34" s="23"/>
      <c r="BW34" s="24"/>
      <c r="BX34" s="5"/>
      <c r="BY34" s="5"/>
      <c r="BZ34" s="5"/>
      <c r="CA34" s="24"/>
      <c r="CB34" s="24"/>
      <c r="CC34" s="24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>
        <f t="shared" si="4"/>
        <v>480</v>
      </c>
      <c r="CV34" s="25">
        <f t="shared" si="5"/>
        <v>0</v>
      </c>
    </row>
    <row r="35" spans="1:100" x14ac:dyDescent="0.2">
      <c r="A35" s="2"/>
      <c r="B35" s="3"/>
      <c r="C35" s="4"/>
      <c r="D35" s="5"/>
      <c r="E35" s="6"/>
      <c r="F35" s="7"/>
      <c r="G35" s="8"/>
      <c r="H35" s="9"/>
      <c r="I35" s="10"/>
      <c r="J35" s="11" t="s">
        <v>757</v>
      </c>
      <c r="K35" s="12">
        <v>1</v>
      </c>
      <c r="L35" s="13">
        <v>119.5</v>
      </c>
      <c r="M35" s="14">
        <f t="shared" si="58"/>
        <v>119.5</v>
      </c>
      <c r="N35" s="15"/>
      <c r="O35" s="16" t="s">
        <v>111</v>
      </c>
      <c r="P35" s="17">
        <f t="shared" ref="P35:P39" si="59">M35/1.12*0.01</f>
        <v>1.0669642857142856</v>
      </c>
      <c r="Q35" s="18">
        <f t="shared" ref="Q35:Q39" si="60">M35/1.12*0.12</f>
        <v>12.803571428571425</v>
      </c>
      <c r="R35" s="17">
        <f t="shared" ref="R35:R39" si="61">M35+P35-Q35</f>
        <v>107.76339285714286</v>
      </c>
      <c r="S35" s="19"/>
      <c r="T35" s="19"/>
      <c r="U35" s="19"/>
      <c r="V35" s="19"/>
      <c r="W35" s="17"/>
      <c r="X35" s="20"/>
      <c r="Y35" s="19"/>
      <c r="Z35" s="19"/>
      <c r="AA35" s="19"/>
      <c r="AB35" s="19"/>
      <c r="AC35" s="19"/>
      <c r="AD35" s="19"/>
      <c r="AE35" s="5"/>
      <c r="AF35" s="19"/>
      <c r="AG35" s="5"/>
      <c r="AH35" s="17"/>
      <c r="AI35" s="19"/>
      <c r="AJ35" s="19"/>
      <c r="AK35" s="19"/>
      <c r="AL35" s="19"/>
      <c r="AM35" s="17"/>
      <c r="AN35" s="19"/>
      <c r="AO35" s="19"/>
      <c r="AP35" s="19"/>
      <c r="AQ35" s="19"/>
      <c r="AR35" s="19"/>
      <c r="AS35" s="21"/>
      <c r="AT35" s="5"/>
      <c r="AU35" s="19"/>
      <c r="AV35" s="5"/>
      <c r="AW35" s="22"/>
      <c r="AX35" s="19"/>
      <c r="AY35" s="5"/>
      <c r="AZ35" s="19"/>
      <c r="BA35" s="5"/>
      <c r="BB35" s="5"/>
      <c r="BC35" s="19"/>
      <c r="BD35" s="19"/>
      <c r="BE35" s="19"/>
      <c r="BF35" s="19"/>
      <c r="BG35" s="19"/>
      <c r="BH35" s="19"/>
      <c r="BI35" s="19"/>
      <c r="BJ35" s="19"/>
      <c r="BK35" s="13"/>
      <c r="BL35" s="5"/>
      <c r="BM35" s="5"/>
      <c r="BN35" s="19"/>
      <c r="BO35" s="17"/>
      <c r="BP35" s="19"/>
      <c r="BQ35" s="17"/>
      <c r="BR35" s="19"/>
      <c r="BS35" s="13"/>
      <c r="BT35" s="5"/>
      <c r="BU35" s="23"/>
      <c r="BV35" s="23"/>
      <c r="BW35" s="24"/>
      <c r="BX35" s="5"/>
      <c r="BY35" s="5"/>
      <c r="BZ35" s="5"/>
      <c r="CA35" s="24"/>
      <c r="CB35" s="24"/>
      <c r="CC35" s="24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>
        <f t="shared" si="4"/>
        <v>119.5</v>
      </c>
      <c r="CV35" s="25">
        <f t="shared" si="5"/>
        <v>0</v>
      </c>
    </row>
    <row r="36" spans="1:100" x14ac:dyDescent="0.2">
      <c r="A36" s="2"/>
      <c r="B36" s="3"/>
      <c r="C36" s="4"/>
      <c r="D36" s="5"/>
      <c r="E36" s="6"/>
      <c r="F36" s="7"/>
      <c r="G36" s="8"/>
      <c r="H36" s="9"/>
      <c r="I36" s="10"/>
      <c r="J36" s="11" t="s">
        <v>758</v>
      </c>
      <c r="K36" s="12">
        <v>0.94</v>
      </c>
      <c r="L36" s="13">
        <v>194</v>
      </c>
      <c r="M36" s="14">
        <f t="shared" si="58"/>
        <v>182.35999999999999</v>
      </c>
      <c r="N36" s="15"/>
      <c r="O36" s="16" t="s">
        <v>111</v>
      </c>
      <c r="P36" s="17">
        <f t="shared" si="59"/>
        <v>1.6282142857142856</v>
      </c>
      <c r="Q36" s="18">
        <f t="shared" si="60"/>
        <v>19.538571428571426</v>
      </c>
      <c r="R36" s="17">
        <f t="shared" si="61"/>
        <v>164.44964285714283</v>
      </c>
      <c r="S36" s="19"/>
      <c r="T36" s="19"/>
      <c r="U36" s="19"/>
      <c r="V36" s="19"/>
      <c r="W36" s="17"/>
      <c r="X36" s="20"/>
      <c r="Y36" s="19"/>
      <c r="Z36" s="19"/>
      <c r="AA36" s="19"/>
      <c r="AB36" s="19"/>
      <c r="AC36" s="19"/>
      <c r="AD36" s="19"/>
      <c r="AE36" s="5"/>
      <c r="AF36" s="19"/>
      <c r="AG36" s="5"/>
      <c r="AH36" s="17"/>
      <c r="AI36" s="19"/>
      <c r="AJ36" s="19"/>
      <c r="AK36" s="19"/>
      <c r="AL36" s="19"/>
      <c r="AM36" s="17"/>
      <c r="AN36" s="19"/>
      <c r="AO36" s="19"/>
      <c r="AP36" s="19"/>
      <c r="AQ36" s="19"/>
      <c r="AR36" s="19"/>
      <c r="AS36" s="21"/>
      <c r="AT36" s="5"/>
      <c r="AU36" s="19"/>
      <c r="AV36" s="5"/>
      <c r="AW36" s="22"/>
      <c r="AX36" s="19"/>
      <c r="AY36" s="5"/>
      <c r="AZ36" s="19"/>
      <c r="BA36" s="5"/>
      <c r="BB36" s="5"/>
      <c r="BC36" s="19"/>
      <c r="BD36" s="19"/>
      <c r="BE36" s="19"/>
      <c r="BF36" s="19"/>
      <c r="BG36" s="19"/>
      <c r="BH36" s="19"/>
      <c r="BI36" s="19"/>
      <c r="BJ36" s="19"/>
      <c r="BK36" s="13"/>
      <c r="BL36" s="5"/>
      <c r="BM36" s="5"/>
      <c r="BN36" s="19"/>
      <c r="BO36" s="17"/>
      <c r="BP36" s="19"/>
      <c r="BQ36" s="17"/>
      <c r="BR36" s="19"/>
      <c r="BS36" s="13"/>
      <c r="BT36" s="5"/>
      <c r="BU36" s="23"/>
      <c r="BV36" s="23"/>
      <c r="BW36" s="24"/>
      <c r="BX36" s="5"/>
      <c r="BY36" s="5"/>
      <c r="BZ36" s="5"/>
      <c r="CA36" s="24"/>
      <c r="CB36" s="24"/>
      <c r="CC36" s="24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>
        <f t="shared" si="4"/>
        <v>182.35999999999999</v>
      </c>
      <c r="CV36" s="25">
        <f t="shared" si="5"/>
        <v>0</v>
      </c>
    </row>
    <row r="37" spans="1:100" x14ac:dyDescent="0.2">
      <c r="A37" s="2"/>
      <c r="B37" s="3"/>
      <c r="C37" s="4"/>
      <c r="D37" s="5"/>
      <c r="E37" s="6"/>
      <c r="F37" s="7"/>
      <c r="G37" s="8"/>
      <c r="H37" s="9"/>
      <c r="I37" s="10"/>
      <c r="J37" s="11" t="s">
        <v>759</v>
      </c>
      <c r="K37" s="12">
        <v>2.09</v>
      </c>
      <c r="L37" s="13">
        <v>86</v>
      </c>
      <c r="M37" s="14">
        <f t="shared" si="58"/>
        <v>179.73999999999998</v>
      </c>
      <c r="N37" s="15"/>
      <c r="O37" s="16" t="s">
        <v>111</v>
      </c>
      <c r="P37" s="17">
        <f t="shared" si="59"/>
        <v>1.6048214285714284</v>
      </c>
      <c r="Q37" s="18">
        <f t="shared" si="60"/>
        <v>19.257857142857141</v>
      </c>
      <c r="R37" s="17">
        <f t="shared" si="61"/>
        <v>162.08696428571426</v>
      </c>
      <c r="S37" s="19"/>
      <c r="T37" s="19"/>
      <c r="U37" s="19"/>
      <c r="V37" s="19"/>
      <c r="W37" s="17"/>
      <c r="X37" s="20"/>
      <c r="Y37" s="19"/>
      <c r="Z37" s="19"/>
      <c r="AA37" s="19"/>
      <c r="AB37" s="19"/>
      <c r="AC37" s="19"/>
      <c r="AD37" s="19"/>
      <c r="AE37" s="5"/>
      <c r="AF37" s="19"/>
      <c r="AG37" s="5"/>
      <c r="AH37" s="17"/>
      <c r="AI37" s="19"/>
      <c r="AJ37" s="19"/>
      <c r="AK37" s="19"/>
      <c r="AL37" s="19"/>
      <c r="AM37" s="17"/>
      <c r="AN37" s="19"/>
      <c r="AO37" s="19"/>
      <c r="AP37" s="19"/>
      <c r="AQ37" s="19"/>
      <c r="AR37" s="19"/>
      <c r="AS37" s="21"/>
      <c r="AT37" s="5"/>
      <c r="AU37" s="19"/>
      <c r="AV37" s="5"/>
      <c r="AW37" s="22"/>
      <c r="AX37" s="19"/>
      <c r="AY37" s="5"/>
      <c r="AZ37" s="19"/>
      <c r="BA37" s="5"/>
      <c r="BB37" s="5"/>
      <c r="BC37" s="19"/>
      <c r="BD37" s="19"/>
      <c r="BE37" s="19"/>
      <c r="BF37" s="19"/>
      <c r="BG37" s="19"/>
      <c r="BH37" s="19"/>
      <c r="BI37" s="19"/>
      <c r="BJ37" s="19"/>
      <c r="BK37" s="13"/>
      <c r="BL37" s="5"/>
      <c r="BM37" s="5"/>
      <c r="BN37" s="19"/>
      <c r="BO37" s="17"/>
      <c r="BP37" s="19"/>
      <c r="BQ37" s="17"/>
      <c r="BR37" s="19"/>
      <c r="BS37" s="13"/>
      <c r="BT37" s="5"/>
      <c r="BU37" s="23"/>
      <c r="BV37" s="23"/>
      <c r="BW37" s="24"/>
      <c r="BX37" s="5"/>
      <c r="BY37" s="5"/>
      <c r="BZ37" s="5"/>
      <c r="CA37" s="24"/>
      <c r="CB37" s="24"/>
      <c r="CC37" s="24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>
        <f t="shared" si="4"/>
        <v>179.73999999999998</v>
      </c>
      <c r="CV37" s="25">
        <f t="shared" si="5"/>
        <v>0</v>
      </c>
    </row>
    <row r="38" spans="1:100" x14ac:dyDescent="0.2">
      <c r="A38" s="2"/>
      <c r="B38" s="3"/>
      <c r="C38" s="4"/>
      <c r="D38" s="5"/>
      <c r="E38" s="6"/>
      <c r="F38" s="7"/>
      <c r="G38" s="8"/>
      <c r="H38" s="9"/>
      <c r="I38" s="10"/>
      <c r="J38" s="11" t="s">
        <v>337</v>
      </c>
      <c r="K38" s="12">
        <v>7.09</v>
      </c>
      <c r="L38" s="13">
        <v>44</v>
      </c>
      <c r="M38" s="14">
        <f t="shared" si="58"/>
        <v>311.95999999999998</v>
      </c>
      <c r="N38" s="15"/>
      <c r="O38" s="16" t="s">
        <v>111</v>
      </c>
      <c r="P38" s="17">
        <f t="shared" si="59"/>
        <v>2.7853571428571424</v>
      </c>
      <c r="Q38" s="18">
        <f t="shared" si="60"/>
        <v>33.424285714285702</v>
      </c>
      <c r="R38" s="17">
        <f t="shared" si="61"/>
        <v>281.32107142857143</v>
      </c>
      <c r="S38" s="19"/>
      <c r="T38" s="19"/>
      <c r="U38" s="19"/>
      <c r="V38" s="19"/>
      <c r="W38" s="17"/>
      <c r="X38" s="20"/>
      <c r="Y38" s="19"/>
      <c r="Z38" s="19"/>
      <c r="AA38" s="19"/>
      <c r="AB38" s="19"/>
      <c r="AC38" s="19"/>
      <c r="AD38" s="19"/>
      <c r="AE38" s="5"/>
      <c r="AF38" s="19"/>
      <c r="AG38" s="5"/>
      <c r="AH38" s="17"/>
      <c r="AI38" s="19"/>
      <c r="AJ38" s="19"/>
      <c r="AK38" s="19"/>
      <c r="AL38" s="19"/>
      <c r="AM38" s="17"/>
      <c r="AN38" s="19"/>
      <c r="AO38" s="19"/>
      <c r="AP38" s="19"/>
      <c r="AQ38" s="19"/>
      <c r="AR38" s="19"/>
      <c r="AS38" s="21"/>
      <c r="AT38" s="5"/>
      <c r="AU38" s="19"/>
      <c r="AV38" s="5"/>
      <c r="AW38" s="22"/>
      <c r="AX38" s="19"/>
      <c r="AY38" s="5"/>
      <c r="AZ38" s="19"/>
      <c r="BA38" s="5"/>
      <c r="BB38" s="5"/>
      <c r="BC38" s="19"/>
      <c r="BD38" s="19"/>
      <c r="BE38" s="19"/>
      <c r="BF38" s="19"/>
      <c r="BG38" s="19"/>
      <c r="BH38" s="19"/>
      <c r="BI38" s="19"/>
      <c r="BJ38" s="19"/>
      <c r="BK38" s="13"/>
      <c r="BL38" s="5"/>
      <c r="BM38" s="5"/>
      <c r="BN38" s="19"/>
      <c r="BO38" s="17"/>
      <c r="BP38" s="19"/>
      <c r="BQ38" s="17"/>
      <c r="BR38" s="19"/>
      <c r="BS38" s="13"/>
      <c r="BT38" s="5"/>
      <c r="BU38" s="23"/>
      <c r="BV38" s="23"/>
      <c r="BW38" s="24"/>
      <c r="BX38" s="5"/>
      <c r="BY38" s="5"/>
      <c r="BZ38" s="5"/>
      <c r="CA38" s="24"/>
      <c r="CB38" s="24"/>
      <c r="CC38" s="24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>
        <f t="shared" si="4"/>
        <v>311.95999999999998</v>
      </c>
      <c r="CV38" s="25">
        <f t="shared" si="5"/>
        <v>0</v>
      </c>
    </row>
    <row r="39" spans="1:100" x14ac:dyDescent="0.2">
      <c r="A39" s="2"/>
      <c r="B39" s="3"/>
      <c r="C39" s="4"/>
      <c r="D39" s="5"/>
      <c r="E39" s="6"/>
      <c r="F39" s="7"/>
      <c r="G39" s="8"/>
      <c r="H39" s="9"/>
      <c r="I39" s="10"/>
      <c r="J39" s="11" t="s">
        <v>337</v>
      </c>
      <c r="K39" s="12">
        <v>8.69</v>
      </c>
      <c r="L39" s="13">
        <v>44</v>
      </c>
      <c r="M39" s="14">
        <f t="shared" si="58"/>
        <v>382.35999999999996</v>
      </c>
      <c r="N39" s="15"/>
      <c r="O39" s="16" t="s">
        <v>111</v>
      </c>
      <c r="P39" s="17">
        <f t="shared" si="59"/>
        <v>3.4139285714285705</v>
      </c>
      <c r="Q39" s="18">
        <f t="shared" si="60"/>
        <v>40.967142857142846</v>
      </c>
      <c r="R39" s="17">
        <f t="shared" si="61"/>
        <v>344.8067857142857</v>
      </c>
      <c r="S39" s="19"/>
      <c r="T39" s="19"/>
      <c r="U39" s="19"/>
      <c r="V39" s="19"/>
      <c r="W39" s="17"/>
      <c r="X39" s="20"/>
      <c r="Y39" s="19"/>
      <c r="Z39" s="19"/>
      <c r="AA39" s="19"/>
      <c r="AB39" s="19"/>
      <c r="AC39" s="19"/>
      <c r="AD39" s="19"/>
      <c r="AE39" s="5"/>
      <c r="AF39" s="19"/>
      <c r="AG39" s="5"/>
      <c r="AH39" s="17"/>
      <c r="AI39" s="19"/>
      <c r="AJ39" s="19"/>
      <c r="AK39" s="19"/>
      <c r="AL39" s="19"/>
      <c r="AM39" s="17"/>
      <c r="AN39" s="19"/>
      <c r="AO39" s="19"/>
      <c r="AP39" s="19"/>
      <c r="AQ39" s="19"/>
      <c r="AR39" s="19"/>
      <c r="AS39" s="21"/>
      <c r="AT39" s="5"/>
      <c r="AU39" s="19"/>
      <c r="AV39" s="5"/>
      <c r="AW39" s="22"/>
      <c r="AX39" s="19"/>
      <c r="AY39" s="5"/>
      <c r="AZ39" s="19"/>
      <c r="BA39" s="5"/>
      <c r="BB39" s="5"/>
      <c r="BC39" s="19"/>
      <c r="BD39" s="19"/>
      <c r="BE39" s="19"/>
      <c r="BF39" s="19"/>
      <c r="BG39" s="19"/>
      <c r="BH39" s="19"/>
      <c r="BI39" s="19"/>
      <c r="BJ39" s="19"/>
      <c r="BK39" s="13"/>
      <c r="BL39" s="5"/>
      <c r="BM39" s="5"/>
      <c r="BN39" s="19"/>
      <c r="BO39" s="17"/>
      <c r="BP39" s="19"/>
      <c r="BQ39" s="17"/>
      <c r="BR39" s="19"/>
      <c r="BS39" s="13"/>
      <c r="BT39" s="5"/>
      <c r="BU39" s="23"/>
      <c r="BV39" s="23"/>
      <c r="BW39" s="24"/>
      <c r="BX39" s="5"/>
      <c r="BY39" s="5"/>
      <c r="BZ39" s="5"/>
      <c r="CA39" s="24"/>
      <c r="CB39" s="24"/>
      <c r="CC39" s="24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>
        <f t="shared" si="4"/>
        <v>382.35999999999996</v>
      </c>
      <c r="CV39" s="25">
        <f t="shared" si="5"/>
        <v>0</v>
      </c>
    </row>
    <row r="40" spans="1:100" x14ac:dyDescent="0.2">
      <c r="A40" s="27"/>
      <c r="B40" s="28"/>
      <c r="C40" s="29"/>
      <c r="D40" s="30"/>
      <c r="E40" s="31"/>
      <c r="F40" s="32"/>
      <c r="G40" s="33"/>
      <c r="H40" s="34"/>
      <c r="I40" s="34"/>
      <c r="J40" s="35"/>
      <c r="K40" s="36"/>
      <c r="L40" s="37"/>
      <c r="M40" s="38">
        <f>SUM(M34:M39)</f>
        <v>1655.9199999999998</v>
      </c>
      <c r="N40" s="38"/>
      <c r="O40" s="39" t="s">
        <v>111</v>
      </c>
      <c r="P40" s="38">
        <f>SUM(P34:P39)</f>
        <v>14.784999999999998</v>
      </c>
      <c r="Q40" s="38">
        <f>SUM(Q34:Q39)</f>
        <v>177.41999999999996</v>
      </c>
      <c r="R40" s="38">
        <f>SUM(R34:R39)</f>
        <v>1493.2850000000001</v>
      </c>
      <c r="S40" s="38">
        <f t="shared" ref="S40:AD40" si="62">SUM(S34:S34)</f>
        <v>0</v>
      </c>
      <c r="T40" s="38">
        <f t="shared" si="62"/>
        <v>0</v>
      </c>
      <c r="U40" s="38">
        <f t="shared" si="62"/>
        <v>0</v>
      </c>
      <c r="V40" s="38">
        <f t="shared" si="62"/>
        <v>0</v>
      </c>
      <c r="W40" s="38">
        <f t="shared" si="62"/>
        <v>0</v>
      </c>
      <c r="X40" s="38">
        <f t="shared" si="62"/>
        <v>0</v>
      </c>
      <c r="Y40" s="38">
        <f t="shared" si="62"/>
        <v>0</v>
      </c>
      <c r="Z40" s="38">
        <f t="shared" si="62"/>
        <v>0</v>
      </c>
      <c r="AA40" s="38">
        <f t="shared" si="62"/>
        <v>0</v>
      </c>
      <c r="AB40" s="38">
        <f t="shared" si="62"/>
        <v>0</v>
      </c>
      <c r="AC40" s="38">
        <f t="shared" si="62"/>
        <v>0</v>
      </c>
      <c r="AD40" s="38">
        <f t="shared" si="62"/>
        <v>0</v>
      </c>
      <c r="AE40" s="30"/>
      <c r="AF40" s="38">
        <f>SUM(AF34:AF34)</f>
        <v>0</v>
      </c>
      <c r="AG40" s="30"/>
      <c r="AH40" s="38">
        <f t="shared" ref="AH40:AZ40" si="63">SUM(AH34:AH34)</f>
        <v>0</v>
      </c>
      <c r="AI40" s="38">
        <f t="shared" si="63"/>
        <v>0</v>
      </c>
      <c r="AJ40" s="38">
        <f t="shared" si="63"/>
        <v>0</v>
      </c>
      <c r="AK40" s="38">
        <f t="shared" si="63"/>
        <v>0</v>
      </c>
      <c r="AL40" s="38">
        <f t="shared" si="63"/>
        <v>0</v>
      </c>
      <c r="AM40" s="38">
        <f t="shared" si="63"/>
        <v>0</v>
      </c>
      <c r="AN40" s="38">
        <f t="shared" si="63"/>
        <v>0</v>
      </c>
      <c r="AO40" s="38">
        <f t="shared" si="63"/>
        <v>0</v>
      </c>
      <c r="AP40" s="38">
        <f t="shared" si="63"/>
        <v>0</v>
      </c>
      <c r="AQ40" s="38">
        <f t="shared" si="63"/>
        <v>0</v>
      </c>
      <c r="AR40" s="38">
        <f t="shared" si="63"/>
        <v>0</v>
      </c>
      <c r="AS40" s="38">
        <f t="shared" si="63"/>
        <v>0</v>
      </c>
      <c r="AT40" s="38">
        <f t="shared" si="63"/>
        <v>0</v>
      </c>
      <c r="AU40" s="38">
        <f t="shared" si="63"/>
        <v>0</v>
      </c>
      <c r="AV40" s="38">
        <f t="shared" si="63"/>
        <v>0</v>
      </c>
      <c r="AW40" s="38">
        <f t="shared" si="63"/>
        <v>0</v>
      </c>
      <c r="AX40" s="38">
        <f t="shared" si="63"/>
        <v>0</v>
      </c>
      <c r="AY40" s="38">
        <f t="shared" si="63"/>
        <v>0</v>
      </c>
      <c r="AZ40" s="38">
        <f t="shared" si="63"/>
        <v>0</v>
      </c>
      <c r="BA40" s="30"/>
      <c r="BB40" s="38">
        <f t="shared" ref="BB40:CT40" si="64">SUM(BB34:BB34)</f>
        <v>0</v>
      </c>
      <c r="BC40" s="38">
        <f t="shared" si="64"/>
        <v>0</v>
      </c>
      <c r="BD40" s="38">
        <f t="shared" si="64"/>
        <v>0</v>
      </c>
      <c r="BE40" s="38">
        <f t="shared" si="64"/>
        <v>0</v>
      </c>
      <c r="BF40" s="38">
        <f t="shared" si="64"/>
        <v>0</v>
      </c>
      <c r="BG40" s="38">
        <f t="shared" si="64"/>
        <v>0</v>
      </c>
      <c r="BH40" s="38">
        <f t="shared" si="64"/>
        <v>0</v>
      </c>
      <c r="BI40" s="38">
        <f t="shared" si="64"/>
        <v>0</v>
      </c>
      <c r="BJ40" s="38">
        <f t="shared" si="64"/>
        <v>0</v>
      </c>
      <c r="BK40" s="38">
        <f t="shared" si="64"/>
        <v>0</v>
      </c>
      <c r="BL40" s="38">
        <f t="shared" si="64"/>
        <v>0</v>
      </c>
      <c r="BM40" s="38">
        <f t="shared" si="64"/>
        <v>0</v>
      </c>
      <c r="BN40" s="38">
        <f t="shared" si="64"/>
        <v>0</v>
      </c>
      <c r="BO40" s="38">
        <f t="shared" si="64"/>
        <v>0</v>
      </c>
      <c r="BP40" s="38">
        <f t="shared" si="64"/>
        <v>0</v>
      </c>
      <c r="BQ40" s="38">
        <f t="shared" si="64"/>
        <v>0</v>
      </c>
      <c r="BR40" s="38">
        <f t="shared" si="64"/>
        <v>0</v>
      </c>
      <c r="BS40" s="38">
        <f t="shared" si="64"/>
        <v>0</v>
      </c>
      <c r="BT40" s="38">
        <f t="shared" si="64"/>
        <v>0</v>
      </c>
      <c r="BU40" s="38">
        <f t="shared" si="64"/>
        <v>0</v>
      </c>
      <c r="BV40" s="38">
        <f t="shared" si="64"/>
        <v>0</v>
      </c>
      <c r="BW40" s="38">
        <f t="shared" si="64"/>
        <v>0</v>
      </c>
      <c r="BX40" s="38">
        <f t="shared" si="64"/>
        <v>0</v>
      </c>
      <c r="BY40" s="38">
        <f t="shared" si="64"/>
        <v>0</v>
      </c>
      <c r="BZ40" s="38">
        <f t="shared" si="64"/>
        <v>0</v>
      </c>
      <c r="CA40" s="38">
        <f t="shared" si="64"/>
        <v>0</v>
      </c>
      <c r="CB40" s="38">
        <f t="shared" si="64"/>
        <v>0</v>
      </c>
      <c r="CC40" s="38">
        <f t="shared" si="64"/>
        <v>0</v>
      </c>
      <c r="CD40" s="38">
        <f t="shared" si="64"/>
        <v>0</v>
      </c>
      <c r="CE40" s="38">
        <f t="shared" si="64"/>
        <v>0</v>
      </c>
      <c r="CF40" s="38">
        <f t="shared" si="64"/>
        <v>0</v>
      </c>
      <c r="CG40" s="38">
        <f t="shared" si="64"/>
        <v>0</v>
      </c>
      <c r="CH40" s="38">
        <f t="shared" si="64"/>
        <v>0</v>
      </c>
      <c r="CI40" s="38">
        <f t="shared" si="64"/>
        <v>0</v>
      </c>
      <c r="CJ40" s="38">
        <f t="shared" si="64"/>
        <v>0</v>
      </c>
      <c r="CK40" s="38">
        <f t="shared" si="64"/>
        <v>0</v>
      </c>
      <c r="CL40" s="38">
        <f t="shared" si="64"/>
        <v>0</v>
      </c>
      <c r="CM40" s="38">
        <f t="shared" si="64"/>
        <v>0</v>
      </c>
      <c r="CN40" s="38">
        <f t="shared" si="64"/>
        <v>0</v>
      </c>
      <c r="CO40" s="38">
        <f t="shared" si="64"/>
        <v>0</v>
      </c>
      <c r="CP40" s="38">
        <f t="shared" si="64"/>
        <v>0</v>
      </c>
      <c r="CQ40" s="38">
        <f t="shared" si="64"/>
        <v>0</v>
      </c>
      <c r="CR40" s="38">
        <f t="shared" si="64"/>
        <v>0</v>
      </c>
      <c r="CS40" s="38">
        <f t="shared" si="64"/>
        <v>0</v>
      </c>
      <c r="CT40" s="38">
        <f t="shared" si="64"/>
        <v>0</v>
      </c>
      <c r="CU40" s="17">
        <f t="shared" si="4"/>
        <v>1655.9199999999998</v>
      </c>
      <c r="CV40" s="25">
        <f t="shared" si="5"/>
        <v>0</v>
      </c>
    </row>
    <row r="41" spans="1:100" x14ac:dyDescent="0.2">
      <c r="A41" s="2">
        <v>45875</v>
      </c>
      <c r="B41" s="3" t="s">
        <v>747</v>
      </c>
      <c r="C41" s="4" t="s">
        <v>869</v>
      </c>
      <c r="D41" s="5" t="s">
        <v>748</v>
      </c>
      <c r="E41" s="6" t="s">
        <v>266</v>
      </c>
      <c r="F41" s="7"/>
      <c r="G41" s="8"/>
      <c r="H41" s="9"/>
      <c r="I41" s="10"/>
      <c r="J41" s="11" t="s">
        <v>760</v>
      </c>
      <c r="K41" s="12">
        <v>15</v>
      </c>
      <c r="L41" s="13">
        <v>275</v>
      </c>
      <c r="M41" s="14">
        <f t="shared" ref="M41" si="65">L41*K41</f>
        <v>4125</v>
      </c>
      <c r="N41" s="15"/>
      <c r="O41" s="16" t="s">
        <v>137</v>
      </c>
      <c r="P41" s="17"/>
      <c r="Q41" s="18"/>
      <c r="R41" s="17">
        <f>M41+P41-Q41</f>
        <v>4125</v>
      </c>
      <c r="S41" s="19"/>
      <c r="T41" s="19"/>
      <c r="U41" s="19"/>
      <c r="V41" s="19"/>
      <c r="W41" s="17"/>
      <c r="X41" s="20"/>
      <c r="Y41" s="19"/>
      <c r="Z41" s="19"/>
      <c r="AA41" s="19"/>
      <c r="AB41" s="19"/>
      <c r="AC41" s="19"/>
      <c r="AD41" s="19"/>
      <c r="AE41" s="5"/>
      <c r="AF41" s="19"/>
      <c r="AG41" s="5"/>
      <c r="AH41" s="17"/>
      <c r="AI41" s="19"/>
      <c r="AJ41" s="19"/>
      <c r="AK41" s="19"/>
      <c r="AL41" s="19"/>
      <c r="AM41" s="17"/>
      <c r="AN41" s="19"/>
      <c r="AO41" s="19"/>
      <c r="AP41" s="19"/>
      <c r="AQ41" s="19"/>
      <c r="AR41" s="19"/>
      <c r="AS41" s="21"/>
      <c r="AT41" s="5"/>
      <c r="AU41" s="19"/>
      <c r="AV41" s="5"/>
      <c r="AW41" s="22"/>
      <c r="AX41" s="19"/>
      <c r="AY41" s="5"/>
      <c r="AZ41" s="19"/>
      <c r="BA41" s="5"/>
      <c r="BB41" s="5"/>
      <c r="BC41" s="19"/>
      <c r="BD41" s="19"/>
      <c r="BE41" s="19"/>
      <c r="BF41" s="19"/>
      <c r="BG41" s="19"/>
      <c r="BH41" s="19"/>
      <c r="BI41" s="19"/>
      <c r="BJ41" s="19"/>
      <c r="BK41" s="13"/>
      <c r="BL41" s="5"/>
      <c r="BM41" s="5"/>
      <c r="BN41" s="19"/>
      <c r="BO41" s="17"/>
      <c r="BP41" s="19"/>
      <c r="BQ41" s="17"/>
      <c r="BR41" s="19"/>
      <c r="BS41" s="13"/>
      <c r="BT41" s="5"/>
      <c r="BU41" s="23"/>
      <c r="BV41" s="23"/>
      <c r="BW41" s="24"/>
      <c r="BX41" s="5"/>
      <c r="BY41" s="5"/>
      <c r="BZ41" s="5"/>
      <c r="CA41" s="24"/>
      <c r="CB41" s="24"/>
      <c r="CC41" s="24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>
        <f t="shared" si="4"/>
        <v>4125</v>
      </c>
      <c r="CV41" s="25">
        <f t="shared" si="5"/>
        <v>0</v>
      </c>
    </row>
    <row r="42" spans="1:100" x14ac:dyDescent="0.2">
      <c r="A42" s="27"/>
      <c r="B42" s="28"/>
      <c r="C42" s="29"/>
      <c r="D42" s="30"/>
      <c r="E42" s="31"/>
      <c r="F42" s="32"/>
      <c r="G42" s="33"/>
      <c r="H42" s="34"/>
      <c r="I42" s="34"/>
      <c r="J42" s="35"/>
      <c r="K42" s="36"/>
      <c r="L42" s="37"/>
      <c r="M42" s="38">
        <f>SUM(M41:M41)</f>
        <v>4125</v>
      </c>
      <c r="N42" s="38"/>
      <c r="O42" s="39" t="s">
        <v>137</v>
      </c>
      <c r="P42" s="38"/>
      <c r="Q42" s="38"/>
      <c r="R42" s="38">
        <f>SUM(R41:R41)</f>
        <v>4125</v>
      </c>
      <c r="S42" s="38">
        <f t="shared" ref="S42:AD42" si="66">SUM(S41:S41)</f>
        <v>0</v>
      </c>
      <c r="T42" s="38">
        <f t="shared" si="66"/>
        <v>0</v>
      </c>
      <c r="U42" s="38">
        <f t="shared" si="66"/>
        <v>0</v>
      </c>
      <c r="V42" s="38">
        <f t="shared" si="66"/>
        <v>0</v>
      </c>
      <c r="W42" s="38">
        <f t="shared" si="66"/>
        <v>0</v>
      </c>
      <c r="X42" s="38">
        <f t="shared" si="66"/>
        <v>0</v>
      </c>
      <c r="Y42" s="38">
        <f t="shared" si="66"/>
        <v>0</v>
      </c>
      <c r="Z42" s="38">
        <f t="shared" si="66"/>
        <v>0</v>
      </c>
      <c r="AA42" s="38">
        <f t="shared" si="66"/>
        <v>0</v>
      </c>
      <c r="AB42" s="38">
        <f t="shared" si="66"/>
        <v>0</v>
      </c>
      <c r="AC42" s="38">
        <f t="shared" si="66"/>
        <v>0</v>
      </c>
      <c r="AD42" s="38">
        <f t="shared" si="66"/>
        <v>0</v>
      </c>
      <c r="AE42" s="30"/>
      <c r="AF42" s="38">
        <f>SUM(AF41:AF41)</f>
        <v>0</v>
      </c>
      <c r="AG42" s="30"/>
      <c r="AH42" s="38">
        <f t="shared" ref="AH42:AZ42" si="67">SUM(AH41:AH41)</f>
        <v>0</v>
      </c>
      <c r="AI42" s="38">
        <f t="shared" si="67"/>
        <v>0</v>
      </c>
      <c r="AJ42" s="38">
        <f t="shared" si="67"/>
        <v>0</v>
      </c>
      <c r="AK42" s="38">
        <f t="shared" si="67"/>
        <v>0</v>
      </c>
      <c r="AL42" s="38">
        <f t="shared" si="67"/>
        <v>0</v>
      </c>
      <c r="AM42" s="38">
        <f t="shared" si="67"/>
        <v>0</v>
      </c>
      <c r="AN42" s="38">
        <f t="shared" si="67"/>
        <v>0</v>
      </c>
      <c r="AO42" s="38">
        <f t="shared" si="67"/>
        <v>0</v>
      </c>
      <c r="AP42" s="38">
        <f t="shared" si="67"/>
        <v>0</v>
      </c>
      <c r="AQ42" s="38">
        <f t="shared" si="67"/>
        <v>0</v>
      </c>
      <c r="AR42" s="38">
        <f t="shared" si="67"/>
        <v>0</v>
      </c>
      <c r="AS42" s="38">
        <f t="shared" si="67"/>
        <v>0</v>
      </c>
      <c r="AT42" s="38">
        <f t="shared" si="67"/>
        <v>0</v>
      </c>
      <c r="AU42" s="38">
        <f t="shared" si="67"/>
        <v>0</v>
      </c>
      <c r="AV42" s="38">
        <f t="shared" si="67"/>
        <v>0</v>
      </c>
      <c r="AW42" s="38">
        <f t="shared" si="67"/>
        <v>0</v>
      </c>
      <c r="AX42" s="38">
        <f t="shared" si="67"/>
        <v>0</v>
      </c>
      <c r="AY42" s="38">
        <f t="shared" si="67"/>
        <v>0</v>
      </c>
      <c r="AZ42" s="38">
        <f t="shared" si="67"/>
        <v>0</v>
      </c>
      <c r="BA42" s="30"/>
      <c r="BB42" s="38">
        <f t="shared" ref="BB42:CT42" si="68">SUM(BB41:BB41)</f>
        <v>0</v>
      </c>
      <c r="BC42" s="38">
        <f t="shared" si="68"/>
        <v>0</v>
      </c>
      <c r="BD42" s="38">
        <f t="shared" si="68"/>
        <v>0</v>
      </c>
      <c r="BE42" s="38">
        <f t="shared" si="68"/>
        <v>0</v>
      </c>
      <c r="BF42" s="38">
        <f t="shared" si="68"/>
        <v>0</v>
      </c>
      <c r="BG42" s="38">
        <f t="shared" si="68"/>
        <v>0</v>
      </c>
      <c r="BH42" s="38">
        <f t="shared" si="68"/>
        <v>0</v>
      </c>
      <c r="BI42" s="38">
        <f t="shared" si="68"/>
        <v>0</v>
      </c>
      <c r="BJ42" s="38">
        <f t="shared" si="68"/>
        <v>0</v>
      </c>
      <c r="BK42" s="38">
        <f t="shared" si="68"/>
        <v>0</v>
      </c>
      <c r="BL42" s="38">
        <f t="shared" si="68"/>
        <v>0</v>
      </c>
      <c r="BM42" s="38">
        <f t="shared" si="68"/>
        <v>0</v>
      </c>
      <c r="BN42" s="38">
        <f t="shared" si="68"/>
        <v>0</v>
      </c>
      <c r="BO42" s="38">
        <f t="shared" si="68"/>
        <v>0</v>
      </c>
      <c r="BP42" s="38">
        <f t="shared" si="68"/>
        <v>0</v>
      </c>
      <c r="BQ42" s="38">
        <f t="shared" si="68"/>
        <v>0</v>
      </c>
      <c r="BR42" s="38">
        <f t="shared" si="68"/>
        <v>0</v>
      </c>
      <c r="BS42" s="38">
        <f t="shared" si="68"/>
        <v>0</v>
      </c>
      <c r="BT42" s="38">
        <f t="shared" si="68"/>
        <v>0</v>
      </c>
      <c r="BU42" s="38">
        <f t="shared" si="68"/>
        <v>0</v>
      </c>
      <c r="BV42" s="38">
        <f t="shared" si="68"/>
        <v>0</v>
      </c>
      <c r="BW42" s="38">
        <f t="shared" si="68"/>
        <v>0</v>
      </c>
      <c r="BX42" s="38">
        <f t="shared" si="68"/>
        <v>0</v>
      </c>
      <c r="BY42" s="38">
        <f t="shared" si="68"/>
        <v>0</v>
      </c>
      <c r="BZ42" s="38">
        <f t="shared" si="68"/>
        <v>0</v>
      </c>
      <c r="CA42" s="38">
        <f t="shared" si="68"/>
        <v>0</v>
      </c>
      <c r="CB42" s="38">
        <f t="shared" si="68"/>
        <v>0</v>
      </c>
      <c r="CC42" s="38">
        <f t="shared" si="68"/>
        <v>0</v>
      </c>
      <c r="CD42" s="38">
        <f t="shared" si="68"/>
        <v>0</v>
      </c>
      <c r="CE42" s="38">
        <f t="shared" si="68"/>
        <v>0</v>
      </c>
      <c r="CF42" s="38">
        <f t="shared" si="68"/>
        <v>0</v>
      </c>
      <c r="CG42" s="38">
        <f t="shared" si="68"/>
        <v>0</v>
      </c>
      <c r="CH42" s="38">
        <f t="shared" si="68"/>
        <v>0</v>
      </c>
      <c r="CI42" s="38">
        <f t="shared" si="68"/>
        <v>0</v>
      </c>
      <c r="CJ42" s="38">
        <f t="shared" si="68"/>
        <v>0</v>
      </c>
      <c r="CK42" s="38">
        <f t="shared" si="68"/>
        <v>0</v>
      </c>
      <c r="CL42" s="38">
        <f t="shared" si="68"/>
        <v>0</v>
      </c>
      <c r="CM42" s="38">
        <f t="shared" si="68"/>
        <v>0</v>
      </c>
      <c r="CN42" s="38">
        <f t="shared" si="68"/>
        <v>0</v>
      </c>
      <c r="CO42" s="38">
        <f t="shared" si="68"/>
        <v>0</v>
      </c>
      <c r="CP42" s="38">
        <f t="shared" si="68"/>
        <v>0</v>
      </c>
      <c r="CQ42" s="38">
        <f t="shared" si="68"/>
        <v>0</v>
      </c>
      <c r="CR42" s="38">
        <f t="shared" si="68"/>
        <v>0</v>
      </c>
      <c r="CS42" s="38">
        <f t="shared" si="68"/>
        <v>0</v>
      </c>
      <c r="CT42" s="38">
        <f t="shared" si="68"/>
        <v>0</v>
      </c>
      <c r="CU42" s="17">
        <f t="shared" si="4"/>
        <v>4125</v>
      </c>
      <c r="CV42" s="25">
        <f t="shared" si="5"/>
        <v>0</v>
      </c>
    </row>
    <row r="43" spans="1:100" x14ac:dyDescent="0.2">
      <c r="A43" s="2">
        <v>45885</v>
      </c>
      <c r="B43" s="3" t="s">
        <v>747</v>
      </c>
      <c r="C43" s="4" t="s">
        <v>870</v>
      </c>
      <c r="D43" s="5" t="s">
        <v>748</v>
      </c>
      <c r="E43" s="6" t="s">
        <v>134</v>
      </c>
      <c r="F43" s="7"/>
      <c r="G43" s="8"/>
      <c r="H43" s="9"/>
      <c r="I43" s="10"/>
      <c r="J43" s="11" t="s">
        <v>135</v>
      </c>
      <c r="K43" s="12">
        <v>1</v>
      </c>
      <c r="L43" s="13">
        <v>53</v>
      </c>
      <c r="M43" s="14">
        <f t="shared" ref="M43" si="69">L43*K43</f>
        <v>53</v>
      </c>
      <c r="N43" s="15"/>
      <c r="O43" s="16" t="s">
        <v>137</v>
      </c>
      <c r="P43" s="17"/>
      <c r="Q43" s="18"/>
      <c r="R43" s="5"/>
      <c r="S43" s="19"/>
      <c r="T43" s="19"/>
      <c r="U43" s="19"/>
      <c r="V43" s="19"/>
      <c r="W43" s="17"/>
      <c r="X43" s="20"/>
      <c r="Y43" s="19"/>
      <c r="Z43" s="19"/>
      <c r="AA43" s="19"/>
      <c r="AB43" s="19"/>
      <c r="AC43" s="19"/>
      <c r="AD43" s="19"/>
      <c r="AE43" s="5"/>
      <c r="AF43" s="19"/>
      <c r="AG43" s="5"/>
      <c r="AH43" s="17"/>
      <c r="AI43" s="19"/>
      <c r="AJ43" s="19"/>
      <c r="AK43" s="19"/>
      <c r="AL43" s="19"/>
      <c r="AM43" s="17"/>
      <c r="AN43" s="19"/>
      <c r="AO43" s="19"/>
      <c r="AP43" s="19"/>
      <c r="AQ43" s="19"/>
      <c r="AR43" s="19"/>
      <c r="AS43" s="21"/>
      <c r="AT43" s="5"/>
      <c r="AU43" s="19"/>
      <c r="AV43" s="5"/>
      <c r="AW43" s="22"/>
      <c r="AX43" s="19"/>
      <c r="AY43" s="5"/>
      <c r="AZ43" s="19"/>
      <c r="BA43" s="5"/>
      <c r="BB43" s="5"/>
      <c r="BC43" s="19"/>
      <c r="BD43" s="19"/>
      <c r="BE43" s="19"/>
      <c r="BF43" s="19"/>
      <c r="BG43" s="19"/>
      <c r="BH43" s="19"/>
      <c r="BI43" s="19"/>
      <c r="BJ43" s="19"/>
      <c r="BK43" s="13"/>
      <c r="BL43" s="5"/>
      <c r="BM43" s="5"/>
      <c r="BN43" s="19"/>
      <c r="BO43" s="17">
        <f>M43+P43-Q43</f>
        <v>53</v>
      </c>
      <c r="BP43" s="19"/>
      <c r="BQ43" s="17"/>
      <c r="BR43" s="19"/>
      <c r="BS43" s="13"/>
      <c r="BT43" s="5"/>
      <c r="BU43" s="23"/>
      <c r="BV43" s="23"/>
      <c r="BW43" s="24"/>
      <c r="BX43" s="5"/>
      <c r="BY43" s="5"/>
      <c r="BZ43" s="5"/>
      <c r="CA43" s="24"/>
      <c r="CB43" s="24"/>
      <c r="CC43" s="24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>
        <f t="shared" si="4"/>
        <v>53</v>
      </c>
      <c r="CV43" s="25">
        <f t="shared" si="5"/>
        <v>0</v>
      </c>
    </row>
    <row r="44" spans="1:100" s="205" customFormat="1" x14ac:dyDescent="0.2">
      <c r="A44" s="192"/>
      <c r="B44" s="193"/>
      <c r="C44" s="194"/>
      <c r="D44" s="195"/>
      <c r="E44" s="196"/>
      <c r="F44" s="197"/>
      <c r="G44" s="198"/>
      <c r="H44" s="199"/>
      <c r="I44" s="199"/>
      <c r="J44" s="200"/>
      <c r="K44" s="201"/>
      <c r="L44" s="202"/>
      <c r="M44" s="203">
        <f>SUM(M43:M43)</f>
        <v>53</v>
      </c>
      <c r="N44" s="203">
        <f>M44+M42+M40+M33+M31</f>
        <v>6517.92</v>
      </c>
      <c r="O44" s="204" t="s">
        <v>137</v>
      </c>
      <c r="P44" s="203"/>
      <c r="Q44" s="203"/>
      <c r="R44" s="195"/>
      <c r="S44" s="203">
        <f t="shared" ref="S44:AD44" si="70">SUM(S43:S43)</f>
        <v>0</v>
      </c>
      <c r="T44" s="203">
        <f t="shared" si="70"/>
        <v>0</v>
      </c>
      <c r="U44" s="203">
        <f t="shared" si="70"/>
        <v>0</v>
      </c>
      <c r="V44" s="203">
        <f t="shared" si="70"/>
        <v>0</v>
      </c>
      <c r="W44" s="203">
        <f t="shared" si="70"/>
        <v>0</v>
      </c>
      <c r="X44" s="203">
        <f t="shared" si="70"/>
        <v>0</v>
      </c>
      <c r="Y44" s="203">
        <f t="shared" si="70"/>
        <v>0</v>
      </c>
      <c r="Z44" s="203">
        <f t="shared" si="70"/>
        <v>0</v>
      </c>
      <c r="AA44" s="203">
        <f t="shared" si="70"/>
        <v>0</v>
      </c>
      <c r="AB44" s="203">
        <f t="shared" si="70"/>
        <v>0</v>
      </c>
      <c r="AC44" s="203">
        <f t="shared" si="70"/>
        <v>0</v>
      </c>
      <c r="AD44" s="203">
        <f t="shared" si="70"/>
        <v>0</v>
      </c>
      <c r="AE44" s="195"/>
      <c r="AF44" s="203">
        <f>SUM(AF43:AF43)</f>
        <v>0</v>
      </c>
      <c r="AG44" s="195"/>
      <c r="AH44" s="203">
        <f t="shared" ref="AH44:AZ44" si="71">SUM(AH43:AH43)</f>
        <v>0</v>
      </c>
      <c r="AI44" s="203">
        <f t="shared" si="71"/>
        <v>0</v>
      </c>
      <c r="AJ44" s="203">
        <f t="shared" si="71"/>
        <v>0</v>
      </c>
      <c r="AK44" s="203">
        <f t="shared" si="71"/>
        <v>0</v>
      </c>
      <c r="AL44" s="203">
        <f t="shared" si="71"/>
        <v>0</v>
      </c>
      <c r="AM44" s="203">
        <f t="shared" si="71"/>
        <v>0</v>
      </c>
      <c r="AN44" s="203">
        <f t="shared" si="71"/>
        <v>0</v>
      </c>
      <c r="AO44" s="203">
        <f t="shared" si="71"/>
        <v>0</v>
      </c>
      <c r="AP44" s="203">
        <f t="shared" si="71"/>
        <v>0</v>
      </c>
      <c r="AQ44" s="203">
        <f t="shared" si="71"/>
        <v>0</v>
      </c>
      <c r="AR44" s="203">
        <f t="shared" si="71"/>
        <v>0</v>
      </c>
      <c r="AS44" s="203">
        <f t="shared" si="71"/>
        <v>0</v>
      </c>
      <c r="AT44" s="203">
        <f t="shared" si="71"/>
        <v>0</v>
      </c>
      <c r="AU44" s="203">
        <f t="shared" si="71"/>
        <v>0</v>
      </c>
      <c r="AV44" s="203">
        <f t="shared" si="71"/>
        <v>0</v>
      </c>
      <c r="AW44" s="203">
        <f t="shared" si="71"/>
        <v>0</v>
      </c>
      <c r="AX44" s="203">
        <f t="shared" si="71"/>
        <v>0</v>
      </c>
      <c r="AY44" s="203">
        <f t="shared" si="71"/>
        <v>0</v>
      </c>
      <c r="AZ44" s="203">
        <f t="shared" si="71"/>
        <v>0</v>
      </c>
      <c r="BA44" s="195"/>
      <c r="BB44" s="203">
        <f t="shared" ref="BB44:CT44" si="72">SUM(BB43:BB43)</f>
        <v>0</v>
      </c>
      <c r="BC44" s="203">
        <f t="shared" si="72"/>
        <v>0</v>
      </c>
      <c r="BD44" s="203">
        <f t="shared" si="72"/>
        <v>0</v>
      </c>
      <c r="BE44" s="203">
        <f t="shared" si="72"/>
        <v>0</v>
      </c>
      <c r="BF44" s="203">
        <f t="shared" si="72"/>
        <v>0</v>
      </c>
      <c r="BG44" s="203">
        <f t="shared" si="72"/>
        <v>0</v>
      </c>
      <c r="BH44" s="203">
        <f t="shared" si="72"/>
        <v>0</v>
      </c>
      <c r="BI44" s="203">
        <f t="shared" si="72"/>
        <v>0</v>
      </c>
      <c r="BJ44" s="203">
        <f t="shared" si="72"/>
        <v>0</v>
      </c>
      <c r="BK44" s="203">
        <f t="shared" si="72"/>
        <v>0</v>
      </c>
      <c r="BL44" s="203">
        <f t="shared" si="72"/>
        <v>0</v>
      </c>
      <c r="BM44" s="203">
        <f t="shared" si="72"/>
        <v>0</v>
      </c>
      <c r="BN44" s="203">
        <f t="shared" si="72"/>
        <v>0</v>
      </c>
      <c r="BO44" s="203">
        <f>SUM(BO43:BO43)</f>
        <v>53</v>
      </c>
      <c r="BP44" s="203">
        <f t="shared" si="72"/>
        <v>0</v>
      </c>
      <c r="BQ44" s="203">
        <f t="shared" si="72"/>
        <v>0</v>
      </c>
      <c r="BR44" s="203">
        <f t="shared" si="72"/>
        <v>0</v>
      </c>
      <c r="BS44" s="203">
        <f t="shared" si="72"/>
        <v>0</v>
      </c>
      <c r="BT44" s="203">
        <f t="shared" si="72"/>
        <v>0</v>
      </c>
      <c r="BU44" s="203">
        <f t="shared" si="72"/>
        <v>0</v>
      </c>
      <c r="BV44" s="203">
        <f t="shared" si="72"/>
        <v>0</v>
      </c>
      <c r="BW44" s="203">
        <f t="shared" si="72"/>
        <v>0</v>
      </c>
      <c r="BX44" s="203">
        <f t="shared" si="72"/>
        <v>0</v>
      </c>
      <c r="BY44" s="203">
        <f t="shared" si="72"/>
        <v>0</v>
      </c>
      <c r="BZ44" s="203">
        <f t="shared" si="72"/>
        <v>0</v>
      </c>
      <c r="CA44" s="203">
        <f t="shared" si="72"/>
        <v>0</v>
      </c>
      <c r="CB44" s="203">
        <f t="shared" si="72"/>
        <v>0</v>
      </c>
      <c r="CC44" s="203">
        <f t="shared" si="72"/>
        <v>0</v>
      </c>
      <c r="CD44" s="203">
        <f t="shared" si="72"/>
        <v>0</v>
      </c>
      <c r="CE44" s="203">
        <f t="shared" si="72"/>
        <v>0</v>
      </c>
      <c r="CF44" s="203">
        <f t="shared" si="72"/>
        <v>0</v>
      </c>
      <c r="CG44" s="203">
        <f t="shared" si="72"/>
        <v>0</v>
      </c>
      <c r="CH44" s="203">
        <f t="shared" si="72"/>
        <v>0</v>
      </c>
      <c r="CI44" s="203">
        <f t="shared" si="72"/>
        <v>0</v>
      </c>
      <c r="CJ44" s="203">
        <f t="shared" si="72"/>
        <v>0</v>
      </c>
      <c r="CK44" s="203">
        <f t="shared" si="72"/>
        <v>0</v>
      </c>
      <c r="CL44" s="203">
        <f t="shared" si="72"/>
        <v>0</v>
      </c>
      <c r="CM44" s="203">
        <f t="shared" si="72"/>
        <v>0</v>
      </c>
      <c r="CN44" s="203">
        <f t="shared" si="72"/>
        <v>0</v>
      </c>
      <c r="CO44" s="203">
        <f t="shared" si="72"/>
        <v>0</v>
      </c>
      <c r="CP44" s="203">
        <f t="shared" si="72"/>
        <v>0</v>
      </c>
      <c r="CQ44" s="203">
        <f t="shared" si="72"/>
        <v>0</v>
      </c>
      <c r="CR44" s="203">
        <f t="shared" si="72"/>
        <v>0</v>
      </c>
      <c r="CS44" s="203">
        <f t="shared" si="72"/>
        <v>0</v>
      </c>
      <c r="CT44" s="203">
        <f t="shared" si="72"/>
        <v>0</v>
      </c>
      <c r="CU44" s="17">
        <f t="shared" si="4"/>
        <v>53</v>
      </c>
      <c r="CV44" s="25">
        <f t="shared" si="5"/>
        <v>0</v>
      </c>
    </row>
    <row r="45" spans="1:100" x14ac:dyDescent="0.2">
      <c r="A45" s="2">
        <v>45879</v>
      </c>
      <c r="B45" s="3" t="s">
        <v>657</v>
      </c>
      <c r="C45" s="4" t="s">
        <v>871</v>
      </c>
      <c r="D45" s="5" t="s">
        <v>570</v>
      </c>
      <c r="E45" s="6" t="s">
        <v>370</v>
      </c>
      <c r="F45" s="7" t="s">
        <v>336</v>
      </c>
      <c r="G45" s="8" t="s">
        <v>199</v>
      </c>
      <c r="H45" s="9" t="s">
        <v>661</v>
      </c>
      <c r="I45" s="10"/>
      <c r="J45" s="11" t="s">
        <v>658</v>
      </c>
      <c r="K45" s="12">
        <v>5</v>
      </c>
      <c r="L45" s="13">
        <v>112</v>
      </c>
      <c r="M45" s="14">
        <f t="shared" ref="M45:M65" si="73">L45*K45</f>
        <v>560</v>
      </c>
      <c r="N45" s="15"/>
      <c r="O45" s="16" t="s">
        <v>137</v>
      </c>
      <c r="P45" s="17">
        <f>M45*0.01</f>
        <v>5.6000000000000005</v>
      </c>
      <c r="Q45" s="18"/>
      <c r="R45" s="17">
        <f>M45+P45-Q45</f>
        <v>565.6</v>
      </c>
      <c r="S45" s="19"/>
      <c r="T45" s="19"/>
      <c r="U45" s="19"/>
      <c r="V45" s="19"/>
      <c r="W45" s="17"/>
      <c r="X45" s="20"/>
      <c r="Y45" s="19"/>
      <c r="Z45" s="19"/>
      <c r="AA45" s="19"/>
      <c r="AB45" s="19"/>
      <c r="AC45" s="19"/>
      <c r="AD45" s="19"/>
      <c r="AE45" s="5"/>
      <c r="AF45" s="19"/>
      <c r="AG45" s="5"/>
      <c r="AH45" s="17"/>
      <c r="AI45" s="19"/>
      <c r="AJ45" s="19"/>
      <c r="AK45" s="19"/>
      <c r="AL45" s="19"/>
      <c r="AM45" s="17"/>
      <c r="AN45" s="19"/>
      <c r="AO45" s="19"/>
      <c r="AP45" s="19"/>
      <c r="AQ45" s="19"/>
      <c r="AR45" s="19"/>
      <c r="AS45" s="21"/>
      <c r="AT45" s="5"/>
      <c r="AU45" s="19"/>
      <c r="AV45" s="5"/>
      <c r="AW45" s="22"/>
      <c r="AX45" s="19"/>
      <c r="AY45" s="5"/>
      <c r="AZ45" s="19"/>
      <c r="BA45" s="5"/>
      <c r="BB45" s="5"/>
      <c r="BC45" s="19"/>
      <c r="BD45" s="19"/>
      <c r="BE45" s="19"/>
      <c r="BF45" s="19"/>
      <c r="BG45" s="19"/>
      <c r="BH45" s="19"/>
      <c r="BI45" s="19"/>
      <c r="BJ45" s="19"/>
      <c r="BK45" s="13"/>
      <c r="BL45" s="5"/>
      <c r="BM45" s="5"/>
      <c r="BN45" s="19"/>
      <c r="BO45" s="17"/>
      <c r="BP45" s="19"/>
      <c r="BQ45" s="17"/>
      <c r="BR45" s="19"/>
      <c r="BS45" s="13"/>
      <c r="BT45" s="5"/>
      <c r="BU45" s="23"/>
      <c r="BV45" s="23"/>
      <c r="BW45" s="24"/>
      <c r="BX45" s="5"/>
      <c r="BY45" s="5"/>
      <c r="BZ45" s="5"/>
      <c r="CA45" s="24"/>
      <c r="CB45" s="24"/>
      <c r="CC45" s="24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>
        <f t="shared" si="4"/>
        <v>560</v>
      </c>
      <c r="CV45" s="25">
        <f t="shared" si="5"/>
        <v>0</v>
      </c>
    </row>
    <row r="46" spans="1:100" x14ac:dyDescent="0.2">
      <c r="A46" s="2"/>
      <c r="B46" s="3"/>
      <c r="C46" s="4"/>
      <c r="D46" s="5"/>
      <c r="E46" s="6"/>
      <c r="F46" s="7"/>
      <c r="G46" s="8"/>
      <c r="H46" s="9"/>
      <c r="I46" s="10"/>
      <c r="J46" s="11" t="s">
        <v>337</v>
      </c>
      <c r="K46" s="12">
        <v>6.45</v>
      </c>
      <c r="L46" s="13">
        <v>44</v>
      </c>
      <c r="M46" s="14">
        <f t="shared" si="73"/>
        <v>283.8</v>
      </c>
      <c r="N46" s="15"/>
      <c r="O46" s="16" t="s">
        <v>137</v>
      </c>
      <c r="P46" s="17">
        <f>M46*0.01</f>
        <v>2.8380000000000001</v>
      </c>
      <c r="Q46" s="18"/>
      <c r="R46" s="17">
        <f t="shared" ref="R46:R65" si="74">M46+P46-Q46</f>
        <v>286.63800000000003</v>
      </c>
      <c r="S46" s="19"/>
      <c r="T46" s="19"/>
      <c r="U46" s="19"/>
      <c r="V46" s="19"/>
      <c r="W46" s="17"/>
      <c r="X46" s="20"/>
      <c r="Y46" s="19"/>
      <c r="Z46" s="19"/>
      <c r="AA46" s="19"/>
      <c r="AB46" s="19"/>
      <c r="AC46" s="19"/>
      <c r="AD46" s="19"/>
      <c r="AE46" s="5"/>
      <c r="AF46" s="19"/>
      <c r="AG46" s="5"/>
      <c r="AH46" s="17"/>
      <c r="AI46" s="19"/>
      <c r="AJ46" s="19"/>
      <c r="AK46" s="19"/>
      <c r="AL46" s="19"/>
      <c r="AM46" s="17"/>
      <c r="AN46" s="19"/>
      <c r="AO46" s="19"/>
      <c r="AP46" s="19"/>
      <c r="AQ46" s="19"/>
      <c r="AR46" s="19"/>
      <c r="AS46" s="21"/>
      <c r="AT46" s="5"/>
      <c r="AU46" s="19"/>
      <c r="AV46" s="5"/>
      <c r="AW46" s="22"/>
      <c r="AX46" s="19"/>
      <c r="AY46" s="5"/>
      <c r="AZ46" s="19"/>
      <c r="BA46" s="5"/>
      <c r="BB46" s="5"/>
      <c r="BC46" s="19"/>
      <c r="BD46" s="19"/>
      <c r="BE46" s="19"/>
      <c r="BF46" s="19"/>
      <c r="BG46" s="19"/>
      <c r="BH46" s="19"/>
      <c r="BI46" s="19"/>
      <c r="BJ46" s="19"/>
      <c r="BK46" s="13"/>
      <c r="BL46" s="5"/>
      <c r="BM46" s="5"/>
      <c r="BN46" s="19"/>
      <c r="BO46" s="17"/>
      <c r="BP46" s="19"/>
      <c r="BQ46" s="17"/>
      <c r="BR46" s="19"/>
      <c r="BS46" s="13"/>
      <c r="BT46" s="5"/>
      <c r="BU46" s="23"/>
      <c r="BV46" s="23"/>
      <c r="BW46" s="24"/>
      <c r="BX46" s="5"/>
      <c r="BY46" s="5"/>
      <c r="BZ46" s="5"/>
      <c r="CA46" s="24"/>
      <c r="CB46" s="24"/>
      <c r="CC46" s="24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>
        <f t="shared" si="4"/>
        <v>283.8</v>
      </c>
      <c r="CV46" s="25">
        <f t="shared" si="5"/>
        <v>0</v>
      </c>
    </row>
    <row r="47" spans="1:100" x14ac:dyDescent="0.2">
      <c r="A47" s="2"/>
      <c r="B47" s="3"/>
      <c r="C47" s="4"/>
      <c r="D47" s="5"/>
      <c r="E47" s="6"/>
      <c r="F47" s="7"/>
      <c r="G47" s="8"/>
      <c r="H47" s="9"/>
      <c r="I47" s="10"/>
      <c r="J47" s="11" t="s">
        <v>659</v>
      </c>
      <c r="K47" s="12">
        <v>4.585</v>
      </c>
      <c r="L47" s="13">
        <v>44</v>
      </c>
      <c r="M47" s="14">
        <f t="shared" si="73"/>
        <v>201.74</v>
      </c>
      <c r="N47" s="15"/>
      <c r="O47" s="16" t="s">
        <v>137</v>
      </c>
      <c r="P47" s="17">
        <f>M47*0.01</f>
        <v>2.0174000000000003</v>
      </c>
      <c r="Q47" s="18"/>
      <c r="R47" s="17">
        <f t="shared" si="74"/>
        <v>203.75740000000002</v>
      </c>
      <c r="S47" s="19"/>
      <c r="T47" s="19"/>
      <c r="U47" s="19"/>
      <c r="V47" s="19"/>
      <c r="W47" s="17"/>
      <c r="X47" s="20"/>
      <c r="Y47" s="19"/>
      <c r="Z47" s="19"/>
      <c r="AA47" s="19"/>
      <c r="AB47" s="19"/>
      <c r="AC47" s="19"/>
      <c r="AD47" s="19"/>
      <c r="AE47" s="5"/>
      <c r="AF47" s="19"/>
      <c r="AG47" s="5"/>
      <c r="AH47" s="17"/>
      <c r="AI47" s="19"/>
      <c r="AJ47" s="19"/>
      <c r="AK47" s="19"/>
      <c r="AL47" s="19"/>
      <c r="AM47" s="17"/>
      <c r="AN47" s="19"/>
      <c r="AO47" s="19"/>
      <c r="AP47" s="19"/>
      <c r="AQ47" s="19"/>
      <c r="AR47" s="19"/>
      <c r="AS47" s="21"/>
      <c r="AT47" s="5"/>
      <c r="AU47" s="19"/>
      <c r="AV47" s="5"/>
      <c r="AW47" s="22"/>
      <c r="AX47" s="19"/>
      <c r="AY47" s="5"/>
      <c r="AZ47" s="19"/>
      <c r="BA47" s="5"/>
      <c r="BB47" s="5"/>
      <c r="BC47" s="19"/>
      <c r="BD47" s="19"/>
      <c r="BE47" s="19"/>
      <c r="BF47" s="19"/>
      <c r="BG47" s="19"/>
      <c r="BH47" s="19"/>
      <c r="BI47" s="19"/>
      <c r="BJ47" s="19"/>
      <c r="BK47" s="13"/>
      <c r="BL47" s="5"/>
      <c r="BM47" s="5"/>
      <c r="BN47" s="19"/>
      <c r="BO47" s="17"/>
      <c r="BP47" s="19"/>
      <c r="BQ47" s="17"/>
      <c r="BR47" s="19"/>
      <c r="BS47" s="13"/>
      <c r="BT47" s="5"/>
      <c r="BU47" s="23"/>
      <c r="BV47" s="23"/>
      <c r="BW47" s="24"/>
      <c r="BX47" s="5"/>
      <c r="BY47" s="5"/>
      <c r="BZ47" s="5"/>
      <c r="CA47" s="24"/>
      <c r="CB47" s="24"/>
      <c r="CC47" s="24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>
        <f t="shared" si="4"/>
        <v>201.74</v>
      </c>
      <c r="CV47" s="25">
        <f t="shared" si="5"/>
        <v>0</v>
      </c>
    </row>
    <row r="48" spans="1:100" x14ac:dyDescent="0.2">
      <c r="A48" s="2"/>
      <c r="B48" s="3"/>
      <c r="C48" s="4"/>
      <c r="D48" s="5"/>
      <c r="E48" s="6"/>
      <c r="F48" s="7"/>
      <c r="G48" s="8"/>
      <c r="H48" s="9"/>
      <c r="I48" s="10"/>
      <c r="J48" s="11" t="s">
        <v>660</v>
      </c>
      <c r="K48" s="12">
        <v>14</v>
      </c>
      <c r="L48" s="13">
        <v>35.5</v>
      </c>
      <c r="M48" s="14">
        <f t="shared" si="73"/>
        <v>497</v>
      </c>
      <c r="N48" s="15"/>
      <c r="O48" s="16" t="s">
        <v>111</v>
      </c>
      <c r="P48" s="17">
        <f t="shared" ref="P48:P62" si="75">M48/1.12*0.01</f>
        <v>4.4374999999999991</v>
      </c>
      <c r="Q48" s="18">
        <f t="shared" ref="Q48:Q62" si="76">M48/1.12*0.12</f>
        <v>53.249999999999993</v>
      </c>
      <c r="R48" s="17">
        <f t="shared" si="74"/>
        <v>448.1875</v>
      </c>
      <c r="S48" s="19"/>
      <c r="T48" s="19"/>
      <c r="U48" s="19"/>
      <c r="V48" s="19"/>
      <c r="W48" s="17"/>
      <c r="X48" s="20"/>
      <c r="Y48" s="19"/>
      <c r="Z48" s="19"/>
      <c r="AA48" s="19"/>
      <c r="AB48" s="19"/>
      <c r="AC48" s="19"/>
      <c r="AD48" s="19"/>
      <c r="AE48" s="5"/>
      <c r="AF48" s="19"/>
      <c r="AG48" s="5"/>
      <c r="AH48" s="17"/>
      <c r="AI48" s="19"/>
      <c r="AJ48" s="19"/>
      <c r="AK48" s="19"/>
      <c r="AL48" s="19"/>
      <c r="AM48" s="17"/>
      <c r="AN48" s="19"/>
      <c r="AO48" s="19"/>
      <c r="AP48" s="19"/>
      <c r="AQ48" s="19"/>
      <c r="AR48" s="19"/>
      <c r="AS48" s="21"/>
      <c r="AT48" s="5"/>
      <c r="AU48" s="19"/>
      <c r="AV48" s="5"/>
      <c r="AW48" s="22"/>
      <c r="AX48" s="19"/>
      <c r="AY48" s="5"/>
      <c r="AZ48" s="19"/>
      <c r="BA48" s="5"/>
      <c r="BB48" s="5"/>
      <c r="BC48" s="19"/>
      <c r="BD48" s="19"/>
      <c r="BE48" s="19"/>
      <c r="BF48" s="19"/>
      <c r="BG48" s="19"/>
      <c r="BH48" s="19"/>
      <c r="BI48" s="19"/>
      <c r="BJ48" s="19"/>
      <c r="BK48" s="13"/>
      <c r="BL48" s="5"/>
      <c r="BM48" s="5"/>
      <c r="BN48" s="19"/>
      <c r="BO48" s="17"/>
      <c r="BP48" s="19"/>
      <c r="BQ48" s="17"/>
      <c r="BR48" s="19"/>
      <c r="BS48" s="13"/>
      <c r="BT48" s="5"/>
      <c r="BU48" s="23"/>
      <c r="BV48" s="23"/>
      <c r="BW48" s="24"/>
      <c r="BX48" s="5"/>
      <c r="BY48" s="5"/>
      <c r="BZ48" s="5"/>
      <c r="CA48" s="24"/>
      <c r="CB48" s="24"/>
      <c r="CC48" s="24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>
        <f t="shared" si="4"/>
        <v>497</v>
      </c>
      <c r="CV48" s="25">
        <f t="shared" si="5"/>
        <v>0</v>
      </c>
    </row>
    <row r="49" spans="1:100" x14ac:dyDescent="0.2">
      <c r="A49" s="2"/>
      <c r="B49" s="3"/>
      <c r="C49" s="4"/>
      <c r="D49" s="5"/>
      <c r="E49" s="6"/>
      <c r="F49" s="7"/>
      <c r="G49" s="8"/>
      <c r="H49" s="9"/>
      <c r="I49" s="10"/>
      <c r="J49" s="11" t="s">
        <v>360</v>
      </c>
      <c r="K49" s="12">
        <v>1</v>
      </c>
      <c r="L49" s="13">
        <v>30.25</v>
      </c>
      <c r="M49" s="14">
        <f t="shared" si="73"/>
        <v>30.25</v>
      </c>
      <c r="N49" s="15"/>
      <c r="O49" s="16" t="s">
        <v>111</v>
      </c>
      <c r="P49" s="17">
        <f t="shared" si="75"/>
        <v>0.2700892857142857</v>
      </c>
      <c r="Q49" s="18">
        <f t="shared" si="76"/>
        <v>3.2410714285714284</v>
      </c>
      <c r="R49" s="17">
        <f t="shared" si="74"/>
        <v>27.279017857142858</v>
      </c>
      <c r="S49" s="19"/>
      <c r="T49" s="19"/>
      <c r="U49" s="19"/>
      <c r="V49" s="19"/>
      <c r="W49" s="17"/>
      <c r="X49" s="20"/>
      <c r="Y49" s="19"/>
      <c r="Z49" s="19"/>
      <c r="AA49" s="19"/>
      <c r="AB49" s="19"/>
      <c r="AC49" s="19"/>
      <c r="AD49" s="19"/>
      <c r="AE49" s="5"/>
      <c r="AF49" s="19"/>
      <c r="AG49" s="5"/>
      <c r="AH49" s="17"/>
      <c r="AI49" s="19"/>
      <c r="AJ49" s="19"/>
      <c r="AK49" s="19"/>
      <c r="AL49" s="19"/>
      <c r="AM49" s="17"/>
      <c r="AN49" s="19"/>
      <c r="AO49" s="19"/>
      <c r="AP49" s="19"/>
      <c r="AQ49" s="19"/>
      <c r="AR49" s="19"/>
      <c r="AS49" s="21"/>
      <c r="AT49" s="5"/>
      <c r="AU49" s="19"/>
      <c r="AV49" s="5"/>
      <c r="AW49" s="22"/>
      <c r="AX49" s="19"/>
      <c r="AY49" s="5"/>
      <c r="AZ49" s="19"/>
      <c r="BA49" s="5"/>
      <c r="BB49" s="5"/>
      <c r="BC49" s="19"/>
      <c r="BD49" s="19"/>
      <c r="BE49" s="19"/>
      <c r="BF49" s="19"/>
      <c r="BG49" s="19"/>
      <c r="BH49" s="19"/>
      <c r="BI49" s="19"/>
      <c r="BJ49" s="19"/>
      <c r="BK49" s="13"/>
      <c r="BL49" s="5"/>
      <c r="BM49" s="5"/>
      <c r="BN49" s="19"/>
      <c r="BO49" s="17"/>
      <c r="BP49" s="19"/>
      <c r="BQ49" s="17"/>
      <c r="BR49" s="19"/>
      <c r="BS49" s="13"/>
      <c r="BT49" s="5"/>
      <c r="BU49" s="23"/>
      <c r="BV49" s="23"/>
      <c r="BW49" s="24"/>
      <c r="BX49" s="5"/>
      <c r="BY49" s="5"/>
      <c r="BZ49" s="5"/>
      <c r="CA49" s="24"/>
      <c r="CB49" s="24"/>
      <c r="CC49" s="24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>
        <f t="shared" si="4"/>
        <v>30.25</v>
      </c>
      <c r="CV49" s="25">
        <f t="shared" si="5"/>
        <v>0</v>
      </c>
    </row>
    <row r="50" spans="1:100" x14ac:dyDescent="0.2">
      <c r="A50" s="2"/>
      <c r="B50" s="3"/>
      <c r="C50" s="4"/>
      <c r="D50" s="5"/>
      <c r="E50" s="6"/>
      <c r="F50" s="7"/>
      <c r="G50" s="8"/>
      <c r="H50" s="9"/>
      <c r="I50" s="10"/>
      <c r="J50" s="11" t="s">
        <v>662</v>
      </c>
      <c r="K50" s="12">
        <v>0.63</v>
      </c>
      <c r="L50" s="13">
        <v>90</v>
      </c>
      <c r="M50" s="14">
        <f t="shared" si="73"/>
        <v>56.7</v>
      </c>
      <c r="N50" s="15"/>
      <c r="O50" s="16" t="s">
        <v>137</v>
      </c>
      <c r="P50" s="17">
        <f>M50*0.01</f>
        <v>0.56700000000000006</v>
      </c>
      <c r="Q50" s="18"/>
      <c r="R50" s="17">
        <f t="shared" si="74"/>
        <v>57.267000000000003</v>
      </c>
      <c r="S50" s="19"/>
      <c r="T50" s="19"/>
      <c r="U50" s="19"/>
      <c r="V50" s="19"/>
      <c r="W50" s="17"/>
      <c r="X50" s="20"/>
      <c r="Y50" s="19"/>
      <c r="Z50" s="19"/>
      <c r="AA50" s="19"/>
      <c r="AB50" s="19"/>
      <c r="AC50" s="19"/>
      <c r="AD50" s="19"/>
      <c r="AE50" s="5"/>
      <c r="AF50" s="19"/>
      <c r="AG50" s="5"/>
      <c r="AH50" s="17"/>
      <c r="AI50" s="19"/>
      <c r="AJ50" s="19"/>
      <c r="AK50" s="19"/>
      <c r="AL50" s="19"/>
      <c r="AM50" s="17"/>
      <c r="AN50" s="19"/>
      <c r="AO50" s="19"/>
      <c r="AP50" s="19"/>
      <c r="AQ50" s="19"/>
      <c r="AR50" s="19"/>
      <c r="AS50" s="21"/>
      <c r="AT50" s="5"/>
      <c r="AU50" s="19"/>
      <c r="AV50" s="5"/>
      <c r="AW50" s="22"/>
      <c r="AX50" s="19"/>
      <c r="AY50" s="5"/>
      <c r="AZ50" s="19"/>
      <c r="BA50" s="5"/>
      <c r="BB50" s="5"/>
      <c r="BC50" s="19"/>
      <c r="BD50" s="19"/>
      <c r="BE50" s="19"/>
      <c r="BF50" s="19"/>
      <c r="BG50" s="19"/>
      <c r="BH50" s="19"/>
      <c r="BI50" s="19"/>
      <c r="BJ50" s="19"/>
      <c r="BK50" s="13"/>
      <c r="BL50" s="5"/>
      <c r="BM50" s="5"/>
      <c r="BN50" s="19"/>
      <c r="BO50" s="17"/>
      <c r="BP50" s="19"/>
      <c r="BQ50" s="17"/>
      <c r="BR50" s="19"/>
      <c r="BS50" s="13"/>
      <c r="BT50" s="5"/>
      <c r="BU50" s="23"/>
      <c r="BV50" s="23"/>
      <c r="BW50" s="24"/>
      <c r="BX50" s="5"/>
      <c r="BY50" s="5"/>
      <c r="BZ50" s="5"/>
      <c r="CA50" s="24"/>
      <c r="CB50" s="24"/>
      <c r="CC50" s="24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>
        <f t="shared" si="4"/>
        <v>56.7</v>
      </c>
      <c r="CV50" s="25">
        <f t="shared" si="5"/>
        <v>0</v>
      </c>
    </row>
    <row r="51" spans="1:100" x14ac:dyDescent="0.2">
      <c r="A51" s="2"/>
      <c r="B51" s="3"/>
      <c r="C51" s="4"/>
      <c r="D51" s="5"/>
      <c r="E51" s="6"/>
      <c r="F51" s="7"/>
      <c r="G51" s="8"/>
      <c r="H51" s="9"/>
      <c r="I51" s="10"/>
      <c r="J51" s="11" t="s">
        <v>662</v>
      </c>
      <c r="K51" s="12">
        <v>0.59499999999999997</v>
      </c>
      <c r="L51" s="13">
        <v>90</v>
      </c>
      <c r="M51" s="14">
        <f t="shared" si="73"/>
        <v>53.55</v>
      </c>
      <c r="N51" s="15"/>
      <c r="O51" s="16" t="s">
        <v>137</v>
      </c>
      <c r="P51" s="17">
        <f>M51*0.01</f>
        <v>0.53549999999999998</v>
      </c>
      <c r="Q51" s="18"/>
      <c r="R51" s="17">
        <f t="shared" si="74"/>
        <v>54.085499999999996</v>
      </c>
      <c r="S51" s="19"/>
      <c r="T51" s="19"/>
      <c r="U51" s="19"/>
      <c r="V51" s="19"/>
      <c r="W51" s="17"/>
      <c r="X51" s="20"/>
      <c r="Y51" s="19"/>
      <c r="Z51" s="19"/>
      <c r="AA51" s="19"/>
      <c r="AB51" s="19"/>
      <c r="AC51" s="19"/>
      <c r="AD51" s="19"/>
      <c r="AE51" s="5"/>
      <c r="AF51" s="19"/>
      <c r="AG51" s="5"/>
      <c r="AH51" s="17"/>
      <c r="AI51" s="19"/>
      <c r="AJ51" s="19"/>
      <c r="AK51" s="19"/>
      <c r="AL51" s="19"/>
      <c r="AM51" s="17"/>
      <c r="AN51" s="19"/>
      <c r="AO51" s="19"/>
      <c r="AP51" s="19"/>
      <c r="AQ51" s="19"/>
      <c r="AR51" s="19"/>
      <c r="AS51" s="21"/>
      <c r="AT51" s="5"/>
      <c r="AU51" s="19"/>
      <c r="AV51" s="5"/>
      <c r="AW51" s="22"/>
      <c r="AX51" s="19"/>
      <c r="AY51" s="5"/>
      <c r="AZ51" s="19"/>
      <c r="BA51" s="5"/>
      <c r="BB51" s="5"/>
      <c r="BC51" s="19"/>
      <c r="BD51" s="19"/>
      <c r="BE51" s="19"/>
      <c r="BF51" s="19"/>
      <c r="BG51" s="19"/>
      <c r="BH51" s="19"/>
      <c r="BI51" s="19"/>
      <c r="BJ51" s="19"/>
      <c r="BK51" s="13"/>
      <c r="BL51" s="5"/>
      <c r="BM51" s="5"/>
      <c r="BN51" s="19"/>
      <c r="BO51" s="17"/>
      <c r="BP51" s="19"/>
      <c r="BQ51" s="17"/>
      <c r="BR51" s="19"/>
      <c r="BS51" s="13"/>
      <c r="BT51" s="5"/>
      <c r="BU51" s="23"/>
      <c r="BV51" s="23"/>
      <c r="BW51" s="24"/>
      <c r="BX51" s="5"/>
      <c r="BY51" s="5"/>
      <c r="BZ51" s="5"/>
      <c r="CA51" s="24"/>
      <c r="CB51" s="24"/>
      <c r="CC51" s="24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>
        <f t="shared" si="4"/>
        <v>53.55</v>
      </c>
      <c r="CV51" s="25">
        <f t="shared" si="5"/>
        <v>0</v>
      </c>
    </row>
    <row r="52" spans="1:100" x14ac:dyDescent="0.2">
      <c r="A52" s="2"/>
      <c r="B52" s="3"/>
      <c r="C52" s="4"/>
      <c r="D52" s="5"/>
      <c r="E52" s="6"/>
      <c r="F52" s="7"/>
      <c r="G52" s="8"/>
      <c r="H52" s="9"/>
      <c r="I52" s="10"/>
      <c r="J52" s="11" t="s">
        <v>662</v>
      </c>
      <c r="K52" s="12">
        <v>0.5</v>
      </c>
      <c r="L52" s="13">
        <v>90</v>
      </c>
      <c r="M52" s="14">
        <f t="shared" si="73"/>
        <v>45</v>
      </c>
      <c r="N52" s="15"/>
      <c r="O52" s="16" t="s">
        <v>137</v>
      </c>
      <c r="P52" s="17">
        <f>M52*0.01</f>
        <v>0.45</v>
      </c>
      <c r="Q52" s="18"/>
      <c r="R52" s="17">
        <f t="shared" si="74"/>
        <v>45.45</v>
      </c>
      <c r="S52" s="19"/>
      <c r="T52" s="19"/>
      <c r="U52" s="19"/>
      <c r="V52" s="19"/>
      <c r="W52" s="17"/>
      <c r="X52" s="20"/>
      <c r="Y52" s="19"/>
      <c r="Z52" s="19"/>
      <c r="AA52" s="19"/>
      <c r="AB52" s="19"/>
      <c r="AC52" s="19"/>
      <c r="AD52" s="19"/>
      <c r="AE52" s="5"/>
      <c r="AF52" s="19"/>
      <c r="AG52" s="5"/>
      <c r="AH52" s="17"/>
      <c r="AI52" s="19"/>
      <c r="AJ52" s="19"/>
      <c r="AK52" s="19"/>
      <c r="AL52" s="19"/>
      <c r="AM52" s="17"/>
      <c r="AN52" s="19"/>
      <c r="AO52" s="19"/>
      <c r="AP52" s="19"/>
      <c r="AQ52" s="19"/>
      <c r="AR52" s="19"/>
      <c r="AS52" s="21"/>
      <c r="AT52" s="5"/>
      <c r="AU52" s="19"/>
      <c r="AV52" s="5"/>
      <c r="AW52" s="22"/>
      <c r="AX52" s="19"/>
      <c r="AY52" s="5"/>
      <c r="AZ52" s="19"/>
      <c r="BA52" s="5"/>
      <c r="BB52" s="5"/>
      <c r="BC52" s="19"/>
      <c r="BD52" s="19"/>
      <c r="BE52" s="19"/>
      <c r="BF52" s="19"/>
      <c r="BG52" s="19"/>
      <c r="BH52" s="19"/>
      <c r="BI52" s="19"/>
      <c r="BJ52" s="19"/>
      <c r="BK52" s="13"/>
      <c r="BL52" s="5"/>
      <c r="BM52" s="5"/>
      <c r="BN52" s="19"/>
      <c r="BO52" s="17"/>
      <c r="BP52" s="19"/>
      <c r="BQ52" s="17"/>
      <c r="BR52" s="19"/>
      <c r="BS52" s="13"/>
      <c r="BT52" s="5"/>
      <c r="BU52" s="23"/>
      <c r="BV52" s="23"/>
      <c r="BW52" s="24"/>
      <c r="BX52" s="5"/>
      <c r="BY52" s="5"/>
      <c r="BZ52" s="5"/>
      <c r="CA52" s="24"/>
      <c r="CB52" s="24"/>
      <c r="CC52" s="24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>
        <f t="shared" si="4"/>
        <v>45</v>
      </c>
      <c r="CV52" s="25">
        <f t="shared" si="5"/>
        <v>0</v>
      </c>
    </row>
    <row r="53" spans="1:100" x14ac:dyDescent="0.2">
      <c r="A53" s="2"/>
      <c r="B53" s="3"/>
      <c r="C53" s="4"/>
      <c r="D53" s="5"/>
      <c r="E53" s="6"/>
      <c r="F53" s="7"/>
      <c r="G53" s="8"/>
      <c r="H53" s="9"/>
      <c r="I53" s="10"/>
      <c r="J53" s="11" t="s">
        <v>662</v>
      </c>
      <c r="K53" s="12">
        <v>0.57499999999999996</v>
      </c>
      <c r="L53" s="13">
        <v>90</v>
      </c>
      <c r="M53" s="14">
        <f t="shared" si="73"/>
        <v>51.749999999999993</v>
      </c>
      <c r="N53" s="15"/>
      <c r="O53" s="16" t="s">
        <v>137</v>
      </c>
      <c r="P53" s="17">
        <f t="shared" si="75"/>
        <v>0.46205357142857134</v>
      </c>
      <c r="Q53" s="18"/>
      <c r="R53" s="17">
        <f t="shared" si="74"/>
        <v>52.212053571428562</v>
      </c>
      <c r="S53" s="19"/>
      <c r="T53" s="19"/>
      <c r="U53" s="19"/>
      <c r="V53" s="19"/>
      <c r="W53" s="17"/>
      <c r="X53" s="20"/>
      <c r="Y53" s="19"/>
      <c r="Z53" s="19"/>
      <c r="AA53" s="19"/>
      <c r="AB53" s="19"/>
      <c r="AC53" s="19"/>
      <c r="AD53" s="19"/>
      <c r="AE53" s="5"/>
      <c r="AF53" s="19"/>
      <c r="AG53" s="5"/>
      <c r="AH53" s="17"/>
      <c r="AI53" s="19"/>
      <c r="AJ53" s="19"/>
      <c r="AK53" s="19"/>
      <c r="AL53" s="19"/>
      <c r="AM53" s="17"/>
      <c r="AN53" s="19"/>
      <c r="AO53" s="19"/>
      <c r="AP53" s="19"/>
      <c r="AQ53" s="19"/>
      <c r="AR53" s="19"/>
      <c r="AS53" s="21"/>
      <c r="AT53" s="5"/>
      <c r="AU53" s="19"/>
      <c r="AV53" s="5"/>
      <c r="AW53" s="22"/>
      <c r="AX53" s="19"/>
      <c r="AY53" s="5"/>
      <c r="AZ53" s="19"/>
      <c r="BA53" s="5"/>
      <c r="BB53" s="5"/>
      <c r="BC53" s="19"/>
      <c r="BD53" s="19"/>
      <c r="BE53" s="19"/>
      <c r="BF53" s="19"/>
      <c r="BG53" s="19"/>
      <c r="BH53" s="19"/>
      <c r="BI53" s="19"/>
      <c r="BJ53" s="19"/>
      <c r="BK53" s="13"/>
      <c r="BL53" s="5"/>
      <c r="BM53" s="5"/>
      <c r="BN53" s="19"/>
      <c r="BO53" s="17"/>
      <c r="BP53" s="19"/>
      <c r="BQ53" s="17"/>
      <c r="BR53" s="19"/>
      <c r="BS53" s="13"/>
      <c r="BT53" s="5"/>
      <c r="BU53" s="23"/>
      <c r="BV53" s="23"/>
      <c r="BW53" s="24"/>
      <c r="BX53" s="5"/>
      <c r="BY53" s="5"/>
      <c r="BZ53" s="5"/>
      <c r="CA53" s="24"/>
      <c r="CB53" s="24"/>
      <c r="CC53" s="24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>
        <f t="shared" si="4"/>
        <v>51.749999999999993</v>
      </c>
      <c r="CV53" s="25">
        <f t="shared" si="5"/>
        <v>0</v>
      </c>
    </row>
    <row r="54" spans="1:100" x14ac:dyDescent="0.2">
      <c r="A54" s="2"/>
      <c r="B54" s="3"/>
      <c r="C54" s="4"/>
      <c r="D54" s="5"/>
      <c r="E54" s="6"/>
      <c r="F54" s="7"/>
      <c r="G54" s="8"/>
      <c r="H54" s="9"/>
      <c r="I54" s="10"/>
      <c r="J54" s="11" t="s">
        <v>662</v>
      </c>
      <c r="K54" s="12">
        <v>0.59499999999999997</v>
      </c>
      <c r="L54" s="13">
        <v>90</v>
      </c>
      <c r="M54" s="14">
        <f t="shared" si="73"/>
        <v>53.55</v>
      </c>
      <c r="N54" s="15"/>
      <c r="O54" s="16" t="s">
        <v>137</v>
      </c>
      <c r="P54" s="17">
        <f t="shared" ref="P54:P59" si="77">M54*0.01</f>
        <v>0.53549999999999998</v>
      </c>
      <c r="Q54" s="18"/>
      <c r="R54" s="17">
        <f t="shared" si="74"/>
        <v>54.085499999999996</v>
      </c>
      <c r="S54" s="19"/>
      <c r="T54" s="19"/>
      <c r="U54" s="19"/>
      <c r="V54" s="19"/>
      <c r="W54" s="17"/>
      <c r="X54" s="20"/>
      <c r="Y54" s="19"/>
      <c r="Z54" s="19"/>
      <c r="AA54" s="19"/>
      <c r="AB54" s="19"/>
      <c r="AC54" s="19"/>
      <c r="AD54" s="19"/>
      <c r="AE54" s="5"/>
      <c r="AF54" s="19"/>
      <c r="AG54" s="5"/>
      <c r="AH54" s="17"/>
      <c r="AI54" s="19"/>
      <c r="AJ54" s="19"/>
      <c r="AK54" s="19"/>
      <c r="AL54" s="19"/>
      <c r="AM54" s="17"/>
      <c r="AN54" s="19"/>
      <c r="AO54" s="19"/>
      <c r="AP54" s="19"/>
      <c r="AQ54" s="19"/>
      <c r="AR54" s="19"/>
      <c r="AS54" s="21"/>
      <c r="AT54" s="5"/>
      <c r="AU54" s="19"/>
      <c r="AV54" s="5"/>
      <c r="AW54" s="22"/>
      <c r="AX54" s="19"/>
      <c r="AY54" s="5"/>
      <c r="AZ54" s="19"/>
      <c r="BA54" s="5"/>
      <c r="BB54" s="5"/>
      <c r="BC54" s="19"/>
      <c r="BD54" s="19"/>
      <c r="BE54" s="19"/>
      <c r="BF54" s="19"/>
      <c r="BG54" s="19"/>
      <c r="BH54" s="19"/>
      <c r="BI54" s="19"/>
      <c r="BJ54" s="19"/>
      <c r="BK54" s="13"/>
      <c r="BL54" s="5"/>
      <c r="BM54" s="5"/>
      <c r="BN54" s="19"/>
      <c r="BO54" s="17"/>
      <c r="BP54" s="19"/>
      <c r="BQ54" s="17"/>
      <c r="BR54" s="19"/>
      <c r="BS54" s="13"/>
      <c r="BT54" s="5"/>
      <c r="BU54" s="23"/>
      <c r="BV54" s="23"/>
      <c r="BW54" s="24"/>
      <c r="BX54" s="5"/>
      <c r="BY54" s="5"/>
      <c r="BZ54" s="5"/>
      <c r="CA54" s="24"/>
      <c r="CB54" s="24"/>
      <c r="CC54" s="24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>
        <f t="shared" si="4"/>
        <v>53.55</v>
      </c>
      <c r="CV54" s="25">
        <f t="shared" si="5"/>
        <v>0</v>
      </c>
    </row>
    <row r="55" spans="1:100" x14ac:dyDescent="0.2">
      <c r="A55" s="2"/>
      <c r="B55" s="3"/>
      <c r="C55" s="4"/>
      <c r="D55" s="5"/>
      <c r="E55" s="6"/>
      <c r="F55" s="7"/>
      <c r="G55" s="8"/>
      <c r="H55" s="9"/>
      <c r="I55" s="10"/>
      <c r="J55" s="11" t="s">
        <v>662</v>
      </c>
      <c r="K55" s="12">
        <v>0.58499999999999996</v>
      </c>
      <c r="L55" s="13">
        <v>90</v>
      </c>
      <c r="M55" s="14">
        <f t="shared" si="73"/>
        <v>52.65</v>
      </c>
      <c r="N55" s="15"/>
      <c r="O55" s="16" t="s">
        <v>137</v>
      </c>
      <c r="P55" s="17">
        <f t="shared" si="77"/>
        <v>0.52649999999999997</v>
      </c>
      <c r="Q55" s="18"/>
      <c r="R55" s="17">
        <f t="shared" si="74"/>
        <v>53.176499999999997</v>
      </c>
      <c r="S55" s="19"/>
      <c r="T55" s="19"/>
      <c r="U55" s="19"/>
      <c r="V55" s="19"/>
      <c r="W55" s="17"/>
      <c r="X55" s="20"/>
      <c r="Y55" s="19"/>
      <c r="Z55" s="19"/>
      <c r="AA55" s="19"/>
      <c r="AB55" s="19"/>
      <c r="AC55" s="19"/>
      <c r="AD55" s="19"/>
      <c r="AE55" s="5"/>
      <c r="AF55" s="19"/>
      <c r="AG55" s="5"/>
      <c r="AH55" s="17"/>
      <c r="AI55" s="19"/>
      <c r="AJ55" s="19"/>
      <c r="AK55" s="19"/>
      <c r="AL55" s="19"/>
      <c r="AM55" s="17"/>
      <c r="AN55" s="19"/>
      <c r="AO55" s="19"/>
      <c r="AP55" s="19"/>
      <c r="AQ55" s="19"/>
      <c r="AR55" s="19"/>
      <c r="AS55" s="21"/>
      <c r="AT55" s="5"/>
      <c r="AU55" s="19"/>
      <c r="AV55" s="5"/>
      <c r="AW55" s="22"/>
      <c r="AX55" s="19"/>
      <c r="AY55" s="5"/>
      <c r="AZ55" s="19"/>
      <c r="BA55" s="5"/>
      <c r="BB55" s="5"/>
      <c r="BC55" s="19"/>
      <c r="BD55" s="19"/>
      <c r="BE55" s="19"/>
      <c r="BF55" s="19"/>
      <c r="BG55" s="19"/>
      <c r="BH55" s="19"/>
      <c r="BI55" s="19"/>
      <c r="BJ55" s="19"/>
      <c r="BK55" s="13"/>
      <c r="BL55" s="5"/>
      <c r="BM55" s="5"/>
      <c r="BN55" s="19"/>
      <c r="BO55" s="17"/>
      <c r="BP55" s="19"/>
      <c r="BQ55" s="17"/>
      <c r="BR55" s="19"/>
      <c r="BS55" s="13"/>
      <c r="BT55" s="5"/>
      <c r="BU55" s="23"/>
      <c r="BV55" s="23"/>
      <c r="BW55" s="24"/>
      <c r="BX55" s="5"/>
      <c r="BY55" s="5"/>
      <c r="BZ55" s="5"/>
      <c r="CA55" s="24"/>
      <c r="CB55" s="24"/>
      <c r="CC55" s="24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>
        <f t="shared" si="4"/>
        <v>52.65</v>
      </c>
      <c r="CV55" s="25">
        <f t="shared" si="5"/>
        <v>0</v>
      </c>
    </row>
    <row r="56" spans="1:100" x14ac:dyDescent="0.2">
      <c r="A56" s="2"/>
      <c r="B56" s="3"/>
      <c r="C56" s="4"/>
      <c r="D56" s="5"/>
      <c r="E56" s="6"/>
      <c r="F56" s="7"/>
      <c r="G56" s="8"/>
      <c r="H56" s="9"/>
      <c r="I56" s="10"/>
      <c r="J56" s="11" t="s">
        <v>663</v>
      </c>
      <c r="K56" s="12">
        <v>3.15</v>
      </c>
      <c r="L56" s="13">
        <v>159</v>
      </c>
      <c r="M56" s="14">
        <f t="shared" si="73"/>
        <v>500.84999999999997</v>
      </c>
      <c r="N56" s="15"/>
      <c r="O56" s="16" t="s">
        <v>137</v>
      </c>
      <c r="P56" s="17">
        <f t="shared" si="77"/>
        <v>5.0084999999999997</v>
      </c>
      <c r="Q56" s="18"/>
      <c r="R56" s="17">
        <f t="shared" si="74"/>
        <v>505.85849999999999</v>
      </c>
      <c r="S56" s="19"/>
      <c r="T56" s="19"/>
      <c r="U56" s="19"/>
      <c r="V56" s="19"/>
      <c r="W56" s="17"/>
      <c r="X56" s="20"/>
      <c r="Y56" s="19"/>
      <c r="Z56" s="19"/>
      <c r="AA56" s="19"/>
      <c r="AB56" s="19"/>
      <c r="AC56" s="19"/>
      <c r="AD56" s="19"/>
      <c r="AE56" s="5"/>
      <c r="AF56" s="19"/>
      <c r="AG56" s="5"/>
      <c r="AH56" s="17"/>
      <c r="AI56" s="19"/>
      <c r="AJ56" s="19"/>
      <c r="AK56" s="19"/>
      <c r="AL56" s="19"/>
      <c r="AM56" s="17"/>
      <c r="AN56" s="19"/>
      <c r="AO56" s="19"/>
      <c r="AP56" s="19"/>
      <c r="AQ56" s="19"/>
      <c r="AR56" s="19"/>
      <c r="AS56" s="21"/>
      <c r="AT56" s="5"/>
      <c r="AU56" s="19"/>
      <c r="AV56" s="5"/>
      <c r="AW56" s="22"/>
      <c r="AX56" s="19"/>
      <c r="AY56" s="5"/>
      <c r="AZ56" s="19"/>
      <c r="BA56" s="5"/>
      <c r="BB56" s="5"/>
      <c r="BC56" s="19"/>
      <c r="BD56" s="19"/>
      <c r="BE56" s="19"/>
      <c r="BF56" s="19"/>
      <c r="BG56" s="19"/>
      <c r="BH56" s="19"/>
      <c r="BI56" s="19"/>
      <c r="BJ56" s="19"/>
      <c r="BK56" s="13"/>
      <c r="BL56" s="5"/>
      <c r="BM56" s="5"/>
      <c r="BN56" s="19"/>
      <c r="BO56" s="17"/>
      <c r="BP56" s="19"/>
      <c r="BQ56" s="17"/>
      <c r="BR56" s="19"/>
      <c r="BS56" s="13"/>
      <c r="BT56" s="5"/>
      <c r="BU56" s="23"/>
      <c r="BV56" s="23"/>
      <c r="BW56" s="24"/>
      <c r="BX56" s="5"/>
      <c r="BY56" s="5"/>
      <c r="BZ56" s="5"/>
      <c r="CA56" s="24"/>
      <c r="CB56" s="24"/>
      <c r="CC56" s="24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>
        <f t="shared" si="4"/>
        <v>500.84999999999997</v>
      </c>
      <c r="CV56" s="25">
        <f t="shared" si="5"/>
        <v>0</v>
      </c>
    </row>
    <row r="57" spans="1:100" x14ac:dyDescent="0.2">
      <c r="A57" s="2"/>
      <c r="B57" s="3"/>
      <c r="C57" s="4"/>
      <c r="D57" s="5"/>
      <c r="E57" s="6"/>
      <c r="F57" s="7"/>
      <c r="G57" s="8"/>
      <c r="H57" s="9"/>
      <c r="I57" s="10"/>
      <c r="J57" s="11" t="s">
        <v>663</v>
      </c>
      <c r="K57" s="12">
        <v>2.71</v>
      </c>
      <c r="L57" s="13">
        <v>159</v>
      </c>
      <c r="M57" s="14">
        <f t="shared" si="73"/>
        <v>430.89</v>
      </c>
      <c r="N57" s="15"/>
      <c r="O57" s="16" t="s">
        <v>137</v>
      </c>
      <c r="P57" s="17">
        <f t="shared" si="77"/>
        <v>4.3089000000000004</v>
      </c>
      <c r="Q57" s="18"/>
      <c r="R57" s="17">
        <f t="shared" si="74"/>
        <v>435.19889999999998</v>
      </c>
      <c r="S57" s="19"/>
      <c r="T57" s="19"/>
      <c r="U57" s="19"/>
      <c r="V57" s="19"/>
      <c r="W57" s="17"/>
      <c r="X57" s="20"/>
      <c r="Y57" s="19"/>
      <c r="Z57" s="19"/>
      <c r="AA57" s="19"/>
      <c r="AB57" s="19"/>
      <c r="AC57" s="19"/>
      <c r="AD57" s="19"/>
      <c r="AE57" s="5"/>
      <c r="AF57" s="19"/>
      <c r="AG57" s="5"/>
      <c r="AH57" s="17"/>
      <c r="AI57" s="19"/>
      <c r="AJ57" s="19"/>
      <c r="AK57" s="19"/>
      <c r="AL57" s="19"/>
      <c r="AM57" s="17"/>
      <c r="AN57" s="19"/>
      <c r="AO57" s="19"/>
      <c r="AP57" s="19"/>
      <c r="AQ57" s="19"/>
      <c r="AR57" s="19"/>
      <c r="AS57" s="21"/>
      <c r="AT57" s="5"/>
      <c r="AU57" s="19"/>
      <c r="AV57" s="5"/>
      <c r="AW57" s="22"/>
      <c r="AX57" s="19"/>
      <c r="AY57" s="5"/>
      <c r="AZ57" s="19"/>
      <c r="BA57" s="5"/>
      <c r="BB57" s="5"/>
      <c r="BC57" s="19"/>
      <c r="BD57" s="19"/>
      <c r="BE57" s="19"/>
      <c r="BF57" s="19"/>
      <c r="BG57" s="19"/>
      <c r="BH57" s="19"/>
      <c r="BI57" s="19"/>
      <c r="BJ57" s="19"/>
      <c r="BK57" s="13"/>
      <c r="BL57" s="5"/>
      <c r="BM57" s="5"/>
      <c r="BN57" s="19"/>
      <c r="BO57" s="17"/>
      <c r="BP57" s="19"/>
      <c r="BQ57" s="17"/>
      <c r="BR57" s="19"/>
      <c r="BS57" s="13"/>
      <c r="BT57" s="5"/>
      <c r="BU57" s="23"/>
      <c r="BV57" s="23"/>
      <c r="BW57" s="24"/>
      <c r="BX57" s="5"/>
      <c r="BY57" s="5"/>
      <c r="BZ57" s="5"/>
      <c r="CA57" s="24"/>
      <c r="CB57" s="24"/>
      <c r="CC57" s="24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>
        <f t="shared" si="4"/>
        <v>430.89</v>
      </c>
      <c r="CV57" s="25">
        <f t="shared" si="5"/>
        <v>0</v>
      </c>
    </row>
    <row r="58" spans="1:100" x14ac:dyDescent="0.2">
      <c r="A58" s="2"/>
      <c r="B58" s="3"/>
      <c r="C58" s="4"/>
      <c r="D58" s="5"/>
      <c r="E58" s="6"/>
      <c r="F58" s="7"/>
      <c r="G58" s="8"/>
      <c r="H58" s="9"/>
      <c r="I58" s="10"/>
      <c r="J58" s="11" t="s">
        <v>664</v>
      </c>
      <c r="K58" s="12">
        <v>0.32</v>
      </c>
      <c r="L58" s="13">
        <v>245</v>
      </c>
      <c r="M58" s="14">
        <f t="shared" si="73"/>
        <v>78.400000000000006</v>
      </c>
      <c r="N58" s="15"/>
      <c r="O58" s="16" t="s">
        <v>137</v>
      </c>
      <c r="P58" s="17">
        <f t="shared" si="77"/>
        <v>0.78400000000000003</v>
      </c>
      <c r="Q58" s="18"/>
      <c r="R58" s="17">
        <f t="shared" si="74"/>
        <v>79.184000000000012</v>
      </c>
      <c r="S58" s="19"/>
      <c r="T58" s="19"/>
      <c r="U58" s="19"/>
      <c r="V58" s="19"/>
      <c r="W58" s="17"/>
      <c r="X58" s="20"/>
      <c r="Y58" s="19"/>
      <c r="Z58" s="19"/>
      <c r="AA58" s="19"/>
      <c r="AB58" s="19"/>
      <c r="AC58" s="19"/>
      <c r="AD58" s="19"/>
      <c r="AE58" s="5"/>
      <c r="AF58" s="19"/>
      <c r="AG58" s="5"/>
      <c r="AH58" s="17"/>
      <c r="AI58" s="19"/>
      <c r="AJ58" s="19"/>
      <c r="AK58" s="19"/>
      <c r="AL58" s="19"/>
      <c r="AM58" s="17"/>
      <c r="AN58" s="19"/>
      <c r="AO58" s="19"/>
      <c r="AP58" s="19"/>
      <c r="AQ58" s="19"/>
      <c r="AR58" s="19"/>
      <c r="AS58" s="21"/>
      <c r="AT58" s="5"/>
      <c r="AU58" s="19"/>
      <c r="AV58" s="5"/>
      <c r="AW58" s="22"/>
      <c r="AX58" s="19"/>
      <c r="AY58" s="5"/>
      <c r="AZ58" s="19"/>
      <c r="BA58" s="5"/>
      <c r="BB58" s="5"/>
      <c r="BC58" s="19"/>
      <c r="BD58" s="19"/>
      <c r="BE58" s="19"/>
      <c r="BF58" s="19"/>
      <c r="BG58" s="19"/>
      <c r="BH58" s="19"/>
      <c r="BI58" s="19"/>
      <c r="BJ58" s="19"/>
      <c r="BK58" s="13"/>
      <c r="BL58" s="5"/>
      <c r="BM58" s="5"/>
      <c r="BN58" s="19"/>
      <c r="BO58" s="17"/>
      <c r="BP58" s="19"/>
      <c r="BQ58" s="17"/>
      <c r="BR58" s="19"/>
      <c r="BS58" s="13"/>
      <c r="BT58" s="5"/>
      <c r="BU58" s="23"/>
      <c r="BV58" s="23"/>
      <c r="BW58" s="24"/>
      <c r="BX58" s="5"/>
      <c r="BY58" s="5"/>
      <c r="BZ58" s="5"/>
      <c r="CA58" s="24"/>
      <c r="CB58" s="24"/>
      <c r="CC58" s="24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>
        <f t="shared" si="4"/>
        <v>78.400000000000006</v>
      </c>
      <c r="CV58" s="25">
        <f t="shared" si="5"/>
        <v>0</v>
      </c>
    </row>
    <row r="59" spans="1:100" x14ac:dyDescent="0.2">
      <c r="A59" s="2"/>
      <c r="B59" s="3"/>
      <c r="C59" s="4"/>
      <c r="D59" s="5"/>
      <c r="E59" s="6"/>
      <c r="F59" s="7"/>
      <c r="G59" s="8"/>
      <c r="H59" s="9"/>
      <c r="I59" s="10"/>
      <c r="J59" s="11" t="s">
        <v>664</v>
      </c>
      <c r="K59" s="12">
        <v>0.33500000000000002</v>
      </c>
      <c r="L59" s="13">
        <v>245</v>
      </c>
      <c r="M59" s="14">
        <f t="shared" si="73"/>
        <v>82.075000000000003</v>
      </c>
      <c r="N59" s="15"/>
      <c r="O59" s="16" t="s">
        <v>137</v>
      </c>
      <c r="P59" s="17">
        <f t="shared" si="77"/>
        <v>0.82075000000000009</v>
      </c>
      <c r="Q59" s="18"/>
      <c r="R59" s="17">
        <f t="shared" si="74"/>
        <v>82.895750000000007</v>
      </c>
      <c r="S59" s="19"/>
      <c r="T59" s="19"/>
      <c r="U59" s="19"/>
      <c r="V59" s="19"/>
      <c r="W59" s="17"/>
      <c r="X59" s="20"/>
      <c r="Y59" s="19"/>
      <c r="Z59" s="19"/>
      <c r="AA59" s="19"/>
      <c r="AB59" s="19"/>
      <c r="AC59" s="19"/>
      <c r="AD59" s="19"/>
      <c r="AE59" s="5"/>
      <c r="AF59" s="19"/>
      <c r="AG59" s="5"/>
      <c r="AH59" s="17"/>
      <c r="AI59" s="19"/>
      <c r="AJ59" s="19"/>
      <c r="AK59" s="19"/>
      <c r="AL59" s="19"/>
      <c r="AM59" s="17"/>
      <c r="AN59" s="19"/>
      <c r="AO59" s="19"/>
      <c r="AP59" s="19"/>
      <c r="AQ59" s="19"/>
      <c r="AR59" s="19"/>
      <c r="AS59" s="21"/>
      <c r="AT59" s="5"/>
      <c r="AU59" s="19"/>
      <c r="AV59" s="5"/>
      <c r="AW59" s="22"/>
      <c r="AX59" s="19"/>
      <c r="AY59" s="5"/>
      <c r="AZ59" s="19"/>
      <c r="BA59" s="5"/>
      <c r="BB59" s="5"/>
      <c r="BC59" s="19"/>
      <c r="BD59" s="19"/>
      <c r="BE59" s="19"/>
      <c r="BF59" s="19"/>
      <c r="BG59" s="19"/>
      <c r="BH59" s="19"/>
      <c r="BI59" s="19"/>
      <c r="BJ59" s="19"/>
      <c r="BK59" s="13"/>
      <c r="BL59" s="5"/>
      <c r="BM59" s="5"/>
      <c r="BN59" s="19"/>
      <c r="BO59" s="17"/>
      <c r="BP59" s="19"/>
      <c r="BQ59" s="17"/>
      <c r="BR59" s="19"/>
      <c r="BS59" s="13"/>
      <c r="BT59" s="5"/>
      <c r="BU59" s="23"/>
      <c r="BV59" s="23"/>
      <c r="BW59" s="24"/>
      <c r="BX59" s="5"/>
      <c r="BY59" s="5"/>
      <c r="BZ59" s="5"/>
      <c r="CA59" s="24"/>
      <c r="CB59" s="24"/>
      <c r="CC59" s="24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>
        <f t="shared" si="4"/>
        <v>82.075000000000003</v>
      </c>
      <c r="CV59" s="25">
        <f t="shared" si="5"/>
        <v>0</v>
      </c>
    </row>
    <row r="60" spans="1:100" x14ac:dyDescent="0.2">
      <c r="A60" s="2"/>
      <c r="B60" s="3"/>
      <c r="C60" s="4"/>
      <c r="D60" s="5"/>
      <c r="E60" s="6"/>
      <c r="F60" s="7"/>
      <c r="G60" s="8"/>
      <c r="H60" s="9"/>
      <c r="I60" s="10"/>
      <c r="J60" s="11" t="s">
        <v>665</v>
      </c>
      <c r="K60" s="12">
        <v>10</v>
      </c>
      <c r="L60" s="13">
        <v>52</v>
      </c>
      <c r="M60" s="14">
        <f t="shared" si="73"/>
        <v>520</v>
      </c>
      <c r="N60" s="15"/>
      <c r="O60" s="16" t="s">
        <v>111</v>
      </c>
      <c r="P60" s="17">
        <f t="shared" si="75"/>
        <v>4.6428571428571423</v>
      </c>
      <c r="Q60" s="18">
        <f t="shared" si="76"/>
        <v>55.714285714285701</v>
      </c>
      <c r="R60" s="17">
        <f t="shared" si="74"/>
        <v>468.92857142857139</v>
      </c>
      <c r="S60" s="19"/>
      <c r="T60" s="19"/>
      <c r="U60" s="19"/>
      <c r="V60" s="19"/>
      <c r="W60" s="17"/>
      <c r="X60" s="20"/>
      <c r="Y60" s="19"/>
      <c r="Z60" s="19"/>
      <c r="AA60" s="19"/>
      <c r="AB60" s="19"/>
      <c r="AC60" s="19"/>
      <c r="AD60" s="19"/>
      <c r="AE60" s="5"/>
      <c r="AF60" s="19"/>
      <c r="AG60" s="5"/>
      <c r="AH60" s="17"/>
      <c r="AI60" s="19"/>
      <c r="AJ60" s="19"/>
      <c r="AK60" s="19"/>
      <c r="AL60" s="19"/>
      <c r="AM60" s="17"/>
      <c r="AN60" s="19"/>
      <c r="AO60" s="19"/>
      <c r="AP60" s="19"/>
      <c r="AQ60" s="19"/>
      <c r="AR60" s="19"/>
      <c r="AS60" s="21"/>
      <c r="AT60" s="5"/>
      <c r="AU60" s="19"/>
      <c r="AV60" s="5"/>
      <c r="AW60" s="22"/>
      <c r="AX60" s="19"/>
      <c r="AY60" s="5"/>
      <c r="AZ60" s="19"/>
      <c r="BA60" s="5"/>
      <c r="BB60" s="5"/>
      <c r="BC60" s="19"/>
      <c r="BD60" s="19"/>
      <c r="BE60" s="19"/>
      <c r="BF60" s="19"/>
      <c r="BG60" s="19"/>
      <c r="BH60" s="19"/>
      <c r="BI60" s="19"/>
      <c r="BJ60" s="19"/>
      <c r="BK60" s="13"/>
      <c r="BL60" s="5"/>
      <c r="BM60" s="5"/>
      <c r="BN60" s="19"/>
      <c r="BO60" s="17"/>
      <c r="BP60" s="19"/>
      <c r="BQ60" s="17"/>
      <c r="BR60" s="19"/>
      <c r="BS60" s="13"/>
      <c r="BT60" s="5"/>
      <c r="BU60" s="23"/>
      <c r="BV60" s="23"/>
      <c r="BW60" s="24"/>
      <c r="BX60" s="5"/>
      <c r="BY60" s="5"/>
      <c r="BZ60" s="5"/>
      <c r="CA60" s="24"/>
      <c r="CB60" s="24"/>
      <c r="CC60" s="24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>
        <f t="shared" si="4"/>
        <v>520</v>
      </c>
      <c r="CV60" s="25">
        <f t="shared" si="5"/>
        <v>0</v>
      </c>
    </row>
    <row r="61" spans="1:100" x14ac:dyDescent="0.2">
      <c r="A61" s="2"/>
      <c r="B61" s="3"/>
      <c r="C61" s="4"/>
      <c r="D61" s="5"/>
      <c r="E61" s="6"/>
      <c r="F61" s="7"/>
      <c r="G61" s="8"/>
      <c r="H61" s="9"/>
      <c r="I61" s="10"/>
      <c r="J61" s="11" t="s">
        <v>666</v>
      </c>
      <c r="K61" s="12">
        <v>4</v>
      </c>
      <c r="L61" s="13">
        <v>71.5</v>
      </c>
      <c r="M61" s="14">
        <f t="shared" si="73"/>
        <v>286</v>
      </c>
      <c r="N61" s="15"/>
      <c r="O61" s="16" t="s">
        <v>111</v>
      </c>
      <c r="P61" s="17">
        <f t="shared" si="75"/>
        <v>2.5535714285714284</v>
      </c>
      <c r="Q61" s="18">
        <f t="shared" si="76"/>
        <v>30.642857142857139</v>
      </c>
      <c r="R61" s="17">
        <f t="shared" si="74"/>
        <v>257.91071428571433</v>
      </c>
      <c r="S61" s="19"/>
      <c r="T61" s="19"/>
      <c r="U61" s="19"/>
      <c r="V61" s="19"/>
      <c r="W61" s="17"/>
      <c r="X61" s="20"/>
      <c r="Y61" s="19"/>
      <c r="Z61" s="19"/>
      <c r="AA61" s="19"/>
      <c r="AB61" s="19"/>
      <c r="AC61" s="19"/>
      <c r="AD61" s="19"/>
      <c r="AE61" s="5"/>
      <c r="AF61" s="19"/>
      <c r="AG61" s="5"/>
      <c r="AH61" s="17"/>
      <c r="AI61" s="19"/>
      <c r="AJ61" s="19"/>
      <c r="AK61" s="19"/>
      <c r="AL61" s="19"/>
      <c r="AM61" s="17"/>
      <c r="AN61" s="19"/>
      <c r="AO61" s="19"/>
      <c r="AP61" s="19"/>
      <c r="AQ61" s="19"/>
      <c r="AR61" s="19"/>
      <c r="AS61" s="21"/>
      <c r="AT61" s="5"/>
      <c r="AU61" s="19"/>
      <c r="AV61" s="5"/>
      <c r="AW61" s="22"/>
      <c r="AX61" s="19"/>
      <c r="AY61" s="5"/>
      <c r="AZ61" s="19"/>
      <c r="BA61" s="5"/>
      <c r="BB61" s="5"/>
      <c r="BC61" s="19"/>
      <c r="BD61" s="19"/>
      <c r="BE61" s="19"/>
      <c r="BF61" s="19"/>
      <c r="BG61" s="19"/>
      <c r="BH61" s="19"/>
      <c r="BI61" s="19"/>
      <c r="BJ61" s="19"/>
      <c r="BK61" s="13"/>
      <c r="BL61" s="5"/>
      <c r="BM61" s="5"/>
      <c r="BN61" s="19"/>
      <c r="BO61" s="17"/>
      <c r="BP61" s="19"/>
      <c r="BQ61" s="17"/>
      <c r="BR61" s="19"/>
      <c r="BS61" s="13"/>
      <c r="BT61" s="5"/>
      <c r="BU61" s="23"/>
      <c r="BV61" s="23"/>
      <c r="BW61" s="24"/>
      <c r="BX61" s="5"/>
      <c r="BY61" s="5"/>
      <c r="BZ61" s="5"/>
      <c r="CA61" s="24"/>
      <c r="CB61" s="24"/>
      <c r="CC61" s="24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>
        <f t="shared" si="4"/>
        <v>286</v>
      </c>
      <c r="CV61" s="25">
        <f t="shared" si="5"/>
        <v>0</v>
      </c>
    </row>
    <row r="62" spans="1:100" x14ac:dyDescent="0.2">
      <c r="A62" s="2"/>
      <c r="B62" s="3"/>
      <c r="C62" s="4"/>
      <c r="D62" s="5"/>
      <c r="E62" s="6"/>
      <c r="F62" s="7"/>
      <c r="G62" s="8"/>
      <c r="H62" s="9"/>
      <c r="I62" s="10"/>
      <c r="J62" s="11" t="s">
        <v>667</v>
      </c>
      <c r="K62" s="12">
        <v>4</v>
      </c>
      <c r="L62" s="13">
        <v>80.5</v>
      </c>
      <c r="M62" s="14">
        <f t="shared" si="73"/>
        <v>322</v>
      </c>
      <c r="N62" s="15"/>
      <c r="O62" s="16" t="s">
        <v>111</v>
      </c>
      <c r="P62" s="17">
        <f t="shared" si="75"/>
        <v>2.875</v>
      </c>
      <c r="Q62" s="18">
        <f t="shared" si="76"/>
        <v>34.5</v>
      </c>
      <c r="R62" s="17">
        <f t="shared" si="74"/>
        <v>290.375</v>
      </c>
      <c r="S62" s="19"/>
      <c r="T62" s="19"/>
      <c r="U62" s="19"/>
      <c r="V62" s="19"/>
      <c r="W62" s="17"/>
      <c r="X62" s="20"/>
      <c r="Y62" s="19"/>
      <c r="Z62" s="19"/>
      <c r="AA62" s="19"/>
      <c r="AB62" s="19"/>
      <c r="AC62" s="19"/>
      <c r="AD62" s="19"/>
      <c r="AE62" s="5"/>
      <c r="AF62" s="19"/>
      <c r="AG62" s="5"/>
      <c r="AH62" s="17"/>
      <c r="AI62" s="19"/>
      <c r="AJ62" s="19"/>
      <c r="AK62" s="19"/>
      <c r="AL62" s="19"/>
      <c r="AM62" s="17"/>
      <c r="AN62" s="19"/>
      <c r="AO62" s="19"/>
      <c r="AP62" s="19"/>
      <c r="AQ62" s="19"/>
      <c r="AR62" s="19"/>
      <c r="AS62" s="21"/>
      <c r="AT62" s="5"/>
      <c r="AU62" s="19"/>
      <c r="AV62" s="5"/>
      <c r="AW62" s="22"/>
      <c r="AX62" s="19"/>
      <c r="AY62" s="5"/>
      <c r="AZ62" s="19"/>
      <c r="BA62" s="5"/>
      <c r="BB62" s="5"/>
      <c r="BC62" s="19"/>
      <c r="BD62" s="19"/>
      <c r="BE62" s="19"/>
      <c r="BF62" s="19"/>
      <c r="BG62" s="19"/>
      <c r="BH62" s="19"/>
      <c r="BI62" s="19"/>
      <c r="BJ62" s="19"/>
      <c r="BK62" s="13"/>
      <c r="BL62" s="5"/>
      <c r="BM62" s="5"/>
      <c r="BN62" s="19"/>
      <c r="BO62" s="17"/>
      <c r="BP62" s="19"/>
      <c r="BQ62" s="17"/>
      <c r="BR62" s="19"/>
      <c r="BS62" s="13"/>
      <c r="BT62" s="5"/>
      <c r="BU62" s="23"/>
      <c r="BV62" s="23"/>
      <c r="BW62" s="24"/>
      <c r="BX62" s="5"/>
      <c r="BY62" s="5"/>
      <c r="BZ62" s="5"/>
      <c r="CA62" s="24"/>
      <c r="CB62" s="24"/>
      <c r="CC62" s="24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>
        <f t="shared" si="4"/>
        <v>322</v>
      </c>
      <c r="CV62" s="25">
        <f t="shared" si="5"/>
        <v>0</v>
      </c>
    </row>
    <row r="63" spans="1:100" x14ac:dyDescent="0.2">
      <c r="A63" s="2"/>
      <c r="B63" s="3"/>
      <c r="C63" s="4"/>
      <c r="D63" s="5"/>
      <c r="E63" s="6"/>
      <c r="F63" s="7"/>
      <c r="G63" s="8"/>
      <c r="H63" s="9"/>
      <c r="I63" s="10"/>
      <c r="J63" s="11" t="s">
        <v>668</v>
      </c>
      <c r="K63" s="12">
        <v>0.995</v>
      </c>
      <c r="L63" s="13">
        <v>60</v>
      </c>
      <c r="M63" s="14">
        <f t="shared" si="73"/>
        <v>59.7</v>
      </c>
      <c r="N63" s="15"/>
      <c r="O63" s="16" t="s">
        <v>137</v>
      </c>
      <c r="P63" s="17">
        <f>M63*0.01</f>
        <v>0.59700000000000009</v>
      </c>
      <c r="Q63" s="18"/>
      <c r="R63" s="17">
        <f t="shared" si="74"/>
        <v>60.297000000000004</v>
      </c>
      <c r="S63" s="19"/>
      <c r="T63" s="19"/>
      <c r="U63" s="19"/>
      <c r="V63" s="19"/>
      <c r="W63" s="17"/>
      <c r="X63" s="20"/>
      <c r="Y63" s="19"/>
      <c r="Z63" s="19"/>
      <c r="AA63" s="19"/>
      <c r="AB63" s="19"/>
      <c r="AC63" s="19"/>
      <c r="AD63" s="19"/>
      <c r="AE63" s="5"/>
      <c r="AF63" s="19"/>
      <c r="AG63" s="5"/>
      <c r="AH63" s="17"/>
      <c r="AI63" s="19"/>
      <c r="AJ63" s="19"/>
      <c r="AK63" s="19"/>
      <c r="AL63" s="19"/>
      <c r="AM63" s="17"/>
      <c r="AN63" s="19"/>
      <c r="AO63" s="19"/>
      <c r="AP63" s="19"/>
      <c r="AQ63" s="19"/>
      <c r="AR63" s="19"/>
      <c r="AS63" s="21"/>
      <c r="AT63" s="5"/>
      <c r="AU63" s="19"/>
      <c r="AV63" s="5"/>
      <c r="AW63" s="22"/>
      <c r="AX63" s="19"/>
      <c r="AY63" s="5"/>
      <c r="AZ63" s="19"/>
      <c r="BA63" s="5"/>
      <c r="BB63" s="5"/>
      <c r="BC63" s="19"/>
      <c r="BD63" s="19"/>
      <c r="BE63" s="19"/>
      <c r="BF63" s="19"/>
      <c r="BG63" s="19"/>
      <c r="BH63" s="19"/>
      <c r="BI63" s="19"/>
      <c r="BJ63" s="19"/>
      <c r="BK63" s="13"/>
      <c r="BL63" s="5"/>
      <c r="BM63" s="5"/>
      <c r="BN63" s="19"/>
      <c r="BO63" s="17"/>
      <c r="BP63" s="19"/>
      <c r="BQ63" s="17"/>
      <c r="BR63" s="19"/>
      <c r="BS63" s="13"/>
      <c r="BT63" s="5"/>
      <c r="BU63" s="23"/>
      <c r="BV63" s="23"/>
      <c r="BW63" s="24"/>
      <c r="BX63" s="5"/>
      <c r="BY63" s="5"/>
      <c r="BZ63" s="5"/>
      <c r="CA63" s="24"/>
      <c r="CB63" s="24"/>
      <c r="CC63" s="24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>
        <f t="shared" si="4"/>
        <v>59.7</v>
      </c>
      <c r="CV63" s="25">
        <f t="shared" si="5"/>
        <v>0</v>
      </c>
    </row>
    <row r="64" spans="1:100" x14ac:dyDescent="0.2">
      <c r="A64" s="2"/>
      <c r="B64" s="3"/>
      <c r="C64" s="4"/>
      <c r="D64" s="5"/>
      <c r="E64" s="6"/>
      <c r="F64" s="7"/>
      <c r="G64" s="8"/>
      <c r="H64" s="9"/>
      <c r="I64" s="10"/>
      <c r="J64" s="11" t="s">
        <v>668</v>
      </c>
      <c r="K64" s="12">
        <v>1.085</v>
      </c>
      <c r="L64" s="13">
        <v>60</v>
      </c>
      <c r="M64" s="14">
        <f t="shared" si="73"/>
        <v>65.099999999999994</v>
      </c>
      <c r="N64" s="15"/>
      <c r="O64" s="16" t="s">
        <v>137</v>
      </c>
      <c r="P64" s="17">
        <f>M64*0.01</f>
        <v>0.65099999999999991</v>
      </c>
      <c r="Q64" s="18"/>
      <c r="R64" s="17">
        <f t="shared" si="74"/>
        <v>65.750999999999991</v>
      </c>
      <c r="S64" s="19"/>
      <c r="T64" s="19"/>
      <c r="U64" s="19"/>
      <c r="V64" s="19"/>
      <c r="W64" s="17"/>
      <c r="X64" s="20"/>
      <c r="Y64" s="19"/>
      <c r="Z64" s="19"/>
      <c r="AA64" s="19"/>
      <c r="AB64" s="19"/>
      <c r="AC64" s="19"/>
      <c r="AD64" s="19"/>
      <c r="AE64" s="5"/>
      <c r="AF64" s="19"/>
      <c r="AG64" s="5"/>
      <c r="AH64" s="17"/>
      <c r="AI64" s="19"/>
      <c r="AJ64" s="19"/>
      <c r="AK64" s="19"/>
      <c r="AL64" s="19"/>
      <c r="AM64" s="17"/>
      <c r="AN64" s="19"/>
      <c r="AO64" s="19"/>
      <c r="AP64" s="19"/>
      <c r="AQ64" s="19"/>
      <c r="AR64" s="19"/>
      <c r="AS64" s="21"/>
      <c r="AT64" s="5"/>
      <c r="AU64" s="19"/>
      <c r="AV64" s="5"/>
      <c r="AW64" s="22"/>
      <c r="AX64" s="19"/>
      <c r="AY64" s="5"/>
      <c r="AZ64" s="19"/>
      <c r="BA64" s="5"/>
      <c r="BB64" s="5"/>
      <c r="BC64" s="19"/>
      <c r="BD64" s="19"/>
      <c r="BE64" s="19"/>
      <c r="BF64" s="19"/>
      <c r="BG64" s="19"/>
      <c r="BH64" s="19"/>
      <c r="BI64" s="19"/>
      <c r="BJ64" s="19"/>
      <c r="BK64" s="13"/>
      <c r="BL64" s="5"/>
      <c r="BM64" s="5"/>
      <c r="BN64" s="19"/>
      <c r="BO64" s="17"/>
      <c r="BP64" s="19"/>
      <c r="BQ64" s="17"/>
      <c r="BR64" s="19"/>
      <c r="BS64" s="13"/>
      <c r="BT64" s="5"/>
      <c r="BU64" s="23"/>
      <c r="BV64" s="23"/>
      <c r="BW64" s="24"/>
      <c r="BX64" s="5"/>
      <c r="BY64" s="5"/>
      <c r="BZ64" s="5"/>
      <c r="CA64" s="24"/>
      <c r="CB64" s="24"/>
      <c r="CC64" s="24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>
        <f t="shared" si="4"/>
        <v>65.099999999999994</v>
      </c>
      <c r="CV64" s="25">
        <f t="shared" si="5"/>
        <v>0</v>
      </c>
    </row>
    <row r="65" spans="1:100" x14ac:dyDescent="0.2">
      <c r="A65" s="2"/>
      <c r="B65" s="3"/>
      <c r="C65" s="4"/>
      <c r="D65" s="5"/>
      <c r="E65" s="6"/>
      <c r="F65" s="7"/>
      <c r="G65" s="8"/>
      <c r="H65" s="9"/>
      <c r="I65" s="10"/>
      <c r="J65" s="11" t="s">
        <v>668</v>
      </c>
      <c r="K65" s="12">
        <v>1.155</v>
      </c>
      <c r="L65" s="13">
        <v>60</v>
      </c>
      <c r="M65" s="14">
        <f t="shared" si="73"/>
        <v>69.3</v>
      </c>
      <c r="N65" s="15"/>
      <c r="O65" s="16" t="s">
        <v>137</v>
      </c>
      <c r="P65" s="17">
        <f>M65*0.01</f>
        <v>0.69299999999999995</v>
      </c>
      <c r="Q65" s="18"/>
      <c r="R65" s="17">
        <f t="shared" si="74"/>
        <v>69.992999999999995</v>
      </c>
      <c r="S65" s="19"/>
      <c r="T65" s="19"/>
      <c r="U65" s="19"/>
      <c r="V65" s="19"/>
      <c r="W65" s="17"/>
      <c r="X65" s="20"/>
      <c r="Y65" s="19"/>
      <c r="Z65" s="19"/>
      <c r="AA65" s="19"/>
      <c r="AB65" s="19"/>
      <c r="AC65" s="19"/>
      <c r="AD65" s="19"/>
      <c r="AE65" s="5"/>
      <c r="AF65" s="19"/>
      <c r="AG65" s="5"/>
      <c r="AH65" s="17"/>
      <c r="AI65" s="19"/>
      <c r="AJ65" s="19"/>
      <c r="AK65" s="19"/>
      <c r="AL65" s="19"/>
      <c r="AM65" s="17"/>
      <c r="AN65" s="19"/>
      <c r="AO65" s="19"/>
      <c r="AP65" s="19"/>
      <c r="AQ65" s="19"/>
      <c r="AR65" s="19"/>
      <c r="AS65" s="21"/>
      <c r="AT65" s="5"/>
      <c r="AU65" s="19"/>
      <c r="AV65" s="5"/>
      <c r="AW65" s="22"/>
      <c r="AX65" s="19"/>
      <c r="AY65" s="5"/>
      <c r="AZ65" s="19"/>
      <c r="BA65" s="5"/>
      <c r="BB65" s="5"/>
      <c r="BC65" s="19"/>
      <c r="BD65" s="19"/>
      <c r="BE65" s="19"/>
      <c r="BF65" s="19"/>
      <c r="BG65" s="19"/>
      <c r="BH65" s="19"/>
      <c r="BI65" s="19"/>
      <c r="BJ65" s="19"/>
      <c r="BK65" s="13"/>
      <c r="BL65" s="5"/>
      <c r="BM65" s="5"/>
      <c r="BN65" s="19"/>
      <c r="BO65" s="17"/>
      <c r="BP65" s="19"/>
      <c r="BQ65" s="17"/>
      <c r="BR65" s="19"/>
      <c r="BS65" s="13"/>
      <c r="BT65" s="5"/>
      <c r="BU65" s="23"/>
      <c r="BV65" s="23"/>
      <c r="BW65" s="24"/>
      <c r="BX65" s="5"/>
      <c r="BY65" s="5"/>
      <c r="BZ65" s="5"/>
      <c r="CA65" s="24"/>
      <c r="CB65" s="24"/>
      <c r="CC65" s="24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>
        <f t="shared" si="4"/>
        <v>69.3</v>
      </c>
      <c r="CV65" s="25">
        <f t="shared" si="5"/>
        <v>0</v>
      </c>
    </row>
    <row r="66" spans="1:100" s="205" customFormat="1" x14ac:dyDescent="0.2">
      <c r="A66" s="192"/>
      <c r="B66" s="193"/>
      <c r="C66" s="194"/>
      <c r="D66" s="195"/>
      <c r="E66" s="196"/>
      <c r="F66" s="197"/>
      <c r="G66" s="198"/>
      <c r="H66" s="199"/>
      <c r="I66" s="199"/>
      <c r="J66" s="200"/>
      <c r="K66" s="201"/>
      <c r="L66" s="202"/>
      <c r="M66" s="203">
        <f>SUM(M45:M65)</f>
        <v>4300.3050000000003</v>
      </c>
      <c r="N66" s="203">
        <f>M66</f>
        <v>4300.3050000000003</v>
      </c>
      <c r="O66" s="204" t="s">
        <v>111</v>
      </c>
      <c r="P66" s="203">
        <f>SUM(P45:P65)</f>
        <v>41.174121428571432</v>
      </c>
      <c r="Q66" s="203">
        <f>SUM(Q45:Q65)</f>
        <v>177.34821428571428</v>
      </c>
      <c r="R66" s="203">
        <f>SUM(R45:R65)</f>
        <v>4164.1309071428577</v>
      </c>
      <c r="S66" s="203">
        <f t="shared" ref="S66:AD66" si="78">SUM(S45:S45)</f>
        <v>0</v>
      </c>
      <c r="T66" s="203">
        <f t="shared" si="78"/>
        <v>0</v>
      </c>
      <c r="U66" s="203">
        <f t="shared" si="78"/>
        <v>0</v>
      </c>
      <c r="V66" s="203">
        <f t="shared" si="78"/>
        <v>0</v>
      </c>
      <c r="W66" s="203">
        <f t="shared" si="78"/>
        <v>0</v>
      </c>
      <c r="X66" s="203">
        <f t="shared" si="78"/>
        <v>0</v>
      </c>
      <c r="Y66" s="203">
        <f t="shared" si="78"/>
        <v>0</v>
      </c>
      <c r="Z66" s="203">
        <f t="shared" si="78"/>
        <v>0</v>
      </c>
      <c r="AA66" s="203">
        <f t="shared" si="78"/>
        <v>0</v>
      </c>
      <c r="AB66" s="203">
        <f t="shared" si="78"/>
        <v>0</v>
      </c>
      <c r="AC66" s="203">
        <f t="shared" si="78"/>
        <v>0</v>
      </c>
      <c r="AD66" s="203">
        <f t="shared" si="78"/>
        <v>0</v>
      </c>
      <c r="AE66" s="195"/>
      <c r="AF66" s="203">
        <f>SUM(AF45:AF45)</f>
        <v>0</v>
      </c>
      <c r="AG66" s="195"/>
      <c r="AH66" s="203">
        <f t="shared" ref="AH66:AZ66" si="79">SUM(AH45:AH45)</f>
        <v>0</v>
      </c>
      <c r="AI66" s="203">
        <f t="shared" si="79"/>
        <v>0</v>
      </c>
      <c r="AJ66" s="203">
        <f t="shared" si="79"/>
        <v>0</v>
      </c>
      <c r="AK66" s="203">
        <f t="shared" si="79"/>
        <v>0</v>
      </c>
      <c r="AL66" s="203">
        <f t="shared" si="79"/>
        <v>0</v>
      </c>
      <c r="AM66" s="203">
        <f t="shared" si="79"/>
        <v>0</v>
      </c>
      <c r="AN66" s="203">
        <f t="shared" si="79"/>
        <v>0</v>
      </c>
      <c r="AO66" s="203">
        <f t="shared" si="79"/>
        <v>0</v>
      </c>
      <c r="AP66" s="203">
        <f t="shared" si="79"/>
        <v>0</v>
      </c>
      <c r="AQ66" s="203">
        <f t="shared" si="79"/>
        <v>0</v>
      </c>
      <c r="AR66" s="203">
        <f t="shared" si="79"/>
        <v>0</v>
      </c>
      <c r="AS66" s="203">
        <f t="shared" si="79"/>
        <v>0</v>
      </c>
      <c r="AT66" s="203">
        <f t="shared" si="79"/>
        <v>0</v>
      </c>
      <c r="AU66" s="203">
        <f t="shared" si="79"/>
        <v>0</v>
      </c>
      <c r="AV66" s="203">
        <f t="shared" si="79"/>
        <v>0</v>
      </c>
      <c r="AW66" s="203">
        <f t="shared" si="79"/>
        <v>0</v>
      </c>
      <c r="AX66" s="203">
        <f t="shared" si="79"/>
        <v>0</v>
      </c>
      <c r="AY66" s="203">
        <f t="shared" si="79"/>
        <v>0</v>
      </c>
      <c r="AZ66" s="203">
        <f t="shared" si="79"/>
        <v>0</v>
      </c>
      <c r="BA66" s="195"/>
      <c r="BB66" s="203">
        <f t="shared" ref="BB66:CT66" si="80">SUM(BB45:BB45)</f>
        <v>0</v>
      </c>
      <c r="BC66" s="203">
        <f t="shared" si="80"/>
        <v>0</v>
      </c>
      <c r="BD66" s="203">
        <f t="shared" si="80"/>
        <v>0</v>
      </c>
      <c r="BE66" s="203">
        <f t="shared" si="80"/>
        <v>0</v>
      </c>
      <c r="BF66" s="203">
        <f t="shared" si="80"/>
        <v>0</v>
      </c>
      <c r="BG66" s="203">
        <f t="shared" si="80"/>
        <v>0</v>
      </c>
      <c r="BH66" s="203">
        <f t="shared" si="80"/>
        <v>0</v>
      </c>
      <c r="BI66" s="203">
        <f t="shared" si="80"/>
        <v>0</v>
      </c>
      <c r="BJ66" s="203">
        <f t="shared" si="80"/>
        <v>0</v>
      </c>
      <c r="BK66" s="203">
        <f t="shared" si="80"/>
        <v>0</v>
      </c>
      <c r="BL66" s="203">
        <f t="shared" si="80"/>
        <v>0</v>
      </c>
      <c r="BM66" s="203">
        <f t="shared" si="80"/>
        <v>0</v>
      </c>
      <c r="BN66" s="203">
        <f t="shared" si="80"/>
        <v>0</v>
      </c>
      <c r="BO66" s="203">
        <f t="shared" si="80"/>
        <v>0</v>
      </c>
      <c r="BP66" s="203">
        <f t="shared" si="80"/>
        <v>0</v>
      </c>
      <c r="BQ66" s="203">
        <f t="shared" si="80"/>
        <v>0</v>
      </c>
      <c r="BR66" s="203">
        <f t="shared" si="80"/>
        <v>0</v>
      </c>
      <c r="BS66" s="203">
        <f t="shared" si="80"/>
        <v>0</v>
      </c>
      <c r="BT66" s="203">
        <f t="shared" si="80"/>
        <v>0</v>
      </c>
      <c r="BU66" s="203">
        <f t="shared" si="80"/>
        <v>0</v>
      </c>
      <c r="BV66" s="203">
        <f t="shared" si="80"/>
        <v>0</v>
      </c>
      <c r="BW66" s="203">
        <f t="shared" si="80"/>
        <v>0</v>
      </c>
      <c r="BX66" s="203">
        <f t="shared" si="80"/>
        <v>0</v>
      </c>
      <c r="BY66" s="203">
        <f t="shared" si="80"/>
        <v>0</v>
      </c>
      <c r="BZ66" s="203">
        <f t="shared" si="80"/>
        <v>0</v>
      </c>
      <c r="CA66" s="203">
        <f t="shared" si="80"/>
        <v>0</v>
      </c>
      <c r="CB66" s="203">
        <f t="shared" si="80"/>
        <v>0</v>
      </c>
      <c r="CC66" s="203">
        <f t="shared" si="80"/>
        <v>0</v>
      </c>
      <c r="CD66" s="203">
        <f t="shared" si="80"/>
        <v>0</v>
      </c>
      <c r="CE66" s="203">
        <f t="shared" si="80"/>
        <v>0</v>
      </c>
      <c r="CF66" s="203">
        <f t="shared" si="80"/>
        <v>0</v>
      </c>
      <c r="CG66" s="203">
        <f t="shared" si="80"/>
        <v>0</v>
      </c>
      <c r="CH66" s="203">
        <f t="shared" si="80"/>
        <v>0</v>
      </c>
      <c r="CI66" s="203">
        <f t="shared" si="80"/>
        <v>0</v>
      </c>
      <c r="CJ66" s="203">
        <f t="shared" si="80"/>
        <v>0</v>
      </c>
      <c r="CK66" s="203">
        <f t="shared" si="80"/>
        <v>0</v>
      </c>
      <c r="CL66" s="203">
        <f t="shared" si="80"/>
        <v>0</v>
      </c>
      <c r="CM66" s="203">
        <f t="shared" si="80"/>
        <v>0</v>
      </c>
      <c r="CN66" s="203">
        <f t="shared" si="80"/>
        <v>0</v>
      </c>
      <c r="CO66" s="203">
        <f t="shared" si="80"/>
        <v>0</v>
      </c>
      <c r="CP66" s="203">
        <f t="shared" si="80"/>
        <v>0</v>
      </c>
      <c r="CQ66" s="203">
        <f t="shared" si="80"/>
        <v>0</v>
      </c>
      <c r="CR66" s="203">
        <f t="shared" si="80"/>
        <v>0</v>
      </c>
      <c r="CS66" s="203">
        <f t="shared" si="80"/>
        <v>0</v>
      </c>
      <c r="CT66" s="203">
        <f t="shared" si="80"/>
        <v>0</v>
      </c>
      <c r="CU66" s="17">
        <f t="shared" si="4"/>
        <v>4300.3050000000012</v>
      </c>
      <c r="CV66" s="25">
        <f t="shared" si="5"/>
        <v>0</v>
      </c>
    </row>
    <row r="67" spans="1:100" x14ac:dyDescent="0.2">
      <c r="A67" s="2">
        <v>45890</v>
      </c>
      <c r="B67" s="3" t="s">
        <v>761</v>
      </c>
      <c r="C67" s="4" t="s">
        <v>872</v>
      </c>
      <c r="D67" s="5" t="s">
        <v>122</v>
      </c>
      <c r="E67" s="6" t="s">
        <v>370</v>
      </c>
      <c r="F67" s="7" t="s">
        <v>336</v>
      </c>
      <c r="G67" s="8" t="s">
        <v>762</v>
      </c>
      <c r="H67" s="9" t="s">
        <v>763</v>
      </c>
      <c r="I67" s="10"/>
      <c r="J67" s="11" t="s">
        <v>764</v>
      </c>
      <c r="K67" s="12">
        <v>2</v>
      </c>
      <c r="L67" s="13">
        <v>217.5</v>
      </c>
      <c r="M67" s="14">
        <f t="shared" ref="M67" si="81">L67*K67</f>
        <v>435</v>
      </c>
      <c r="N67" s="15"/>
      <c r="O67" s="16" t="s">
        <v>111</v>
      </c>
      <c r="P67" s="17">
        <f>M67/1.12*0.01</f>
        <v>3.8839285714285712</v>
      </c>
      <c r="Q67" s="18">
        <f>M67/1.12*0.12</f>
        <v>46.607142857142854</v>
      </c>
      <c r="R67" s="17">
        <f>M67+P67-Q67</f>
        <v>392.27678571428572</v>
      </c>
      <c r="S67" s="19"/>
      <c r="T67" s="19"/>
      <c r="U67" s="19"/>
      <c r="V67" s="19"/>
      <c r="W67" s="17"/>
      <c r="X67" s="20"/>
      <c r="Y67" s="19"/>
      <c r="Z67" s="19"/>
      <c r="AA67" s="19"/>
      <c r="AB67" s="19"/>
      <c r="AC67" s="19"/>
      <c r="AD67" s="19"/>
      <c r="AE67" s="5"/>
      <c r="AF67" s="19"/>
      <c r="AG67" s="5"/>
      <c r="AH67" s="17"/>
      <c r="AI67" s="19"/>
      <c r="AJ67" s="19"/>
      <c r="AK67" s="19"/>
      <c r="AL67" s="19"/>
      <c r="AM67" s="17"/>
      <c r="AN67" s="19"/>
      <c r="AO67" s="19"/>
      <c r="AP67" s="19"/>
      <c r="AQ67" s="19"/>
      <c r="AR67" s="19"/>
      <c r="AS67" s="21"/>
      <c r="AT67" s="5"/>
      <c r="AU67" s="19"/>
      <c r="AV67" s="5"/>
      <c r="AW67" s="22"/>
      <c r="AX67" s="19"/>
      <c r="AY67" s="5"/>
      <c r="AZ67" s="19"/>
      <c r="BA67" s="5"/>
      <c r="BB67" s="5"/>
      <c r="BC67" s="19"/>
      <c r="BD67" s="19"/>
      <c r="BE67" s="19"/>
      <c r="BF67" s="19"/>
      <c r="BG67" s="19"/>
      <c r="BH67" s="19"/>
      <c r="BI67" s="19"/>
      <c r="BJ67" s="19"/>
      <c r="BK67" s="13"/>
      <c r="BL67" s="5"/>
      <c r="BM67" s="5"/>
      <c r="BN67" s="19"/>
      <c r="BO67" s="17"/>
      <c r="BP67" s="19"/>
      <c r="BQ67" s="17"/>
      <c r="BR67" s="19"/>
      <c r="BS67" s="13"/>
      <c r="BT67" s="5"/>
      <c r="BU67" s="23"/>
      <c r="BV67" s="23"/>
      <c r="BW67" s="24"/>
      <c r="BX67" s="5"/>
      <c r="BY67" s="5"/>
      <c r="BZ67" s="5"/>
      <c r="CA67" s="24"/>
      <c r="CB67" s="24"/>
      <c r="CC67" s="24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>
        <f t="shared" si="4"/>
        <v>435</v>
      </c>
      <c r="CV67" s="25">
        <f t="shared" si="5"/>
        <v>0</v>
      </c>
    </row>
    <row r="68" spans="1:100" x14ac:dyDescent="0.2">
      <c r="A68" s="27"/>
      <c r="B68" s="28"/>
      <c r="C68" s="29"/>
      <c r="D68" s="30"/>
      <c r="E68" s="31"/>
      <c r="F68" s="32"/>
      <c r="G68" s="33"/>
      <c r="H68" s="34"/>
      <c r="I68" s="34"/>
      <c r="J68" s="35"/>
      <c r="K68" s="36"/>
      <c r="L68" s="37"/>
      <c r="M68" s="38">
        <f>SUM(M67:M67)</f>
        <v>435</v>
      </c>
      <c r="N68" s="38"/>
      <c r="O68" s="39" t="s">
        <v>111</v>
      </c>
      <c r="P68" s="38">
        <f>SUM(P67:P67)</f>
        <v>3.8839285714285712</v>
      </c>
      <c r="Q68" s="38">
        <f>SUM(Q67:Q67)</f>
        <v>46.607142857142854</v>
      </c>
      <c r="R68" s="38">
        <f>SUM(R67:R67)</f>
        <v>392.27678571428572</v>
      </c>
      <c r="S68" s="38">
        <f t="shared" ref="S68:AD68" si="82">SUM(S67:S67)</f>
        <v>0</v>
      </c>
      <c r="T68" s="38">
        <f t="shared" si="82"/>
        <v>0</v>
      </c>
      <c r="U68" s="38">
        <f t="shared" si="82"/>
        <v>0</v>
      </c>
      <c r="V68" s="38">
        <f t="shared" si="82"/>
        <v>0</v>
      </c>
      <c r="W68" s="38">
        <f t="shared" si="82"/>
        <v>0</v>
      </c>
      <c r="X68" s="38">
        <f t="shared" si="82"/>
        <v>0</v>
      </c>
      <c r="Y68" s="38">
        <f t="shared" si="82"/>
        <v>0</v>
      </c>
      <c r="Z68" s="38">
        <f t="shared" si="82"/>
        <v>0</v>
      </c>
      <c r="AA68" s="38">
        <f t="shared" si="82"/>
        <v>0</v>
      </c>
      <c r="AB68" s="38">
        <f t="shared" si="82"/>
        <v>0</v>
      </c>
      <c r="AC68" s="38">
        <f t="shared" si="82"/>
        <v>0</v>
      </c>
      <c r="AD68" s="38">
        <f t="shared" si="82"/>
        <v>0</v>
      </c>
      <c r="AE68" s="30"/>
      <c r="AF68" s="38">
        <f>SUM(AF67:AF67)</f>
        <v>0</v>
      </c>
      <c r="AG68" s="30"/>
      <c r="AH68" s="38">
        <f t="shared" ref="AH68:AZ68" si="83">SUM(AH67:AH67)</f>
        <v>0</v>
      </c>
      <c r="AI68" s="38">
        <f t="shared" si="83"/>
        <v>0</v>
      </c>
      <c r="AJ68" s="38">
        <f t="shared" si="83"/>
        <v>0</v>
      </c>
      <c r="AK68" s="38">
        <f t="shared" si="83"/>
        <v>0</v>
      </c>
      <c r="AL68" s="38">
        <f t="shared" si="83"/>
        <v>0</v>
      </c>
      <c r="AM68" s="38">
        <f t="shared" si="83"/>
        <v>0</v>
      </c>
      <c r="AN68" s="38">
        <f t="shared" si="83"/>
        <v>0</v>
      </c>
      <c r="AO68" s="38">
        <f t="shared" si="83"/>
        <v>0</v>
      </c>
      <c r="AP68" s="38">
        <f t="shared" si="83"/>
        <v>0</v>
      </c>
      <c r="AQ68" s="38">
        <f t="shared" si="83"/>
        <v>0</v>
      </c>
      <c r="AR68" s="38">
        <f t="shared" si="83"/>
        <v>0</v>
      </c>
      <c r="AS68" s="38">
        <f t="shared" si="83"/>
        <v>0</v>
      </c>
      <c r="AT68" s="38">
        <f t="shared" si="83"/>
        <v>0</v>
      </c>
      <c r="AU68" s="38">
        <f t="shared" si="83"/>
        <v>0</v>
      </c>
      <c r="AV68" s="38">
        <f t="shared" si="83"/>
        <v>0</v>
      </c>
      <c r="AW68" s="38">
        <f t="shared" si="83"/>
        <v>0</v>
      </c>
      <c r="AX68" s="38">
        <f t="shared" si="83"/>
        <v>0</v>
      </c>
      <c r="AY68" s="38">
        <f t="shared" si="83"/>
        <v>0</v>
      </c>
      <c r="AZ68" s="38">
        <f t="shared" si="83"/>
        <v>0</v>
      </c>
      <c r="BA68" s="30"/>
      <c r="BB68" s="38">
        <f t="shared" ref="BB68:CT68" si="84">SUM(BB67:BB67)</f>
        <v>0</v>
      </c>
      <c r="BC68" s="38">
        <f t="shared" si="84"/>
        <v>0</v>
      </c>
      <c r="BD68" s="38">
        <f t="shared" si="84"/>
        <v>0</v>
      </c>
      <c r="BE68" s="38">
        <f t="shared" si="84"/>
        <v>0</v>
      </c>
      <c r="BF68" s="38">
        <f t="shared" si="84"/>
        <v>0</v>
      </c>
      <c r="BG68" s="38">
        <f t="shared" si="84"/>
        <v>0</v>
      </c>
      <c r="BH68" s="38">
        <f t="shared" si="84"/>
        <v>0</v>
      </c>
      <c r="BI68" s="38">
        <f t="shared" si="84"/>
        <v>0</v>
      </c>
      <c r="BJ68" s="38">
        <f t="shared" si="84"/>
        <v>0</v>
      </c>
      <c r="BK68" s="38">
        <f t="shared" si="84"/>
        <v>0</v>
      </c>
      <c r="BL68" s="38">
        <f t="shared" si="84"/>
        <v>0</v>
      </c>
      <c r="BM68" s="38">
        <f t="shared" si="84"/>
        <v>0</v>
      </c>
      <c r="BN68" s="38">
        <f t="shared" si="84"/>
        <v>0</v>
      </c>
      <c r="BO68" s="38">
        <f t="shared" si="84"/>
        <v>0</v>
      </c>
      <c r="BP68" s="38">
        <f t="shared" si="84"/>
        <v>0</v>
      </c>
      <c r="BQ68" s="38">
        <f t="shared" si="84"/>
        <v>0</v>
      </c>
      <c r="BR68" s="38">
        <f t="shared" si="84"/>
        <v>0</v>
      </c>
      <c r="BS68" s="38">
        <f t="shared" si="84"/>
        <v>0</v>
      </c>
      <c r="BT68" s="38">
        <f t="shared" si="84"/>
        <v>0</v>
      </c>
      <c r="BU68" s="38">
        <f t="shared" si="84"/>
        <v>0</v>
      </c>
      <c r="BV68" s="38">
        <f t="shared" si="84"/>
        <v>0</v>
      </c>
      <c r="BW68" s="38">
        <f t="shared" si="84"/>
        <v>0</v>
      </c>
      <c r="BX68" s="38">
        <f t="shared" si="84"/>
        <v>0</v>
      </c>
      <c r="BY68" s="38">
        <f t="shared" si="84"/>
        <v>0</v>
      </c>
      <c r="BZ68" s="38">
        <f t="shared" si="84"/>
        <v>0</v>
      </c>
      <c r="CA68" s="38">
        <f t="shared" si="84"/>
        <v>0</v>
      </c>
      <c r="CB68" s="38">
        <f t="shared" si="84"/>
        <v>0</v>
      </c>
      <c r="CC68" s="38">
        <f t="shared" si="84"/>
        <v>0</v>
      </c>
      <c r="CD68" s="38">
        <f t="shared" si="84"/>
        <v>0</v>
      </c>
      <c r="CE68" s="38">
        <f t="shared" si="84"/>
        <v>0</v>
      </c>
      <c r="CF68" s="38">
        <f t="shared" si="84"/>
        <v>0</v>
      </c>
      <c r="CG68" s="38">
        <f t="shared" si="84"/>
        <v>0</v>
      </c>
      <c r="CH68" s="38">
        <f t="shared" si="84"/>
        <v>0</v>
      </c>
      <c r="CI68" s="38">
        <f t="shared" si="84"/>
        <v>0</v>
      </c>
      <c r="CJ68" s="38">
        <f t="shared" si="84"/>
        <v>0</v>
      </c>
      <c r="CK68" s="38">
        <f t="shared" si="84"/>
        <v>0</v>
      </c>
      <c r="CL68" s="38">
        <f t="shared" si="84"/>
        <v>0</v>
      </c>
      <c r="CM68" s="38">
        <f t="shared" si="84"/>
        <v>0</v>
      </c>
      <c r="CN68" s="38">
        <f t="shared" si="84"/>
        <v>0</v>
      </c>
      <c r="CO68" s="38">
        <f t="shared" si="84"/>
        <v>0</v>
      </c>
      <c r="CP68" s="38">
        <f t="shared" si="84"/>
        <v>0</v>
      </c>
      <c r="CQ68" s="38">
        <f t="shared" si="84"/>
        <v>0</v>
      </c>
      <c r="CR68" s="38">
        <f t="shared" si="84"/>
        <v>0</v>
      </c>
      <c r="CS68" s="38">
        <f t="shared" si="84"/>
        <v>0</v>
      </c>
      <c r="CT68" s="38">
        <f t="shared" si="84"/>
        <v>0</v>
      </c>
      <c r="CU68" s="17">
        <f t="shared" si="4"/>
        <v>435</v>
      </c>
      <c r="CV68" s="25">
        <f t="shared" si="5"/>
        <v>0</v>
      </c>
    </row>
    <row r="69" spans="1:100" x14ac:dyDescent="0.2">
      <c r="A69" s="2">
        <v>45888</v>
      </c>
      <c r="B69" s="3" t="s">
        <v>761</v>
      </c>
      <c r="C69" s="4" t="s">
        <v>873</v>
      </c>
      <c r="D69" s="5" t="s">
        <v>122</v>
      </c>
      <c r="E69" s="6" t="s">
        <v>765</v>
      </c>
      <c r="F69" s="7"/>
      <c r="G69" s="8"/>
      <c r="H69" s="9"/>
      <c r="I69" s="10" t="s">
        <v>766</v>
      </c>
      <c r="J69" s="11"/>
      <c r="K69" s="12">
        <v>3</v>
      </c>
      <c r="L69" s="13">
        <v>120</v>
      </c>
      <c r="M69" s="14">
        <f t="shared" ref="M69" si="85">L69*K69</f>
        <v>360</v>
      </c>
      <c r="N69" s="15"/>
      <c r="O69" s="16" t="s">
        <v>137</v>
      </c>
      <c r="P69" s="17"/>
      <c r="Q69" s="18"/>
      <c r="R69" s="17">
        <f>M69+P69-Q69</f>
        <v>360</v>
      </c>
      <c r="S69" s="19"/>
      <c r="T69" s="19"/>
      <c r="U69" s="19"/>
      <c r="V69" s="19"/>
      <c r="W69" s="17"/>
      <c r="X69" s="20"/>
      <c r="Y69" s="19"/>
      <c r="Z69" s="19"/>
      <c r="AA69" s="19"/>
      <c r="AB69" s="19"/>
      <c r="AC69" s="19"/>
      <c r="AD69" s="19"/>
      <c r="AE69" s="5"/>
      <c r="AF69" s="19"/>
      <c r="AG69" s="5"/>
      <c r="AH69" s="17"/>
      <c r="AI69" s="19"/>
      <c r="AJ69" s="19"/>
      <c r="AK69" s="19"/>
      <c r="AL69" s="19"/>
      <c r="AM69" s="17"/>
      <c r="AN69" s="19"/>
      <c r="AO69" s="19"/>
      <c r="AP69" s="19"/>
      <c r="AQ69" s="19"/>
      <c r="AR69" s="19"/>
      <c r="AS69" s="21"/>
      <c r="AT69" s="5"/>
      <c r="AU69" s="19"/>
      <c r="AV69" s="5"/>
      <c r="AW69" s="22"/>
      <c r="AX69" s="19"/>
      <c r="AY69" s="5"/>
      <c r="AZ69" s="19"/>
      <c r="BA69" s="5"/>
      <c r="BB69" s="5"/>
      <c r="BC69" s="19"/>
      <c r="BD69" s="19"/>
      <c r="BE69" s="19"/>
      <c r="BF69" s="19"/>
      <c r="BG69" s="19"/>
      <c r="BH69" s="19"/>
      <c r="BI69" s="19"/>
      <c r="BJ69" s="19"/>
      <c r="BK69" s="13"/>
      <c r="BL69" s="5"/>
      <c r="BM69" s="5"/>
      <c r="BN69" s="19"/>
      <c r="BO69" s="17"/>
      <c r="BP69" s="19"/>
      <c r="BQ69" s="17"/>
      <c r="BR69" s="19"/>
      <c r="BS69" s="13"/>
      <c r="BT69" s="5"/>
      <c r="BU69" s="23"/>
      <c r="BV69" s="23"/>
      <c r="BW69" s="24"/>
      <c r="BX69" s="5"/>
      <c r="BY69" s="5"/>
      <c r="BZ69" s="5"/>
      <c r="CA69" s="24"/>
      <c r="CB69" s="24"/>
      <c r="CC69" s="24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>
        <f t="shared" si="4"/>
        <v>360</v>
      </c>
      <c r="CV69" s="25">
        <f t="shared" si="5"/>
        <v>0</v>
      </c>
    </row>
    <row r="70" spans="1:100" x14ac:dyDescent="0.2">
      <c r="A70" s="27"/>
      <c r="B70" s="28"/>
      <c r="C70" s="29"/>
      <c r="D70" s="30"/>
      <c r="E70" s="31"/>
      <c r="F70" s="32"/>
      <c r="G70" s="33"/>
      <c r="H70" s="34"/>
      <c r="I70" s="34"/>
      <c r="J70" s="35"/>
      <c r="K70" s="36"/>
      <c r="L70" s="37"/>
      <c r="M70" s="38">
        <f>SUM(M69:M69)</f>
        <v>360</v>
      </c>
      <c r="N70" s="38"/>
      <c r="O70" s="39" t="s">
        <v>137</v>
      </c>
      <c r="P70" s="38"/>
      <c r="Q70" s="38"/>
      <c r="R70" s="38">
        <f>SUM(R69:R69)</f>
        <v>360</v>
      </c>
      <c r="S70" s="38">
        <f t="shared" ref="S70:AD70" si="86">SUM(S69:S69)</f>
        <v>0</v>
      </c>
      <c r="T70" s="38">
        <f t="shared" si="86"/>
        <v>0</v>
      </c>
      <c r="U70" s="38">
        <f t="shared" si="86"/>
        <v>0</v>
      </c>
      <c r="V70" s="38">
        <f t="shared" si="86"/>
        <v>0</v>
      </c>
      <c r="W70" s="38">
        <f t="shared" si="86"/>
        <v>0</v>
      </c>
      <c r="X70" s="38">
        <f t="shared" si="86"/>
        <v>0</v>
      </c>
      <c r="Y70" s="38">
        <f t="shared" si="86"/>
        <v>0</v>
      </c>
      <c r="Z70" s="38">
        <f t="shared" si="86"/>
        <v>0</v>
      </c>
      <c r="AA70" s="38">
        <f t="shared" si="86"/>
        <v>0</v>
      </c>
      <c r="AB70" s="38">
        <f t="shared" si="86"/>
        <v>0</v>
      </c>
      <c r="AC70" s="38">
        <f t="shared" si="86"/>
        <v>0</v>
      </c>
      <c r="AD70" s="38">
        <f t="shared" si="86"/>
        <v>0</v>
      </c>
      <c r="AE70" s="30"/>
      <c r="AF70" s="38">
        <f>SUM(AF69:AF69)</f>
        <v>0</v>
      </c>
      <c r="AG70" s="30"/>
      <c r="AH70" s="38">
        <f t="shared" ref="AH70:AZ70" si="87">SUM(AH69:AH69)</f>
        <v>0</v>
      </c>
      <c r="AI70" s="38">
        <f t="shared" si="87"/>
        <v>0</v>
      </c>
      <c r="AJ70" s="38">
        <f t="shared" si="87"/>
        <v>0</v>
      </c>
      <c r="AK70" s="38">
        <f t="shared" si="87"/>
        <v>0</v>
      </c>
      <c r="AL70" s="38">
        <f t="shared" si="87"/>
        <v>0</v>
      </c>
      <c r="AM70" s="38">
        <f t="shared" si="87"/>
        <v>0</v>
      </c>
      <c r="AN70" s="38">
        <f t="shared" si="87"/>
        <v>0</v>
      </c>
      <c r="AO70" s="38">
        <f t="shared" si="87"/>
        <v>0</v>
      </c>
      <c r="AP70" s="38">
        <f t="shared" si="87"/>
        <v>0</v>
      </c>
      <c r="AQ70" s="38">
        <f t="shared" si="87"/>
        <v>0</v>
      </c>
      <c r="AR70" s="38">
        <f t="shared" si="87"/>
        <v>0</v>
      </c>
      <c r="AS70" s="38">
        <f t="shared" si="87"/>
        <v>0</v>
      </c>
      <c r="AT70" s="38">
        <f t="shared" si="87"/>
        <v>0</v>
      </c>
      <c r="AU70" s="38">
        <f t="shared" si="87"/>
        <v>0</v>
      </c>
      <c r="AV70" s="38">
        <f t="shared" si="87"/>
        <v>0</v>
      </c>
      <c r="AW70" s="38">
        <f t="shared" si="87"/>
        <v>0</v>
      </c>
      <c r="AX70" s="38">
        <f t="shared" si="87"/>
        <v>0</v>
      </c>
      <c r="AY70" s="38">
        <f t="shared" si="87"/>
        <v>0</v>
      </c>
      <c r="AZ70" s="38">
        <f t="shared" si="87"/>
        <v>0</v>
      </c>
      <c r="BA70" s="30"/>
      <c r="BB70" s="38">
        <f t="shared" ref="BB70:CT70" si="88">SUM(BB69:BB69)</f>
        <v>0</v>
      </c>
      <c r="BC70" s="38">
        <f t="shared" si="88"/>
        <v>0</v>
      </c>
      <c r="BD70" s="38">
        <f t="shared" si="88"/>
        <v>0</v>
      </c>
      <c r="BE70" s="38">
        <f t="shared" si="88"/>
        <v>0</v>
      </c>
      <c r="BF70" s="38">
        <f t="shared" si="88"/>
        <v>0</v>
      </c>
      <c r="BG70" s="38">
        <f t="shared" si="88"/>
        <v>0</v>
      </c>
      <c r="BH70" s="38">
        <f t="shared" si="88"/>
        <v>0</v>
      </c>
      <c r="BI70" s="38">
        <f t="shared" si="88"/>
        <v>0</v>
      </c>
      <c r="BJ70" s="38">
        <f t="shared" si="88"/>
        <v>0</v>
      </c>
      <c r="BK70" s="38">
        <f t="shared" si="88"/>
        <v>0</v>
      </c>
      <c r="BL70" s="38">
        <f t="shared" si="88"/>
        <v>0</v>
      </c>
      <c r="BM70" s="38">
        <f t="shared" si="88"/>
        <v>0</v>
      </c>
      <c r="BN70" s="38">
        <f t="shared" si="88"/>
        <v>0</v>
      </c>
      <c r="BO70" s="38">
        <f t="shared" si="88"/>
        <v>0</v>
      </c>
      <c r="BP70" s="38">
        <f t="shared" si="88"/>
        <v>0</v>
      </c>
      <c r="BQ70" s="38">
        <f t="shared" si="88"/>
        <v>0</v>
      </c>
      <c r="BR70" s="38">
        <f t="shared" si="88"/>
        <v>0</v>
      </c>
      <c r="BS70" s="38">
        <f t="shared" si="88"/>
        <v>0</v>
      </c>
      <c r="BT70" s="38">
        <f t="shared" si="88"/>
        <v>0</v>
      </c>
      <c r="BU70" s="38">
        <f t="shared" si="88"/>
        <v>0</v>
      </c>
      <c r="BV70" s="38">
        <f t="shared" si="88"/>
        <v>0</v>
      </c>
      <c r="BW70" s="38">
        <f t="shared" si="88"/>
        <v>0</v>
      </c>
      <c r="BX70" s="38">
        <f t="shared" si="88"/>
        <v>0</v>
      </c>
      <c r="BY70" s="38">
        <f t="shared" si="88"/>
        <v>0</v>
      </c>
      <c r="BZ70" s="38">
        <f t="shared" si="88"/>
        <v>0</v>
      </c>
      <c r="CA70" s="38">
        <f t="shared" si="88"/>
        <v>0</v>
      </c>
      <c r="CB70" s="38">
        <f t="shared" si="88"/>
        <v>0</v>
      </c>
      <c r="CC70" s="38">
        <f t="shared" si="88"/>
        <v>0</v>
      </c>
      <c r="CD70" s="38">
        <f t="shared" si="88"/>
        <v>0</v>
      </c>
      <c r="CE70" s="38">
        <f t="shared" si="88"/>
        <v>0</v>
      </c>
      <c r="CF70" s="38">
        <f t="shared" si="88"/>
        <v>0</v>
      </c>
      <c r="CG70" s="38">
        <f t="shared" si="88"/>
        <v>0</v>
      </c>
      <c r="CH70" s="38">
        <f t="shared" si="88"/>
        <v>0</v>
      </c>
      <c r="CI70" s="38">
        <f t="shared" si="88"/>
        <v>0</v>
      </c>
      <c r="CJ70" s="38">
        <f t="shared" si="88"/>
        <v>0</v>
      </c>
      <c r="CK70" s="38">
        <f t="shared" si="88"/>
        <v>0</v>
      </c>
      <c r="CL70" s="38">
        <f t="shared" si="88"/>
        <v>0</v>
      </c>
      <c r="CM70" s="38">
        <f t="shared" si="88"/>
        <v>0</v>
      </c>
      <c r="CN70" s="38">
        <f t="shared" si="88"/>
        <v>0</v>
      </c>
      <c r="CO70" s="38">
        <f t="shared" si="88"/>
        <v>0</v>
      </c>
      <c r="CP70" s="38">
        <f t="shared" si="88"/>
        <v>0</v>
      </c>
      <c r="CQ70" s="38">
        <f t="shared" si="88"/>
        <v>0</v>
      </c>
      <c r="CR70" s="38">
        <f t="shared" si="88"/>
        <v>0</v>
      </c>
      <c r="CS70" s="38">
        <f t="shared" si="88"/>
        <v>0</v>
      </c>
      <c r="CT70" s="38">
        <f t="shared" si="88"/>
        <v>0</v>
      </c>
      <c r="CU70" s="17">
        <f t="shared" si="4"/>
        <v>360</v>
      </c>
      <c r="CV70" s="25">
        <f t="shared" si="5"/>
        <v>0</v>
      </c>
    </row>
    <row r="71" spans="1:100" x14ac:dyDescent="0.2">
      <c r="A71" s="2">
        <v>45888</v>
      </c>
      <c r="B71" s="3" t="s">
        <v>761</v>
      </c>
      <c r="C71" s="4" t="s">
        <v>874</v>
      </c>
      <c r="D71" s="5" t="s">
        <v>122</v>
      </c>
      <c r="E71" s="6" t="s">
        <v>767</v>
      </c>
      <c r="F71" s="7" t="s">
        <v>229</v>
      </c>
      <c r="G71" s="8"/>
      <c r="H71" s="9">
        <v>451</v>
      </c>
      <c r="I71" s="10" t="s">
        <v>768</v>
      </c>
      <c r="J71" s="11" t="s">
        <v>769</v>
      </c>
      <c r="K71" s="12">
        <v>3</v>
      </c>
      <c r="L71" s="13">
        <v>190</v>
      </c>
      <c r="M71" s="14">
        <f t="shared" ref="M71" si="89">L71*K71</f>
        <v>570</v>
      </c>
      <c r="N71" s="15"/>
      <c r="O71" s="16" t="s">
        <v>137</v>
      </c>
      <c r="P71" s="17"/>
      <c r="Q71" s="18"/>
      <c r="R71" s="17">
        <f>M71+P71-Q71</f>
        <v>570</v>
      </c>
      <c r="S71" s="19"/>
      <c r="T71" s="19"/>
      <c r="U71" s="19"/>
      <c r="V71" s="19"/>
      <c r="W71" s="17"/>
      <c r="X71" s="20"/>
      <c r="Y71" s="19"/>
      <c r="Z71" s="19"/>
      <c r="AA71" s="19"/>
      <c r="AB71" s="19"/>
      <c r="AC71" s="19"/>
      <c r="AD71" s="19"/>
      <c r="AE71" s="5"/>
      <c r="AF71" s="19"/>
      <c r="AG71" s="5"/>
      <c r="AH71" s="17"/>
      <c r="AI71" s="19"/>
      <c r="AJ71" s="19"/>
      <c r="AK71" s="19"/>
      <c r="AL71" s="19"/>
      <c r="AM71" s="17"/>
      <c r="AN71" s="19"/>
      <c r="AO71" s="19"/>
      <c r="AP71" s="19"/>
      <c r="AQ71" s="19"/>
      <c r="AR71" s="19"/>
      <c r="AS71" s="21"/>
      <c r="AT71" s="5"/>
      <c r="AU71" s="19"/>
      <c r="AV71" s="5"/>
      <c r="AW71" s="22"/>
      <c r="AX71" s="19"/>
      <c r="AY71" s="5"/>
      <c r="AZ71" s="19"/>
      <c r="BA71" s="5"/>
      <c r="BB71" s="5"/>
      <c r="BC71" s="19"/>
      <c r="BD71" s="19"/>
      <c r="BE71" s="19"/>
      <c r="BF71" s="19"/>
      <c r="BG71" s="19"/>
      <c r="BH71" s="19"/>
      <c r="BI71" s="19"/>
      <c r="BJ71" s="19"/>
      <c r="BK71" s="13"/>
      <c r="BL71" s="5"/>
      <c r="BM71" s="5"/>
      <c r="BN71" s="19"/>
      <c r="BO71" s="17"/>
      <c r="BP71" s="19"/>
      <c r="BQ71" s="17"/>
      <c r="BR71" s="19"/>
      <c r="BS71" s="13"/>
      <c r="BT71" s="5"/>
      <c r="BU71" s="23"/>
      <c r="BV71" s="23"/>
      <c r="BW71" s="24"/>
      <c r="BX71" s="5"/>
      <c r="BY71" s="5"/>
      <c r="BZ71" s="5"/>
      <c r="CA71" s="24"/>
      <c r="CB71" s="24"/>
      <c r="CC71" s="24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>
        <f t="shared" ref="CU71:CU134" si="90">SUM(Q71:CT71)-P71</f>
        <v>570</v>
      </c>
      <c r="CV71" s="25">
        <f t="shared" ref="CV71:CV134" si="91">CU71-M71</f>
        <v>0</v>
      </c>
    </row>
    <row r="72" spans="1:100" x14ac:dyDescent="0.2">
      <c r="A72" s="27"/>
      <c r="B72" s="28"/>
      <c r="C72" s="29"/>
      <c r="D72" s="30"/>
      <c r="E72" s="31"/>
      <c r="F72" s="32"/>
      <c r="G72" s="33"/>
      <c r="H72" s="34"/>
      <c r="I72" s="34"/>
      <c r="J72" s="35"/>
      <c r="K72" s="36"/>
      <c r="L72" s="37"/>
      <c r="M72" s="38">
        <f>SUM(M71:M71)</f>
        <v>570</v>
      </c>
      <c r="N72" s="38"/>
      <c r="O72" s="39" t="s">
        <v>137</v>
      </c>
      <c r="P72" s="38"/>
      <c r="Q72" s="38"/>
      <c r="R72" s="38">
        <f>SUM(R71:R71)</f>
        <v>570</v>
      </c>
      <c r="S72" s="38">
        <f t="shared" ref="S72:AD72" si="92">SUM(S71:S71)</f>
        <v>0</v>
      </c>
      <c r="T72" s="38">
        <f t="shared" si="92"/>
        <v>0</v>
      </c>
      <c r="U72" s="38">
        <f t="shared" si="92"/>
        <v>0</v>
      </c>
      <c r="V72" s="38">
        <f t="shared" si="92"/>
        <v>0</v>
      </c>
      <c r="W72" s="38">
        <f t="shared" si="92"/>
        <v>0</v>
      </c>
      <c r="X72" s="38">
        <f t="shared" si="92"/>
        <v>0</v>
      </c>
      <c r="Y72" s="38">
        <f t="shared" si="92"/>
        <v>0</v>
      </c>
      <c r="Z72" s="38">
        <f t="shared" si="92"/>
        <v>0</v>
      </c>
      <c r="AA72" s="38">
        <f t="shared" si="92"/>
        <v>0</v>
      </c>
      <c r="AB72" s="38">
        <f t="shared" si="92"/>
        <v>0</v>
      </c>
      <c r="AC72" s="38">
        <f t="shared" si="92"/>
        <v>0</v>
      </c>
      <c r="AD72" s="38">
        <f t="shared" si="92"/>
        <v>0</v>
      </c>
      <c r="AE72" s="30"/>
      <c r="AF72" s="38">
        <f>SUM(AF71:AF71)</f>
        <v>0</v>
      </c>
      <c r="AG72" s="30"/>
      <c r="AH72" s="38">
        <f t="shared" ref="AH72:AZ72" si="93">SUM(AH71:AH71)</f>
        <v>0</v>
      </c>
      <c r="AI72" s="38">
        <f t="shared" si="93"/>
        <v>0</v>
      </c>
      <c r="AJ72" s="38">
        <f t="shared" si="93"/>
        <v>0</v>
      </c>
      <c r="AK72" s="38">
        <f t="shared" si="93"/>
        <v>0</v>
      </c>
      <c r="AL72" s="38">
        <f t="shared" si="93"/>
        <v>0</v>
      </c>
      <c r="AM72" s="38">
        <f t="shared" si="93"/>
        <v>0</v>
      </c>
      <c r="AN72" s="38">
        <f t="shared" si="93"/>
        <v>0</v>
      </c>
      <c r="AO72" s="38">
        <f t="shared" si="93"/>
        <v>0</v>
      </c>
      <c r="AP72" s="38">
        <f t="shared" si="93"/>
        <v>0</v>
      </c>
      <c r="AQ72" s="38">
        <f t="shared" si="93"/>
        <v>0</v>
      </c>
      <c r="AR72" s="38">
        <f t="shared" si="93"/>
        <v>0</v>
      </c>
      <c r="AS72" s="38">
        <f t="shared" si="93"/>
        <v>0</v>
      </c>
      <c r="AT72" s="38">
        <f t="shared" si="93"/>
        <v>0</v>
      </c>
      <c r="AU72" s="38">
        <f t="shared" si="93"/>
        <v>0</v>
      </c>
      <c r="AV72" s="38">
        <f t="shared" si="93"/>
        <v>0</v>
      </c>
      <c r="AW72" s="38">
        <f t="shared" si="93"/>
        <v>0</v>
      </c>
      <c r="AX72" s="38">
        <f t="shared" si="93"/>
        <v>0</v>
      </c>
      <c r="AY72" s="38">
        <f t="shared" si="93"/>
        <v>0</v>
      </c>
      <c r="AZ72" s="38">
        <f t="shared" si="93"/>
        <v>0</v>
      </c>
      <c r="BA72" s="30"/>
      <c r="BB72" s="38">
        <f t="shared" ref="BB72:CT72" si="94">SUM(BB71:BB71)</f>
        <v>0</v>
      </c>
      <c r="BC72" s="38">
        <f t="shared" si="94"/>
        <v>0</v>
      </c>
      <c r="BD72" s="38">
        <f t="shared" si="94"/>
        <v>0</v>
      </c>
      <c r="BE72" s="38">
        <f t="shared" si="94"/>
        <v>0</v>
      </c>
      <c r="BF72" s="38">
        <f t="shared" si="94"/>
        <v>0</v>
      </c>
      <c r="BG72" s="38">
        <f t="shared" si="94"/>
        <v>0</v>
      </c>
      <c r="BH72" s="38">
        <f t="shared" si="94"/>
        <v>0</v>
      </c>
      <c r="BI72" s="38">
        <f t="shared" si="94"/>
        <v>0</v>
      </c>
      <c r="BJ72" s="38">
        <f t="shared" si="94"/>
        <v>0</v>
      </c>
      <c r="BK72" s="38">
        <f t="shared" si="94"/>
        <v>0</v>
      </c>
      <c r="BL72" s="38">
        <f t="shared" si="94"/>
        <v>0</v>
      </c>
      <c r="BM72" s="38">
        <f t="shared" si="94"/>
        <v>0</v>
      </c>
      <c r="BN72" s="38">
        <f t="shared" si="94"/>
        <v>0</v>
      </c>
      <c r="BO72" s="38">
        <f t="shared" si="94"/>
        <v>0</v>
      </c>
      <c r="BP72" s="38">
        <f t="shared" si="94"/>
        <v>0</v>
      </c>
      <c r="BQ72" s="38">
        <f t="shared" si="94"/>
        <v>0</v>
      </c>
      <c r="BR72" s="38">
        <f t="shared" si="94"/>
        <v>0</v>
      </c>
      <c r="BS72" s="38">
        <f t="shared" si="94"/>
        <v>0</v>
      </c>
      <c r="BT72" s="38">
        <f t="shared" si="94"/>
        <v>0</v>
      </c>
      <c r="BU72" s="38">
        <f t="shared" si="94"/>
        <v>0</v>
      </c>
      <c r="BV72" s="38">
        <f t="shared" si="94"/>
        <v>0</v>
      </c>
      <c r="BW72" s="38">
        <f t="shared" si="94"/>
        <v>0</v>
      </c>
      <c r="BX72" s="38">
        <f t="shared" si="94"/>
        <v>0</v>
      </c>
      <c r="BY72" s="38">
        <f t="shared" si="94"/>
        <v>0</v>
      </c>
      <c r="BZ72" s="38">
        <f t="shared" si="94"/>
        <v>0</v>
      </c>
      <c r="CA72" s="38">
        <f t="shared" si="94"/>
        <v>0</v>
      </c>
      <c r="CB72" s="38">
        <f t="shared" si="94"/>
        <v>0</v>
      </c>
      <c r="CC72" s="38">
        <f t="shared" si="94"/>
        <v>0</v>
      </c>
      <c r="CD72" s="38">
        <f t="shared" si="94"/>
        <v>0</v>
      </c>
      <c r="CE72" s="38">
        <f t="shared" si="94"/>
        <v>0</v>
      </c>
      <c r="CF72" s="38">
        <f t="shared" si="94"/>
        <v>0</v>
      </c>
      <c r="CG72" s="38">
        <f t="shared" si="94"/>
        <v>0</v>
      </c>
      <c r="CH72" s="38">
        <f t="shared" si="94"/>
        <v>0</v>
      </c>
      <c r="CI72" s="38">
        <f t="shared" si="94"/>
        <v>0</v>
      </c>
      <c r="CJ72" s="38">
        <f t="shared" si="94"/>
        <v>0</v>
      </c>
      <c r="CK72" s="38">
        <f t="shared" si="94"/>
        <v>0</v>
      </c>
      <c r="CL72" s="38">
        <f t="shared" si="94"/>
        <v>0</v>
      </c>
      <c r="CM72" s="38">
        <f t="shared" si="94"/>
        <v>0</v>
      </c>
      <c r="CN72" s="38">
        <f t="shared" si="94"/>
        <v>0</v>
      </c>
      <c r="CO72" s="38">
        <f t="shared" si="94"/>
        <v>0</v>
      </c>
      <c r="CP72" s="38">
        <f t="shared" si="94"/>
        <v>0</v>
      </c>
      <c r="CQ72" s="38">
        <f t="shared" si="94"/>
        <v>0</v>
      </c>
      <c r="CR72" s="38">
        <f t="shared" si="94"/>
        <v>0</v>
      </c>
      <c r="CS72" s="38">
        <f t="shared" si="94"/>
        <v>0</v>
      </c>
      <c r="CT72" s="38">
        <f t="shared" si="94"/>
        <v>0</v>
      </c>
      <c r="CU72" s="17">
        <f t="shared" si="90"/>
        <v>570</v>
      </c>
      <c r="CV72" s="25">
        <f t="shared" si="91"/>
        <v>0</v>
      </c>
    </row>
    <row r="73" spans="1:100" x14ac:dyDescent="0.2">
      <c r="A73" s="2">
        <v>45888</v>
      </c>
      <c r="B73" s="3" t="s">
        <v>761</v>
      </c>
      <c r="C73" s="4" t="s">
        <v>875</v>
      </c>
      <c r="D73" s="5" t="s">
        <v>122</v>
      </c>
      <c r="E73" s="6" t="s">
        <v>770</v>
      </c>
      <c r="F73" s="7" t="s">
        <v>229</v>
      </c>
      <c r="G73" s="8" t="s">
        <v>440</v>
      </c>
      <c r="H73" s="9">
        <v>141643</v>
      </c>
      <c r="I73" s="10" t="s">
        <v>771</v>
      </c>
      <c r="J73" s="11" t="s">
        <v>772</v>
      </c>
      <c r="K73" s="12">
        <v>1</v>
      </c>
      <c r="L73" s="13">
        <v>1125</v>
      </c>
      <c r="M73" s="14">
        <f t="shared" ref="M73:M75" si="95">L73*K73</f>
        <v>1125</v>
      </c>
      <c r="N73" s="15"/>
      <c r="O73" s="16" t="s">
        <v>111</v>
      </c>
      <c r="P73" s="17">
        <f>M73/1.12*0.01</f>
        <v>10.044642857142858</v>
      </c>
      <c r="Q73" s="18">
        <f>M73/1.12*0.12</f>
        <v>120.53571428571428</v>
      </c>
      <c r="R73" s="17">
        <f>M73+P73-Q73</f>
        <v>1014.5089285714287</v>
      </c>
      <c r="S73" s="19"/>
      <c r="T73" s="19"/>
      <c r="U73" s="19"/>
      <c r="V73" s="19"/>
      <c r="W73" s="17"/>
      <c r="X73" s="20"/>
      <c r="Y73" s="19"/>
      <c r="Z73" s="19"/>
      <c r="AA73" s="19"/>
      <c r="AB73" s="19"/>
      <c r="AC73" s="19"/>
      <c r="AD73" s="19"/>
      <c r="AE73" s="5"/>
      <c r="AF73" s="19"/>
      <c r="AG73" s="5"/>
      <c r="AH73" s="17"/>
      <c r="AI73" s="19"/>
      <c r="AJ73" s="19"/>
      <c r="AK73" s="19"/>
      <c r="AL73" s="19"/>
      <c r="AM73" s="17"/>
      <c r="AN73" s="19"/>
      <c r="AO73" s="19"/>
      <c r="AP73" s="19"/>
      <c r="AQ73" s="19"/>
      <c r="AR73" s="19"/>
      <c r="AS73" s="21"/>
      <c r="AT73" s="5"/>
      <c r="AU73" s="19"/>
      <c r="AV73" s="5"/>
      <c r="AW73" s="22"/>
      <c r="AX73" s="19"/>
      <c r="AY73" s="5"/>
      <c r="AZ73" s="19"/>
      <c r="BA73" s="5"/>
      <c r="BB73" s="5"/>
      <c r="BC73" s="19"/>
      <c r="BD73" s="19"/>
      <c r="BE73" s="19"/>
      <c r="BF73" s="19"/>
      <c r="BG73" s="19"/>
      <c r="BH73" s="19"/>
      <c r="BI73" s="19"/>
      <c r="BJ73" s="19"/>
      <c r="BK73" s="13"/>
      <c r="BL73" s="5"/>
      <c r="BM73" s="5"/>
      <c r="BN73" s="19"/>
      <c r="BO73" s="17"/>
      <c r="BP73" s="19"/>
      <c r="BQ73" s="17"/>
      <c r="BR73" s="19"/>
      <c r="BS73" s="13"/>
      <c r="BT73" s="5"/>
      <c r="BU73" s="23"/>
      <c r="BV73" s="23"/>
      <c r="BW73" s="24"/>
      <c r="BX73" s="5"/>
      <c r="BY73" s="5"/>
      <c r="BZ73" s="5"/>
      <c r="CA73" s="24"/>
      <c r="CB73" s="24"/>
      <c r="CC73" s="24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>
        <f t="shared" si="90"/>
        <v>1125</v>
      </c>
      <c r="CV73" s="25">
        <f t="shared" si="91"/>
        <v>0</v>
      </c>
    </row>
    <row r="74" spans="1:100" x14ac:dyDescent="0.2">
      <c r="A74" s="2"/>
      <c r="B74" s="3"/>
      <c r="C74" s="4"/>
      <c r="D74" s="5"/>
      <c r="E74" s="6"/>
      <c r="F74" s="7"/>
      <c r="G74" s="8"/>
      <c r="H74" s="9"/>
      <c r="I74" s="10"/>
      <c r="J74" s="11" t="s">
        <v>773</v>
      </c>
      <c r="K74" s="12">
        <v>1</v>
      </c>
      <c r="L74" s="13">
        <v>1125</v>
      </c>
      <c r="M74" s="14">
        <f t="shared" si="95"/>
        <v>1125</v>
      </c>
      <c r="N74" s="15"/>
      <c r="O74" s="16" t="s">
        <v>111</v>
      </c>
      <c r="P74" s="17">
        <f t="shared" ref="P74:P75" si="96">M74/1.12*0.01</f>
        <v>10.044642857142858</v>
      </c>
      <c r="Q74" s="18">
        <f t="shared" ref="Q74:Q75" si="97">M74/1.12*0.12</f>
        <v>120.53571428571428</v>
      </c>
      <c r="R74" s="17">
        <f t="shared" ref="R74:R75" si="98">M74+P74-Q74</f>
        <v>1014.5089285714287</v>
      </c>
      <c r="S74" s="19"/>
      <c r="T74" s="19"/>
      <c r="U74" s="19"/>
      <c r="V74" s="19"/>
      <c r="W74" s="17"/>
      <c r="X74" s="20"/>
      <c r="Y74" s="19"/>
      <c r="Z74" s="19"/>
      <c r="AA74" s="19"/>
      <c r="AB74" s="19"/>
      <c r="AC74" s="19"/>
      <c r="AD74" s="19"/>
      <c r="AE74" s="5"/>
      <c r="AF74" s="19"/>
      <c r="AG74" s="5"/>
      <c r="AH74" s="17"/>
      <c r="AI74" s="19"/>
      <c r="AJ74" s="19"/>
      <c r="AK74" s="19"/>
      <c r="AL74" s="19"/>
      <c r="AM74" s="17"/>
      <c r="AN74" s="19"/>
      <c r="AO74" s="19"/>
      <c r="AP74" s="19"/>
      <c r="AQ74" s="19"/>
      <c r="AR74" s="19"/>
      <c r="AS74" s="21"/>
      <c r="AT74" s="5"/>
      <c r="AU74" s="19"/>
      <c r="AV74" s="5"/>
      <c r="AW74" s="22"/>
      <c r="AX74" s="19"/>
      <c r="AY74" s="5"/>
      <c r="AZ74" s="19"/>
      <c r="BA74" s="5"/>
      <c r="BB74" s="5"/>
      <c r="BC74" s="19"/>
      <c r="BD74" s="19"/>
      <c r="BE74" s="19"/>
      <c r="BF74" s="19"/>
      <c r="BG74" s="19"/>
      <c r="BH74" s="19"/>
      <c r="BI74" s="19"/>
      <c r="BJ74" s="19"/>
      <c r="BK74" s="13"/>
      <c r="BL74" s="5"/>
      <c r="BM74" s="5"/>
      <c r="BN74" s="19"/>
      <c r="BO74" s="17"/>
      <c r="BP74" s="19"/>
      <c r="BQ74" s="17"/>
      <c r="BR74" s="19"/>
      <c r="BS74" s="13"/>
      <c r="BT74" s="5"/>
      <c r="BU74" s="23"/>
      <c r="BV74" s="23"/>
      <c r="BW74" s="24"/>
      <c r="BX74" s="5"/>
      <c r="BY74" s="5"/>
      <c r="BZ74" s="5"/>
      <c r="CA74" s="24"/>
      <c r="CB74" s="24"/>
      <c r="CC74" s="24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>
        <f t="shared" si="90"/>
        <v>1125</v>
      </c>
      <c r="CV74" s="25">
        <f t="shared" si="91"/>
        <v>0</v>
      </c>
    </row>
    <row r="75" spans="1:100" x14ac:dyDescent="0.2">
      <c r="A75" s="2"/>
      <c r="B75" s="3"/>
      <c r="C75" s="4"/>
      <c r="D75" s="5"/>
      <c r="E75" s="6"/>
      <c r="F75" s="7"/>
      <c r="G75" s="8"/>
      <c r="H75" s="9"/>
      <c r="I75" s="10"/>
      <c r="J75" s="11" t="s">
        <v>774</v>
      </c>
      <c r="K75" s="12">
        <v>1</v>
      </c>
      <c r="L75" s="13">
        <v>215</v>
      </c>
      <c r="M75" s="14">
        <f t="shared" si="95"/>
        <v>215</v>
      </c>
      <c r="N75" s="15"/>
      <c r="O75" s="16" t="s">
        <v>111</v>
      </c>
      <c r="P75" s="17">
        <f t="shared" si="96"/>
        <v>1.919642857142857</v>
      </c>
      <c r="Q75" s="18">
        <f t="shared" si="97"/>
        <v>23.035714285714281</v>
      </c>
      <c r="R75" s="17">
        <f t="shared" si="98"/>
        <v>193.88392857142858</v>
      </c>
      <c r="S75" s="19"/>
      <c r="T75" s="19"/>
      <c r="U75" s="19"/>
      <c r="V75" s="19"/>
      <c r="W75" s="17"/>
      <c r="X75" s="20"/>
      <c r="Y75" s="19"/>
      <c r="Z75" s="19"/>
      <c r="AA75" s="19"/>
      <c r="AB75" s="19"/>
      <c r="AC75" s="19"/>
      <c r="AD75" s="19"/>
      <c r="AE75" s="5"/>
      <c r="AF75" s="19"/>
      <c r="AG75" s="5"/>
      <c r="AH75" s="17"/>
      <c r="AI75" s="19"/>
      <c r="AJ75" s="19"/>
      <c r="AK75" s="19"/>
      <c r="AL75" s="19"/>
      <c r="AM75" s="17"/>
      <c r="AN75" s="19"/>
      <c r="AO75" s="19"/>
      <c r="AP75" s="19"/>
      <c r="AQ75" s="19"/>
      <c r="AR75" s="19"/>
      <c r="AS75" s="21"/>
      <c r="AT75" s="5"/>
      <c r="AU75" s="19"/>
      <c r="AV75" s="5"/>
      <c r="AW75" s="22"/>
      <c r="AX75" s="19"/>
      <c r="AY75" s="5"/>
      <c r="AZ75" s="19"/>
      <c r="BA75" s="5"/>
      <c r="BB75" s="5"/>
      <c r="BC75" s="19"/>
      <c r="BD75" s="19"/>
      <c r="BE75" s="19"/>
      <c r="BF75" s="19"/>
      <c r="BG75" s="19"/>
      <c r="BH75" s="19"/>
      <c r="BI75" s="19"/>
      <c r="BJ75" s="19"/>
      <c r="BK75" s="13"/>
      <c r="BL75" s="5"/>
      <c r="BM75" s="5"/>
      <c r="BN75" s="19"/>
      <c r="BO75" s="17"/>
      <c r="BP75" s="19"/>
      <c r="BQ75" s="17"/>
      <c r="BR75" s="19"/>
      <c r="BS75" s="13"/>
      <c r="BT75" s="5"/>
      <c r="BU75" s="23"/>
      <c r="BV75" s="23"/>
      <c r="BW75" s="24"/>
      <c r="BX75" s="5"/>
      <c r="BY75" s="5"/>
      <c r="BZ75" s="5"/>
      <c r="CA75" s="24"/>
      <c r="CB75" s="24"/>
      <c r="CC75" s="24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>
        <f t="shared" si="90"/>
        <v>215</v>
      </c>
      <c r="CV75" s="25">
        <f t="shared" si="91"/>
        <v>0</v>
      </c>
    </row>
    <row r="76" spans="1:100" x14ac:dyDescent="0.2">
      <c r="A76" s="27"/>
      <c r="B76" s="28"/>
      <c r="C76" s="29"/>
      <c r="D76" s="30"/>
      <c r="E76" s="31"/>
      <c r="F76" s="32"/>
      <c r="G76" s="33"/>
      <c r="H76" s="34"/>
      <c r="I76" s="34"/>
      <c r="J76" s="35"/>
      <c r="K76" s="36"/>
      <c r="L76" s="37"/>
      <c r="M76" s="38">
        <f>SUM(M73:M75)</f>
        <v>2465</v>
      </c>
      <c r="N76" s="38"/>
      <c r="O76" s="39" t="s">
        <v>111</v>
      </c>
      <c r="P76" s="38">
        <f>SUM(P73:P75)</f>
        <v>22.008928571428573</v>
      </c>
      <c r="Q76" s="38">
        <f>SUM(Q73:Q75)</f>
        <v>264.10714285714283</v>
      </c>
      <c r="R76" s="38">
        <f>SUM(R73:R75)</f>
        <v>2222.9017857142858</v>
      </c>
      <c r="S76" s="38">
        <f t="shared" ref="S76:AD76" si="99">SUM(S73:S73)</f>
        <v>0</v>
      </c>
      <c r="T76" s="38">
        <f t="shared" si="99"/>
        <v>0</v>
      </c>
      <c r="U76" s="38">
        <f t="shared" si="99"/>
        <v>0</v>
      </c>
      <c r="V76" s="38">
        <f t="shared" si="99"/>
        <v>0</v>
      </c>
      <c r="W76" s="38">
        <f t="shared" si="99"/>
        <v>0</v>
      </c>
      <c r="X76" s="38">
        <f t="shared" si="99"/>
        <v>0</v>
      </c>
      <c r="Y76" s="38">
        <f t="shared" si="99"/>
        <v>0</v>
      </c>
      <c r="Z76" s="38">
        <f t="shared" si="99"/>
        <v>0</v>
      </c>
      <c r="AA76" s="38">
        <f t="shared" si="99"/>
        <v>0</v>
      </c>
      <c r="AB76" s="38">
        <f t="shared" si="99"/>
        <v>0</v>
      </c>
      <c r="AC76" s="38">
        <f t="shared" si="99"/>
        <v>0</v>
      </c>
      <c r="AD76" s="38">
        <f t="shared" si="99"/>
        <v>0</v>
      </c>
      <c r="AE76" s="30"/>
      <c r="AF76" s="38">
        <f>SUM(AF73:AF73)</f>
        <v>0</v>
      </c>
      <c r="AG76" s="30"/>
      <c r="AH76" s="38">
        <f t="shared" ref="AH76:AZ76" si="100">SUM(AH73:AH73)</f>
        <v>0</v>
      </c>
      <c r="AI76" s="38">
        <f t="shared" si="100"/>
        <v>0</v>
      </c>
      <c r="AJ76" s="38">
        <f t="shared" si="100"/>
        <v>0</v>
      </c>
      <c r="AK76" s="38">
        <f t="shared" si="100"/>
        <v>0</v>
      </c>
      <c r="AL76" s="38">
        <f t="shared" si="100"/>
        <v>0</v>
      </c>
      <c r="AM76" s="38">
        <f t="shared" si="100"/>
        <v>0</v>
      </c>
      <c r="AN76" s="38">
        <f t="shared" si="100"/>
        <v>0</v>
      </c>
      <c r="AO76" s="38">
        <f t="shared" si="100"/>
        <v>0</v>
      </c>
      <c r="AP76" s="38">
        <f t="shared" si="100"/>
        <v>0</v>
      </c>
      <c r="AQ76" s="38">
        <f t="shared" si="100"/>
        <v>0</v>
      </c>
      <c r="AR76" s="38">
        <f t="shared" si="100"/>
        <v>0</v>
      </c>
      <c r="AS76" s="38">
        <f t="shared" si="100"/>
        <v>0</v>
      </c>
      <c r="AT76" s="38">
        <f t="shared" si="100"/>
        <v>0</v>
      </c>
      <c r="AU76" s="38">
        <f t="shared" si="100"/>
        <v>0</v>
      </c>
      <c r="AV76" s="38">
        <f t="shared" si="100"/>
        <v>0</v>
      </c>
      <c r="AW76" s="38">
        <f t="shared" si="100"/>
        <v>0</v>
      </c>
      <c r="AX76" s="38">
        <f t="shared" si="100"/>
        <v>0</v>
      </c>
      <c r="AY76" s="38">
        <f t="shared" si="100"/>
        <v>0</v>
      </c>
      <c r="AZ76" s="38">
        <f t="shared" si="100"/>
        <v>0</v>
      </c>
      <c r="BA76" s="30"/>
      <c r="BB76" s="38">
        <f t="shared" ref="BB76:CT76" si="101">SUM(BB73:BB73)</f>
        <v>0</v>
      </c>
      <c r="BC76" s="38">
        <f t="shared" si="101"/>
        <v>0</v>
      </c>
      <c r="BD76" s="38">
        <f t="shared" si="101"/>
        <v>0</v>
      </c>
      <c r="BE76" s="38">
        <f t="shared" si="101"/>
        <v>0</v>
      </c>
      <c r="BF76" s="38">
        <f t="shared" si="101"/>
        <v>0</v>
      </c>
      <c r="BG76" s="38">
        <f t="shared" si="101"/>
        <v>0</v>
      </c>
      <c r="BH76" s="38">
        <f t="shared" si="101"/>
        <v>0</v>
      </c>
      <c r="BI76" s="38">
        <f t="shared" si="101"/>
        <v>0</v>
      </c>
      <c r="BJ76" s="38">
        <f t="shared" si="101"/>
        <v>0</v>
      </c>
      <c r="BK76" s="38">
        <f t="shared" si="101"/>
        <v>0</v>
      </c>
      <c r="BL76" s="38">
        <f t="shared" si="101"/>
        <v>0</v>
      </c>
      <c r="BM76" s="38">
        <f t="shared" si="101"/>
        <v>0</v>
      </c>
      <c r="BN76" s="38">
        <f t="shared" si="101"/>
        <v>0</v>
      </c>
      <c r="BO76" s="38">
        <f t="shared" si="101"/>
        <v>0</v>
      </c>
      <c r="BP76" s="38">
        <f t="shared" si="101"/>
        <v>0</v>
      </c>
      <c r="BQ76" s="38">
        <f t="shared" si="101"/>
        <v>0</v>
      </c>
      <c r="BR76" s="38">
        <f t="shared" si="101"/>
        <v>0</v>
      </c>
      <c r="BS76" s="38">
        <f t="shared" si="101"/>
        <v>0</v>
      </c>
      <c r="BT76" s="38">
        <f t="shared" si="101"/>
        <v>0</v>
      </c>
      <c r="BU76" s="38">
        <f t="shared" si="101"/>
        <v>0</v>
      </c>
      <c r="BV76" s="38">
        <f t="shared" si="101"/>
        <v>0</v>
      </c>
      <c r="BW76" s="38">
        <f t="shared" si="101"/>
        <v>0</v>
      </c>
      <c r="BX76" s="38">
        <f t="shared" si="101"/>
        <v>0</v>
      </c>
      <c r="BY76" s="38">
        <f t="shared" si="101"/>
        <v>0</v>
      </c>
      <c r="BZ76" s="38">
        <f t="shared" si="101"/>
        <v>0</v>
      </c>
      <c r="CA76" s="38">
        <f t="shared" si="101"/>
        <v>0</v>
      </c>
      <c r="CB76" s="38">
        <f t="shared" si="101"/>
        <v>0</v>
      </c>
      <c r="CC76" s="38">
        <f t="shared" si="101"/>
        <v>0</v>
      </c>
      <c r="CD76" s="38">
        <f t="shared" si="101"/>
        <v>0</v>
      </c>
      <c r="CE76" s="38">
        <f t="shared" si="101"/>
        <v>0</v>
      </c>
      <c r="CF76" s="38">
        <f t="shared" si="101"/>
        <v>0</v>
      </c>
      <c r="CG76" s="38">
        <f t="shared" si="101"/>
        <v>0</v>
      </c>
      <c r="CH76" s="38">
        <f t="shared" si="101"/>
        <v>0</v>
      </c>
      <c r="CI76" s="38">
        <f t="shared" si="101"/>
        <v>0</v>
      </c>
      <c r="CJ76" s="38">
        <f t="shared" si="101"/>
        <v>0</v>
      </c>
      <c r="CK76" s="38">
        <f t="shared" si="101"/>
        <v>0</v>
      </c>
      <c r="CL76" s="38">
        <f t="shared" si="101"/>
        <v>0</v>
      </c>
      <c r="CM76" s="38">
        <f t="shared" si="101"/>
        <v>0</v>
      </c>
      <c r="CN76" s="38">
        <f t="shared" si="101"/>
        <v>0</v>
      </c>
      <c r="CO76" s="38">
        <f t="shared" si="101"/>
        <v>0</v>
      </c>
      <c r="CP76" s="38">
        <f t="shared" si="101"/>
        <v>0</v>
      </c>
      <c r="CQ76" s="38">
        <f t="shared" si="101"/>
        <v>0</v>
      </c>
      <c r="CR76" s="38">
        <f t="shared" si="101"/>
        <v>0</v>
      </c>
      <c r="CS76" s="38">
        <f t="shared" si="101"/>
        <v>0</v>
      </c>
      <c r="CT76" s="38">
        <f t="shared" si="101"/>
        <v>0</v>
      </c>
      <c r="CU76" s="17">
        <f t="shared" si="90"/>
        <v>2465</v>
      </c>
      <c r="CV76" s="25">
        <f t="shared" si="91"/>
        <v>0</v>
      </c>
    </row>
    <row r="77" spans="1:100" x14ac:dyDescent="0.2">
      <c r="A77" s="2">
        <v>45888</v>
      </c>
      <c r="B77" s="3" t="s">
        <v>761</v>
      </c>
      <c r="C77" s="4" t="s">
        <v>876</v>
      </c>
      <c r="D77" s="5" t="s">
        <v>122</v>
      </c>
      <c r="E77" s="6" t="s">
        <v>316</v>
      </c>
      <c r="F77" s="7" t="s">
        <v>296</v>
      </c>
      <c r="G77" s="8" t="s">
        <v>164</v>
      </c>
      <c r="H77" s="9">
        <v>433856</v>
      </c>
      <c r="I77" s="10" t="s">
        <v>775</v>
      </c>
      <c r="J77" s="11" t="s">
        <v>776</v>
      </c>
      <c r="K77" s="12">
        <v>4.82</v>
      </c>
      <c r="L77" s="13">
        <v>395</v>
      </c>
      <c r="M77" s="14">
        <f t="shared" ref="M77:M82" si="102">L77*K77</f>
        <v>1903.9</v>
      </c>
      <c r="N77" s="15"/>
      <c r="O77" s="16" t="s">
        <v>111</v>
      </c>
      <c r="P77" s="17">
        <f>M77/1.12*0.01</f>
        <v>16.999107142857142</v>
      </c>
      <c r="Q77" s="18">
        <f>M77/1.12*0.12</f>
        <v>203.9892857142857</v>
      </c>
      <c r="R77" s="17">
        <f>M77+P77-Q77</f>
        <v>1716.9098214285716</v>
      </c>
      <c r="S77" s="19"/>
      <c r="T77" s="19"/>
      <c r="U77" s="19"/>
      <c r="V77" s="19"/>
      <c r="W77" s="17"/>
      <c r="X77" s="20"/>
      <c r="Y77" s="19"/>
      <c r="Z77" s="19"/>
      <c r="AA77" s="19"/>
      <c r="AB77" s="19"/>
      <c r="AC77" s="19"/>
      <c r="AD77" s="19"/>
      <c r="AE77" s="5"/>
      <c r="AF77" s="19"/>
      <c r="AG77" s="5"/>
      <c r="AH77" s="17"/>
      <c r="AI77" s="19"/>
      <c r="AJ77" s="19"/>
      <c r="AK77" s="19"/>
      <c r="AL77" s="19"/>
      <c r="AM77" s="17"/>
      <c r="AN77" s="19"/>
      <c r="AO77" s="19"/>
      <c r="AP77" s="19"/>
      <c r="AQ77" s="19"/>
      <c r="AR77" s="19"/>
      <c r="AS77" s="21"/>
      <c r="AT77" s="5"/>
      <c r="AU77" s="19"/>
      <c r="AV77" s="5"/>
      <c r="AW77" s="22"/>
      <c r="AX77" s="19"/>
      <c r="AY77" s="5"/>
      <c r="AZ77" s="19"/>
      <c r="BA77" s="5"/>
      <c r="BB77" s="5"/>
      <c r="BC77" s="19"/>
      <c r="BD77" s="19"/>
      <c r="BE77" s="19"/>
      <c r="BF77" s="19"/>
      <c r="BG77" s="19"/>
      <c r="BH77" s="19"/>
      <c r="BI77" s="19"/>
      <c r="BJ77" s="19"/>
      <c r="BK77" s="13"/>
      <c r="BL77" s="5"/>
      <c r="BM77" s="5"/>
      <c r="BN77" s="19"/>
      <c r="BO77" s="17"/>
      <c r="BP77" s="19"/>
      <c r="BQ77" s="17"/>
      <c r="BR77" s="19"/>
      <c r="BS77" s="13"/>
      <c r="BT77" s="5"/>
      <c r="BU77" s="23"/>
      <c r="BV77" s="23"/>
      <c r="BW77" s="24"/>
      <c r="BX77" s="5"/>
      <c r="BY77" s="5"/>
      <c r="BZ77" s="5"/>
      <c r="CA77" s="24"/>
      <c r="CB77" s="24"/>
      <c r="CC77" s="24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>
        <f t="shared" si="90"/>
        <v>1903.9</v>
      </c>
      <c r="CV77" s="25">
        <f t="shared" si="91"/>
        <v>0</v>
      </c>
    </row>
    <row r="78" spans="1:100" x14ac:dyDescent="0.2">
      <c r="A78" s="2"/>
      <c r="B78" s="3"/>
      <c r="C78" s="4"/>
      <c r="D78" s="5"/>
      <c r="E78" s="6"/>
      <c r="F78" s="7"/>
      <c r="G78" s="8"/>
      <c r="H78" s="9"/>
      <c r="I78" s="10"/>
      <c r="J78" s="11" t="s">
        <v>777</v>
      </c>
      <c r="K78" s="12">
        <v>1</v>
      </c>
      <c r="L78" s="13">
        <v>454</v>
      </c>
      <c r="M78" s="14">
        <f t="shared" si="102"/>
        <v>454</v>
      </c>
      <c r="N78" s="15"/>
      <c r="O78" s="16" t="s">
        <v>111</v>
      </c>
      <c r="P78" s="17">
        <f t="shared" ref="P78:P82" si="103">M78/1.12*0.01</f>
        <v>4.0535714285714288</v>
      </c>
      <c r="Q78" s="18">
        <f t="shared" ref="Q78:Q82" si="104">M78/1.12*0.12</f>
        <v>48.642857142857139</v>
      </c>
      <c r="R78" s="17">
        <f t="shared" ref="R78:R82" si="105">M78+P78-Q78</f>
        <v>409.41071428571433</v>
      </c>
      <c r="S78" s="19"/>
      <c r="T78" s="19"/>
      <c r="U78" s="19"/>
      <c r="V78" s="19"/>
      <c r="W78" s="17"/>
      <c r="X78" s="20"/>
      <c r="Y78" s="19"/>
      <c r="Z78" s="19"/>
      <c r="AA78" s="19"/>
      <c r="AB78" s="19"/>
      <c r="AC78" s="19"/>
      <c r="AD78" s="19"/>
      <c r="AE78" s="5"/>
      <c r="AF78" s="19"/>
      <c r="AG78" s="5"/>
      <c r="AH78" s="17"/>
      <c r="AI78" s="19"/>
      <c r="AJ78" s="19"/>
      <c r="AK78" s="19"/>
      <c r="AL78" s="19"/>
      <c r="AM78" s="17"/>
      <c r="AN78" s="19"/>
      <c r="AO78" s="19"/>
      <c r="AP78" s="19"/>
      <c r="AQ78" s="19"/>
      <c r="AR78" s="19"/>
      <c r="AS78" s="21"/>
      <c r="AT78" s="5"/>
      <c r="AU78" s="19"/>
      <c r="AV78" s="5"/>
      <c r="AW78" s="22"/>
      <c r="AX78" s="19"/>
      <c r="AY78" s="5"/>
      <c r="AZ78" s="19"/>
      <c r="BA78" s="5"/>
      <c r="BB78" s="5"/>
      <c r="BC78" s="19"/>
      <c r="BD78" s="19"/>
      <c r="BE78" s="19"/>
      <c r="BF78" s="19"/>
      <c r="BG78" s="19"/>
      <c r="BH78" s="19"/>
      <c r="BI78" s="19"/>
      <c r="BJ78" s="19"/>
      <c r="BK78" s="13"/>
      <c r="BL78" s="5"/>
      <c r="BM78" s="5"/>
      <c r="BN78" s="19"/>
      <c r="BO78" s="17"/>
      <c r="BP78" s="19"/>
      <c r="BQ78" s="17"/>
      <c r="BR78" s="19"/>
      <c r="BS78" s="13"/>
      <c r="BT78" s="5"/>
      <c r="BU78" s="23"/>
      <c r="BV78" s="23"/>
      <c r="BW78" s="24"/>
      <c r="BX78" s="5"/>
      <c r="BY78" s="5"/>
      <c r="BZ78" s="5"/>
      <c r="CA78" s="24"/>
      <c r="CB78" s="24"/>
      <c r="CC78" s="24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>
        <f t="shared" si="90"/>
        <v>454</v>
      </c>
      <c r="CV78" s="25">
        <f t="shared" si="91"/>
        <v>0</v>
      </c>
    </row>
    <row r="79" spans="1:100" x14ac:dyDescent="0.2">
      <c r="A79" s="2"/>
      <c r="B79" s="3"/>
      <c r="C79" s="4"/>
      <c r="D79" s="5"/>
      <c r="E79" s="6"/>
      <c r="F79" s="7"/>
      <c r="G79" s="8"/>
      <c r="H79" s="9"/>
      <c r="I79" s="10"/>
      <c r="J79" s="11" t="s">
        <v>778</v>
      </c>
      <c r="K79" s="12">
        <v>5</v>
      </c>
      <c r="L79" s="13">
        <v>89</v>
      </c>
      <c r="M79" s="14">
        <f t="shared" si="102"/>
        <v>445</v>
      </c>
      <c r="N79" s="15"/>
      <c r="O79" s="16" t="s">
        <v>111</v>
      </c>
      <c r="P79" s="17">
        <f t="shared" si="103"/>
        <v>3.9732142857142856</v>
      </c>
      <c r="Q79" s="18">
        <f t="shared" si="104"/>
        <v>47.678571428571423</v>
      </c>
      <c r="R79" s="17">
        <f t="shared" si="105"/>
        <v>401.29464285714283</v>
      </c>
      <c r="S79" s="19"/>
      <c r="T79" s="19"/>
      <c r="U79" s="19"/>
      <c r="V79" s="19"/>
      <c r="W79" s="17"/>
      <c r="X79" s="20"/>
      <c r="Y79" s="19"/>
      <c r="Z79" s="19"/>
      <c r="AA79" s="19"/>
      <c r="AB79" s="19"/>
      <c r="AC79" s="19"/>
      <c r="AD79" s="19"/>
      <c r="AE79" s="5"/>
      <c r="AF79" s="19"/>
      <c r="AG79" s="5"/>
      <c r="AH79" s="17"/>
      <c r="AI79" s="19"/>
      <c r="AJ79" s="19"/>
      <c r="AK79" s="19"/>
      <c r="AL79" s="19"/>
      <c r="AM79" s="17"/>
      <c r="AN79" s="19"/>
      <c r="AO79" s="19"/>
      <c r="AP79" s="19"/>
      <c r="AQ79" s="19"/>
      <c r="AR79" s="19"/>
      <c r="AS79" s="21"/>
      <c r="AT79" s="5"/>
      <c r="AU79" s="19"/>
      <c r="AV79" s="5"/>
      <c r="AW79" s="22"/>
      <c r="AX79" s="19"/>
      <c r="AY79" s="5"/>
      <c r="AZ79" s="19"/>
      <c r="BA79" s="5"/>
      <c r="BB79" s="5"/>
      <c r="BC79" s="19"/>
      <c r="BD79" s="19"/>
      <c r="BE79" s="19"/>
      <c r="BF79" s="19"/>
      <c r="BG79" s="19"/>
      <c r="BH79" s="19"/>
      <c r="BI79" s="19"/>
      <c r="BJ79" s="19"/>
      <c r="BK79" s="13"/>
      <c r="BL79" s="5"/>
      <c r="BM79" s="5"/>
      <c r="BN79" s="19"/>
      <c r="BO79" s="17"/>
      <c r="BP79" s="19"/>
      <c r="BQ79" s="17"/>
      <c r="BR79" s="19"/>
      <c r="BS79" s="13"/>
      <c r="BT79" s="5"/>
      <c r="BU79" s="23"/>
      <c r="BV79" s="23"/>
      <c r="BW79" s="24"/>
      <c r="BX79" s="5"/>
      <c r="BY79" s="5"/>
      <c r="BZ79" s="5"/>
      <c r="CA79" s="24"/>
      <c r="CB79" s="24"/>
      <c r="CC79" s="24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>
        <f t="shared" si="90"/>
        <v>445</v>
      </c>
      <c r="CV79" s="25">
        <f t="shared" si="91"/>
        <v>0</v>
      </c>
    </row>
    <row r="80" spans="1:100" x14ac:dyDescent="0.2">
      <c r="A80" s="2"/>
      <c r="B80" s="3"/>
      <c r="C80" s="4"/>
      <c r="D80" s="5"/>
      <c r="E80" s="6"/>
      <c r="F80" s="7"/>
      <c r="G80" s="8"/>
      <c r="H80" s="9"/>
      <c r="I80" s="10"/>
      <c r="J80" s="11" t="s">
        <v>779</v>
      </c>
      <c r="K80" s="12">
        <v>10</v>
      </c>
      <c r="L80" s="13">
        <v>65.75</v>
      </c>
      <c r="M80" s="14">
        <f t="shared" si="102"/>
        <v>657.5</v>
      </c>
      <c r="N80" s="15"/>
      <c r="O80" s="16" t="s">
        <v>111</v>
      </c>
      <c r="P80" s="17">
        <f t="shared" si="103"/>
        <v>5.8705357142857135</v>
      </c>
      <c r="Q80" s="18">
        <f t="shared" si="104"/>
        <v>70.446428571428555</v>
      </c>
      <c r="R80" s="17">
        <f t="shared" si="105"/>
        <v>592.92410714285711</v>
      </c>
      <c r="S80" s="19"/>
      <c r="T80" s="19"/>
      <c r="U80" s="19"/>
      <c r="V80" s="19"/>
      <c r="W80" s="17"/>
      <c r="X80" s="20"/>
      <c r="Y80" s="19"/>
      <c r="Z80" s="19"/>
      <c r="AA80" s="19"/>
      <c r="AB80" s="19"/>
      <c r="AC80" s="19"/>
      <c r="AD80" s="19"/>
      <c r="AE80" s="5"/>
      <c r="AF80" s="19"/>
      <c r="AG80" s="5"/>
      <c r="AH80" s="17"/>
      <c r="AI80" s="19"/>
      <c r="AJ80" s="19"/>
      <c r="AK80" s="19"/>
      <c r="AL80" s="19"/>
      <c r="AM80" s="17"/>
      <c r="AN80" s="19"/>
      <c r="AO80" s="19"/>
      <c r="AP80" s="19"/>
      <c r="AQ80" s="19"/>
      <c r="AR80" s="19"/>
      <c r="AS80" s="21"/>
      <c r="AT80" s="5"/>
      <c r="AU80" s="19"/>
      <c r="AV80" s="5"/>
      <c r="AW80" s="22"/>
      <c r="AX80" s="19"/>
      <c r="AY80" s="5"/>
      <c r="AZ80" s="19"/>
      <c r="BA80" s="5"/>
      <c r="BB80" s="5"/>
      <c r="BC80" s="19"/>
      <c r="BD80" s="19"/>
      <c r="BE80" s="19"/>
      <c r="BF80" s="19"/>
      <c r="BG80" s="19"/>
      <c r="BH80" s="19"/>
      <c r="BI80" s="19"/>
      <c r="BJ80" s="19"/>
      <c r="BK80" s="13"/>
      <c r="BL80" s="5"/>
      <c r="BM80" s="5"/>
      <c r="BN80" s="19"/>
      <c r="BO80" s="17"/>
      <c r="BP80" s="19"/>
      <c r="BQ80" s="17"/>
      <c r="BR80" s="19"/>
      <c r="BS80" s="13"/>
      <c r="BT80" s="5"/>
      <c r="BU80" s="23"/>
      <c r="BV80" s="23"/>
      <c r="BW80" s="24"/>
      <c r="BX80" s="5"/>
      <c r="BY80" s="5"/>
      <c r="BZ80" s="5"/>
      <c r="CA80" s="24"/>
      <c r="CB80" s="24"/>
      <c r="CC80" s="24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>
        <f t="shared" si="90"/>
        <v>657.5</v>
      </c>
      <c r="CV80" s="25">
        <f t="shared" si="91"/>
        <v>0</v>
      </c>
    </row>
    <row r="81" spans="1:100" x14ac:dyDescent="0.2">
      <c r="A81" s="2"/>
      <c r="B81" s="3"/>
      <c r="C81" s="4"/>
      <c r="D81" s="5"/>
      <c r="E81" s="6"/>
      <c r="F81" s="7"/>
      <c r="G81" s="8"/>
      <c r="H81" s="9"/>
      <c r="I81" s="10"/>
      <c r="J81" s="11" t="s">
        <v>780</v>
      </c>
      <c r="K81" s="12">
        <v>5</v>
      </c>
      <c r="L81" s="13">
        <v>166.85</v>
      </c>
      <c r="M81" s="14">
        <f t="shared" si="102"/>
        <v>834.25</v>
      </c>
      <c r="N81" s="15"/>
      <c r="O81" s="16" t="s">
        <v>111</v>
      </c>
      <c r="P81" s="17">
        <f t="shared" si="103"/>
        <v>7.4486607142857135</v>
      </c>
      <c r="Q81" s="18">
        <f t="shared" si="104"/>
        <v>89.383928571428555</v>
      </c>
      <c r="R81" s="17">
        <f t="shared" si="105"/>
        <v>752.31473214285711</v>
      </c>
      <c r="S81" s="19"/>
      <c r="T81" s="19"/>
      <c r="U81" s="19"/>
      <c r="V81" s="19"/>
      <c r="W81" s="17"/>
      <c r="X81" s="20"/>
      <c r="Y81" s="19"/>
      <c r="Z81" s="19"/>
      <c r="AA81" s="19"/>
      <c r="AB81" s="19"/>
      <c r="AC81" s="19"/>
      <c r="AD81" s="19"/>
      <c r="AE81" s="5"/>
      <c r="AF81" s="19"/>
      <c r="AG81" s="5"/>
      <c r="AH81" s="17"/>
      <c r="AI81" s="19"/>
      <c r="AJ81" s="19"/>
      <c r="AK81" s="19"/>
      <c r="AL81" s="19"/>
      <c r="AM81" s="17"/>
      <c r="AN81" s="19"/>
      <c r="AO81" s="19"/>
      <c r="AP81" s="19"/>
      <c r="AQ81" s="19"/>
      <c r="AR81" s="19"/>
      <c r="AS81" s="21"/>
      <c r="AT81" s="5"/>
      <c r="AU81" s="19"/>
      <c r="AV81" s="5"/>
      <c r="AW81" s="22"/>
      <c r="AX81" s="19"/>
      <c r="AY81" s="5"/>
      <c r="AZ81" s="19"/>
      <c r="BA81" s="5"/>
      <c r="BB81" s="5"/>
      <c r="BC81" s="19"/>
      <c r="BD81" s="19"/>
      <c r="BE81" s="19"/>
      <c r="BF81" s="19"/>
      <c r="BG81" s="19"/>
      <c r="BH81" s="19"/>
      <c r="BI81" s="19"/>
      <c r="BJ81" s="19"/>
      <c r="BK81" s="13"/>
      <c r="BL81" s="5"/>
      <c r="BM81" s="5"/>
      <c r="BN81" s="19"/>
      <c r="BO81" s="17"/>
      <c r="BP81" s="19"/>
      <c r="BQ81" s="17"/>
      <c r="BR81" s="19"/>
      <c r="BS81" s="13"/>
      <c r="BT81" s="5"/>
      <c r="BU81" s="23"/>
      <c r="BV81" s="23"/>
      <c r="BW81" s="24"/>
      <c r="BX81" s="5"/>
      <c r="BY81" s="5"/>
      <c r="BZ81" s="5"/>
      <c r="CA81" s="24"/>
      <c r="CB81" s="24"/>
      <c r="CC81" s="24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>
        <f t="shared" si="90"/>
        <v>834.25</v>
      </c>
      <c r="CV81" s="25">
        <f t="shared" si="91"/>
        <v>0</v>
      </c>
    </row>
    <row r="82" spans="1:100" x14ac:dyDescent="0.2">
      <c r="A82" s="2"/>
      <c r="B82" s="3"/>
      <c r="C82" s="4"/>
      <c r="D82" s="5"/>
      <c r="E82" s="6"/>
      <c r="F82" s="7"/>
      <c r="G82" s="8"/>
      <c r="H82" s="9"/>
      <c r="I82" s="10"/>
      <c r="J82" s="11" t="s">
        <v>781</v>
      </c>
      <c r="K82" s="12">
        <v>3</v>
      </c>
      <c r="L82" s="13">
        <v>332.55</v>
      </c>
      <c r="M82" s="14">
        <f t="shared" si="102"/>
        <v>997.65000000000009</v>
      </c>
      <c r="N82" s="15"/>
      <c r="O82" s="16" t="s">
        <v>111</v>
      </c>
      <c r="P82" s="17">
        <f t="shared" si="103"/>
        <v>8.9075892857142858</v>
      </c>
      <c r="Q82" s="18">
        <f t="shared" si="104"/>
        <v>106.89107142857142</v>
      </c>
      <c r="R82" s="17">
        <f t="shared" si="105"/>
        <v>899.66651785714294</v>
      </c>
      <c r="S82" s="19"/>
      <c r="T82" s="19"/>
      <c r="U82" s="19"/>
      <c r="V82" s="19"/>
      <c r="W82" s="17"/>
      <c r="X82" s="20"/>
      <c r="Y82" s="19"/>
      <c r="Z82" s="19"/>
      <c r="AA82" s="19"/>
      <c r="AB82" s="19"/>
      <c r="AC82" s="19"/>
      <c r="AD82" s="19"/>
      <c r="AE82" s="5"/>
      <c r="AF82" s="19"/>
      <c r="AG82" s="5"/>
      <c r="AH82" s="17"/>
      <c r="AI82" s="19"/>
      <c r="AJ82" s="19"/>
      <c r="AK82" s="19"/>
      <c r="AL82" s="19"/>
      <c r="AM82" s="17"/>
      <c r="AN82" s="19"/>
      <c r="AO82" s="19"/>
      <c r="AP82" s="19"/>
      <c r="AQ82" s="19"/>
      <c r="AR82" s="19"/>
      <c r="AS82" s="21"/>
      <c r="AT82" s="5"/>
      <c r="AU82" s="19"/>
      <c r="AV82" s="5"/>
      <c r="AW82" s="22"/>
      <c r="AX82" s="19"/>
      <c r="AY82" s="5"/>
      <c r="AZ82" s="19"/>
      <c r="BA82" s="5"/>
      <c r="BB82" s="5"/>
      <c r="BC82" s="19"/>
      <c r="BD82" s="19"/>
      <c r="BE82" s="19"/>
      <c r="BF82" s="19"/>
      <c r="BG82" s="19"/>
      <c r="BH82" s="19"/>
      <c r="BI82" s="19"/>
      <c r="BJ82" s="19"/>
      <c r="BK82" s="13"/>
      <c r="BL82" s="5"/>
      <c r="BM82" s="5"/>
      <c r="BN82" s="19"/>
      <c r="BO82" s="17"/>
      <c r="BP82" s="19"/>
      <c r="BQ82" s="17"/>
      <c r="BR82" s="19"/>
      <c r="BS82" s="13"/>
      <c r="BT82" s="5"/>
      <c r="BU82" s="23"/>
      <c r="BV82" s="23"/>
      <c r="BW82" s="24"/>
      <c r="BX82" s="5"/>
      <c r="BY82" s="5"/>
      <c r="BZ82" s="5"/>
      <c r="CA82" s="24"/>
      <c r="CB82" s="24"/>
      <c r="CC82" s="24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>
        <f t="shared" si="90"/>
        <v>997.65000000000009</v>
      </c>
      <c r="CV82" s="25">
        <f t="shared" si="91"/>
        <v>0</v>
      </c>
    </row>
    <row r="83" spans="1:100" x14ac:dyDescent="0.2">
      <c r="A83" s="27"/>
      <c r="B83" s="28"/>
      <c r="C83" s="29"/>
      <c r="D83" s="30"/>
      <c r="E83" s="31"/>
      <c r="F83" s="32"/>
      <c r="G83" s="33"/>
      <c r="H83" s="34"/>
      <c r="I83" s="34"/>
      <c r="J83" s="35"/>
      <c r="K83" s="36"/>
      <c r="L83" s="37"/>
      <c r="M83" s="38">
        <f>SUM(M77:M82)</f>
        <v>5292.2999999999993</v>
      </c>
      <c r="N83" s="38"/>
      <c r="O83" s="39" t="s">
        <v>111</v>
      </c>
      <c r="P83" s="38">
        <f>SUM(P77:P82)</f>
        <v>47.252678571428575</v>
      </c>
      <c r="Q83" s="38">
        <f>SUM(Q77:Q82)</f>
        <v>567.03214285714284</v>
      </c>
      <c r="R83" s="38">
        <f>SUM(R77:R82)</f>
        <v>4772.5205357142859</v>
      </c>
      <c r="S83" s="38">
        <f t="shared" ref="S83:AD83" si="106">SUM(S77:S77)</f>
        <v>0</v>
      </c>
      <c r="T83" s="38">
        <f t="shared" si="106"/>
        <v>0</v>
      </c>
      <c r="U83" s="38">
        <f t="shared" si="106"/>
        <v>0</v>
      </c>
      <c r="V83" s="38">
        <f t="shared" si="106"/>
        <v>0</v>
      </c>
      <c r="W83" s="38">
        <f t="shared" si="106"/>
        <v>0</v>
      </c>
      <c r="X83" s="38">
        <f t="shared" si="106"/>
        <v>0</v>
      </c>
      <c r="Y83" s="38">
        <f t="shared" si="106"/>
        <v>0</v>
      </c>
      <c r="Z83" s="38">
        <f t="shared" si="106"/>
        <v>0</v>
      </c>
      <c r="AA83" s="38">
        <f t="shared" si="106"/>
        <v>0</v>
      </c>
      <c r="AB83" s="38">
        <f t="shared" si="106"/>
        <v>0</v>
      </c>
      <c r="AC83" s="38">
        <f t="shared" si="106"/>
        <v>0</v>
      </c>
      <c r="AD83" s="38">
        <f t="shared" si="106"/>
        <v>0</v>
      </c>
      <c r="AE83" s="30"/>
      <c r="AF83" s="38">
        <f>SUM(AF77:AF77)</f>
        <v>0</v>
      </c>
      <c r="AG83" s="30"/>
      <c r="AH83" s="38">
        <f t="shared" ref="AH83:AZ83" si="107">SUM(AH77:AH77)</f>
        <v>0</v>
      </c>
      <c r="AI83" s="38">
        <f t="shared" si="107"/>
        <v>0</v>
      </c>
      <c r="AJ83" s="38">
        <f t="shared" si="107"/>
        <v>0</v>
      </c>
      <c r="AK83" s="38">
        <f t="shared" si="107"/>
        <v>0</v>
      </c>
      <c r="AL83" s="38">
        <f t="shared" si="107"/>
        <v>0</v>
      </c>
      <c r="AM83" s="38">
        <f t="shared" si="107"/>
        <v>0</v>
      </c>
      <c r="AN83" s="38">
        <f t="shared" si="107"/>
        <v>0</v>
      </c>
      <c r="AO83" s="38">
        <f t="shared" si="107"/>
        <v>0</v>
      </c>
      <c r="AP83" s="38">
        <f t="shared" si="107"/>
        <v>0</v>
      </c>
      <c r="AQ83" s="38">
        <f t="shared" si="107"/>
        <v>0</v>
      </c>
      <c r="AR83" s="38">
        <f t="shared" si="107"/>
        <v>0</v>
      </c>
      <c r="AS83" s="38">
        <f t="shared" si="107"/>
        <v>0</v>
      </c>
      <c r="AT83" s="38">
        <f t="shared" si="107"/>
        <v>0</v>
      </c>
      <c r="AU83" s="38">
        <f t="shared" si="107"/>
        <v>0</v>
      </c>
      <c r="AV83" s="38">
        <f t="shared" si="107"/>
        <v>0</v>
      </c>
      <c r="AW83" s="38">
        <f t="shared" si="107"/>
        <v>0</v>
      </c>
      <c r="AX83" s="38">
        <f t="shared" si="107"/>
        <v>0</v>
      </c>
      <c r="AY83" s="38">
        <f t="shared" si="107"/>
        <v>0</v>
      </c>
      <c r="AZ83" s="38">
        <f t="shared" si="107"/>
        <v>0</v>
      </c>
      <c r="BA83" s="30"/>
      <c r="BB83" s="38">
        <f t="shared" ref="BB83:CT83" si="108">SUM(BB77:BB77)</f>
        <v>0</v>
      </c>
      <c r="BC83" s="38">
        <f t="shared" si="108"/>
        <v>0</v>
      </c>
      <c r="BD83" s="38">
        <f t="shared" si="108"/>
        <v>0</v>
      </c>
      <c r="BE83" s="38">
        <f t="shared" si="108"/>
        <v>0</v>
      </c>
      <c r="BF83" s="38">
        <f t="shared" si="108"/>
        <v>0</v>
      </c>
      <c r="BG83" s="38">
        <f t="shared" si="108"/>
        <v>0</v>
      </c>
      <c r="BH83" s="38">
        <f t="shared" si="108"/>
        <v>0</v>
      </c>
      <c r="BI83" s="38">
        <f t="shared" si="108"/>
        <v>0</v>
      </c>
      <c r="BJ83" s="38">
        <f t="shared" si="108"/>
        <v>0</v>
      </c>
      <c r="BK83" s="38">
        <f t="shared" si="108"/>
        <v>0</v>
      </c>
      <c r="BL83" s="38">
        <f t="shared" si="108"/>
        <v>0</v>
      </c>
      <c r="BM83" s="38">
        <f t="shared" si="108"/>
        <v>0</v>
      </c>
      <c r="BN83" s="38">
        <f t="shared" si="108"/>
        <v>0</v>
      </c>
      <c r="BO83" s="38">
        <f t="shared" si="108"/>
        <v>0</v>
      </c>
      <c r="BP83" s="38">
        <f t="shared" si="108"/>
        <v>0</v>
      </c>
      <c r="BQ83" s="38">
        <f t="shared" si="108"/>
        <v>0</v>
      </c>
      <c r="BR83" s="38">
        <f t="shared" si="108"/>
        <v>0</v>
      </c>
      <c r="BS83" s="38">
        <f t="shared" si="108"/>
        <v>0</v>
      </c>
      <c r="BT83" s="38">
        <f t="shared" si="108"/>
        <v>0</v>
      </c>
      <c r="BU83" s="38">
        <f t="shared" si="108"/>
        <v>0</v>
      </c>
      <c r="BV83" s="38">
        <f t="shared" si="108"/>
        <v>0</v>
      </c>
      <c r="BW83" s="38">
        <f t="shared" si="108"/>
        <v>0</v>
      </c>
      <c r="BX83" s="38">
        <f t="shared" si="108"/>
        <v>0</v>
      </c>
      <c r="BY83" s="38">
        <f t="shared" si="108"/>
        <v>0</v>
      </c>
      <c r="BZ83" s="38">
        <f t="shared" si="108"/>
        <v>0</v>
      </c>
      <c r="CA83" s="38">
        <f t="shared" si="108"/>
        <v>0</v>
      </c>
      <c r="CB83" s="38">
        <f t="shared" si="108"/>
        <v>0</v>
      </c>
      <c r="CC83" s="38">
        <f t="shared" si="108"/>
        <v>0</v>
      </c>
      <c r="CD83" s="38">
        <f t="shared" si="108"/>
        <v>0</v>
      </c>
      <c r="CE83" s="38">
        <f t="shared" si="108"/>
        <v>0</v>
      </c>
      <c r="CF83" s="38">
        <f t="shared" si="108"/>
        <v>0</v>
      </c>
      <c r="CG83" s="38">
        <f t="shared" si="108"/>
        <v>0</v>
      </c>
      <c r="CH83" s="38">
        <f t="shared" si="108"/>
        <v>0</v>
      </c>
      <c r="CI83" s="38">
        <f t="shared" si="108"/>
        <v>0</v>
      </c>
      <c r="CJ83" s="38">
        <f t="shared" si="108"/>
        <v>0</v>
      </c>
      <c r="CK83" s="38">
        <f t="shared" si="108"/>
        <v>0</v>
      </c>
      <c r="CL83" s="38">
        <f t="shared" si="108"/>
        <v>0</v>
      </c>
      <c r="CM83" s="38">
        <f t="shared" si="108"/>
        <v>0</v>
      </c>
      <c r="CN83" s="38">
        <f t="shared" si="108"/>
        <v>0</v>
      </c>
      <c r="CO83" s="38">
        <f t="shared" si="108"/>
        <v>0</v>
      </c>
      <c r="CP83" s="38">
        <f t="shared" si="108"/>
        <v>0</v>
      </c>
      <c r="CQ83" s="38">
        <f t="shared" si="108"/>
        <v>0</v>
      </c>
      <c r="CR83" s="38">
        <f t="shared" si="108"/>
        <v>0</v>
      </c>
      <c r="CS83" s="38">
        <f t="shared" si="108"/>
        <v>0</v>
      </c>
      <c r="CT83" s="38">
        <f t="shared" si="108"/>
        <v>0</v>
      </c>
      <c r="CU83" s="17">
        <f t="shared" si="90"/>
        <v>5292.2999999999993</v>
      </c>
      <c r="CV83" s="25">
        <f t="shared" si="91"/>
        <v>0</v>
      </c>
    </row>
    <row r="84" spans="1:100" x14ac:dyDescent="0.2">
      <c r="A84" s="2">
        <v>45888</v>
      </c>
      <c r="B84" s="3" t="s">
        <v>761</v>
      </c>
      <c r="C84" s="4" t="s">
        <v>877</v>
      </c>
      <c r="D84" s="5" t="s">
        <v>122</v>
      </c>
      <c r="E84" s="6"/>
      <c r="F84" s="7"/>
      <c r="G84" s="8"/>
      <c r="H84" s="9"/>
      <c r="I84" s="10"/>
      <c r="J84" s="11" t="s">
        <v>226</v>
      </c>
      <c r="K84" s="12">
        <v>1</v>
      </c>
      <c r="L84" s="13">
        <v>117</v>
      </c>
      <c r="M84" s="14">
        <f t="shared" ref="M84" si="109">L84*K84</f>
        <v>117</v>
      </c>
      <c r="N84" s="15"/>
      <c r="O84" s="16" t="s">
        <v>137</v>
      </c>
      <c r="P84" s="17"/>
      <c r="Q84" s="18"/>
      <c r="R84" s="5"/>
      <c r="S84" s="19"/>
      <c r="T84" s="19"/>
      <c r="U84" s="19"/>
      <c r="V84" s="19"/>
      <c r="W84" s="17"/>
      <c r="X84" s="20"/>
      <c r="Y84" s="19"/>
      <c r="Z84" s="19"/>
      <c r="AA84" s="19"/>
      <c r="AB84" s="19"/>
      <c r="AC84" s="19"/>
      <c r="AD84" s="19"/>
      <c r="AE84" s="5"/>
      <c r="AF84" s="19"/>
      <c r="AG84" s="5"/>
      <c r="AH84" s="17"/>
      <c r="AI84" s="19"/>
      <c r="AJ84" s="19"/>
      <c r="AK84" s="19"/>
      <c r="AL84" s="19"/>
      <c r="AM84" s="17"/>
      <c r="AN84" s="19"/>
      <c r="AO84" s="19"/>
      <c r="AP84" s="19"/>
      <c r="AQ84" s="19"/>
      <c r="AR84" s="19"/>
      <c r="AS84" s="21"/>
      <c r="AT84" s="5"/>
      <c r="AU84" s="19"/>
      <c r="AV84" s="5"/>
      <c r="AW84" s="22"/>
      <c r="AX84" s="19"/>
      <c r="AY84" s="5"/>
      <c r="AZ84" s="19"/>
      <c r="BA84" s="5"/>
      <c r="BB84" s="5"/>
      <c r="BC84" s="17">
        <f>M84+P84-Q84</f>
        <v>117</v>
      </c>
      <c r="BD84" s="19"/>
      <c r="BE84" s="19"/>
      <c r="BF84" s="19"/>
      <c r="BG84" s="19"/>
      <c r="BH84" s="19"/>
      <c r="BI84" s="19"/>
      <c r="BJ84" s="19"/>
      <c r="BK84" s="13"/>
      <c r="BL84" s="5"/>
      <c r="BM84" s="5"/>
      <c r="BN84" s="19"/>
      <c r="BO84" s="17"/>
      <c r="BP84" s="19"/>
      <c r="BQ84" s="17"/>
      <c r="BR84" s="19"/>
      <c r="BS84" s="13"/>
      <c r="BT84" s="5"/>
      <c r="BU84" s="23"/>
      <c r="BV84" s="23"/>
      <c r="BW84" s="24"/>
      <c r="BX84" s="5"/>
      <c r="BY84" s="5"/>
      <c r="BZ84" s="5"/>
      <c r="CA84" s="24"/>
      <c r="CB84" s="24"/>
      <c r="CC84" s="24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>
        <f t="shared" si="90"/>
        <v>117</v>
      </c>
      <c r="CV84" s="25">
        <f t="shared" si="91"/>
        <v>0</v>
      </c>
    </row>
    <row r="85" spans="1:100" s="205" customFormat="1" x14ac:dyDescent="0.2">
      <c r="A85" s="192"/>
      <c r="B85" s="193"/>
      <c r="C85" s="194"/>
      <c r="D85" s="195"/>
      <c r="E85" s="196"/>
      <c r="F85" s="197"/>
      <c r="G85" s="198"/>
      <c r="H85" s="199"/>
      <c r="I85" s="199"/>
      <c r="J85" s="200"/>
      <c r="K85" s="201"/>
      <c r="L85" s="202"/>
      <c r="M85" s="203">
        <f>SUM(M84:M84)</f>
        <v>117</v>
      </c>
      <c r="N85" s="203">
        <f>M85+M83+M76+M72+M70+M68</f>
        <v>9239.2999999999993</v>
      </c>
      <c r="O85" s="204" t="s">
        <v>137</v>
      </c>
      <c r="P85" s="203"/>
      <c r="Q85" s="203"/>
      <c r="R85" s="195"/>
      <c r="S85" s="203">
        <f t="shared" ref="S85:AD85" si="110">SUM(S84:S84)</f>
        <v>0</v>
      </c>
      <c r="T85" s="203">
        <f t="shared" si="110"/>
        <v>0</v>
      </c>
      <c r="U85" s="203">
        <f t="shared" si="110"/>
        <v>0</v>
      </c>
      <c r="V85" s="203">
        <f t="shared" si="110"/>
        <v>0</v>
      </c>
      <c r="W85" s="203">
        <f t="shared" si="110"/>
        <v>0</v>
      </c>
      <c r="X85" s="203">
        <f t="shared" si="110"/>
        <v>0</v>
      </c>
      <c r="Y85" s="203">
        <f t="shared" si="110"/>
        <v>0</v>
      </c>
      <c r="Z85" s="203">
        <f t="shared" si="110"/>
        <v>0</v>
      </c>
      <c r="AA85" s="203">
        <f t="shared" si="110"/>
        <v>0</v>
      </c>
      <c r="AB85" s="203">
        <f t="shared" si="110"/>
        <v>0</v>
      </c>
      <c r="AC85" s="203">
        <f t="shared" si="110"/>
        <v>0</v>
      </c>
      <c r="AD85" s="203">
        <f t="shared" si="110"/>
        <v>0</v>
      </c>
      <c r="AE85" s="195"/>
      <c r="AF85" s="203">
        <f>SUM(AF84:AF84)</f>
        <v>0</v>
      </c>
      <c r="AG85" s="195"/>
      <c r="AH85" s="203">
        <f t="shared" ref="AH85:AZ85" si="111">SUM(AH84:AH84)</f>
        <v>0</v>
      </c>
      <c r="AI85" s="203">
        <f t="shared" si="111"/>
        <v>0</v>
      </c>
      <c r="AJ85" s="203">
        <f t="shared" si="111"/>
        <v>0</v>
      </c>
      <c r="AK85" s="203">
        <f t="shared" si="111"/>
        <v>0</v>
      </c>
      <c r="AL85" s="203">
        <f t="shared" si="111"/>
        <v>0</v>
      </c>
      <c r="AM85" s="203">
        <f t="shared" si="111"/>
        <v>0</v>
      </c>
      <c r="AN85" s="203">
        <f t="shared" si="111"/>
        <v>0</v>
      </c>
      <c r="AO85" s="203">
        <f t="shared" si="111"/>
        <v>0</v>
      </c>
      <c r="AP85" s="203">
        <f t="shared" si="111"/>
        <v>0</v>
      </c>
      <c r="AQ85" s="203">
        <f t="shared" si="111"/>
        <v>0</v>
      </c>
      <c r="AR85" s="203">
        <f t="shared" si="111"/>
        <v>0</v>
      </c>
      <c r="AS85" s="203">
        <f t="shared" si="111"/>
        <v>0</v>
      </c>
      <c r="AT85" s="203">
        <f t="shared" si="111"/>
        <v>0</v>
      </c>
      <c r="AU85" s="203">
        <f t="shared" si="111"/>
        <v>0</v>
      </c>
      <c r="AV85" s="203">
        <f t="shared" si="111"/>
        <v>0</v>
      </c>
      <c r="AW85" s="203">
        <f t="shared" si="111"/>
        <v>0</v>
      </c>
      <c r="AX85" s="203">
        <f t="shared" si="111"/>
        <v>0</v>
      </c>
      <c r="AY85" s="203">
        <f t="shared" si="111"/>
        <v>0</v>
      </c>
      <c r="AZ85" s="203">
        <f t="shared" si="111"/>
        <v>0</v>
      </c>
      <c r="BA85" s="195"/>
      <c r="BB85" s="203">
        <f t="shared" ref="BB85:CT85" si="112">SUM(BB84:BB84)</f>
        <v>0</v>
      </c>
      <c r="BC85" s="203">
        <f>SUM(BC84:BC84)</f>
        <v>117</v>
      </c>
      <c r="BD85" s="203">
        <f t="shared" si="112"/>
        <v>0</v>
      </c>
      <c r="BE85" s="203">
        <f t="shared" si="112"/>
        <v>0</v>
      </c>
      <c r="BF85" s="203">
        <f t="shared" si="112"/>
        <v>0</v>
      </c>
      <c r="BG85" s="203">
        <f t="shared" si="112"/>
        <v>0</v>
      </c>
      <c r="BH85" s="203">
        <f t="shared" si="112"/>
        <v>0</v>
      </c>
      <c r="BI85" s="203">
        <f t="shared" si="112"/>
        <v>0</v>
      </c>
      <c r="BJ85" s="203">
        <f t="shared" si="112"/>
        <v>0</v>
      </c>
      <c r="BK85" s="203">
        <f t="shared" si="112"/>
        <v>0</v>
      </c>
      <c r="BL85" s="203">
        <f t="shared" si="112"/>
        <v>0</v>
      </c>
      <c r="BM85" s="203">
        <f t="shared" si="112"/>
        <v>0</v>
      </c>
      <c r="BN85" s="203">
        <f t="shared" si="112"/>
        <v>0</v>
      </c>
      <c r="BO85" s="203">
        <f t="shared" si="112"/>
        <v>0</v>
      </c>
      <c r="BP85" s="203">
        <f t="shared" si="112"/>
        <v>0</v>
      </c>
      <c r="BQ85" s="203">
        <f t="shared" si="112"/>
        <v>0</v>
      </c>
      <c r="BR85" s="203">
        <f t="shared" si="112"/>
        <v>0</v>
      </c>
      <c r="BS85" s="203">
        <f t="shared" si="112"/>
        <v>0</v>
      </c>
      <c r="BT85" s="203">
        <f t="shared" si="112"/>
        <v>0</v>
      </c>
      <c r="BU85" s="203">
        <f t="shared" si="112"/>
        <v>0</v>
      </c>
      <c r="BV85" s="203">
        <f t="shared" si="112"/>
        <v>0</v>
      </c>
      <c r="BW85" s="203">
        <f t="shared" si="112"/>
        <v>0</v>
      </c>
      <c r="BX85" s="203">
        <f t="shared" si="112"/>
        <v>0</v>
      </c>
      <c r="BY85" s="203">
        <f t="shared" si="112"/>
        <v>0</v>
      </c>
      <c r="BZ85" s="203">
        <f t="shared" si="112"/>
        <v>0</v>
      </c>
      <c r="CA85" s="203">
        <f t="shared" si="112"/>
        <v>0</v>
      </c>
      <c r="CB85" s="203">
        <f t="shared" si="112"/>
        <v>0</v>
      </c>
      <c r="CC85" s="203">
        <f t="shared" si="112"/>
        <v>0</v>
      </c>
      <c r="CD85" s="203">
        <f t="shared" si="112"/>
        <v>0</v>
      </c>
      <c r="CE85" s="203">
        <f t="shared" si="112"/>
        <v>0</v>
      </c>
      <c r="CF85" s="203">
        <f t="shared" si="112"/>
        <v>0</v>
      </c>
      <c r="CG85" s="203">
        <f t="shared" si="112"/>
        <v>0</v>
      </c>
      <c r="CH85" s="203">
        <f t="shared" si="112"/>
        <v>0</v>
      </c>
      <c r="CI85" s="203">
        <f t="shared" si="112"/>
        <v>0</v>
      </c>
      <c r="CJ85" s="203">
        <f t="shared" si="112"/>
        <v>0</v>
      </c>
      <c r="CK85" s="203">
        <f t="shared" si="112"/>
        <v>0</v>
      </c>
      <c r="CL85" s="203">
        <f t="shared" si="112"/>
        <v>0</v>
      </c>
      <c r="CM85" s="203">
        <f t="shared" si="112"/>
        <v>0</v>
      </c>
      <c r="CN85" s="203">
        <f t="shared" si="112"/>
        <v>0</v>
      </c>
      <c r="CO85" s="203">
        <f t="shared" si="112"/>
        <v>0</v>
      </c>
      <c r="CP85" s="203">
        <f t="shared" si="112"/>
        <v>0</v>
      </c>
      <c r="CQ85" s="203">
        <f t="shared" si="112"/>
        <v>0</v>
      </c>
      <c r="CR85" s="203">
        <f t="shared" si="112"/>
        <v>0</v>
      </c>
      <c r="CS85" s="203">
        <f t="shared" si="112"/>
        <v>0</v>
      </c>
      <c r="CT85" s="203">
        <f t="shared" si="112"/>
        <v>0</v>
      </c>
      <c r="CU85" s="17">
        <f t="shared" si="90"/>
        <v>117</v>
      </c>
      <c r="CV85" s="25">
        <f t="shared" si="91"/>
        <v>0</v>
      </c>
    </row>
    <row r="86" spans="1:100" x14ac:dyDescent="0.2">
      <c r="A86" s="2">
        <v>45889</v>
      </c>
      <c r="B86" s="3" t="s">
        <v>782</v>
      </c>
      <c r="C86" s="4" t="s">
        <v>878</v>
      </c>
      <c r="D86" s="5" t="s">
        <v>122</v>
      </c>
      <c r="E86" s="6" t="s">
        <v>783</v>
      </c>
      <c r="F86" s="7" t="s">
        <v>229</v>
      </c>
      <c r="G86" s="8" t="s">
        <v>784</v>
      </c>
      <c r="H86" s="9">
        <v>170296</v>
      </c>
      <c r="I86" s="10"/>
      <c r="J86" s="11" t="s">
        <v>785</v>
      </c>
      <c r="K86" s="12">
        <v>1</v>
      </c>
      <c r="L86" s="13">
        <v>2100</v>
      </c>
      <c r="M86" s="14">
        <f t="shared" ref="M86:M87" si="113">L86*K86</f>
        <v>2100</v>
      </c>
      <c r="N86" s="15"/>
      <c r="O86" s="16" t="s">
        <v>111</v>
      </c>
      <c r="P86" s="17">
        <f>M86/1.12*0.01</f>
        <v>18.749999999999996</v>
      </c>
      <c r="Q86" s="18">
        <f>M86/1.12*0.12</f>
        <v>224.99999999999997</v>
      </c>
      <c r="R86" s="5"/>
      <c r="S86" s="19"/>
      <c r="T86" s="19"/>
      <c r="U86" s="19"/>
      <c r="V86" s="19"/>
      <c r="W86" s="17"/>
      <c r="X86" s="20"/>
      <c r="Y86" s="19"/>
      <c r="Z86" s="19"/>
      <c r="AA86" s="19"/>
      <c r="AB86" s="19"/>
      <c r="AC86" s="19"/>
      <c r="AD86" s="19"/>
      <c r="AE86" s="5"/>
      <c r="AF86" s="19"/>
      <c r="AG86" s="5"/>
      <c r="AH86" s="17">
        <f>M86+P86-Q86</f>
        <v>1893.75</v>
      </c>
      <c r="AI86" s="19"/>
      <c r="AJ86" s="19"/>
      <c r="AK86" s="19"/>
      <c r="AL86" s="19"/>
      <c r="AM86" s="17"/>
      <c r="AN86" s="19"/>
      <c r="AO86" s="19"/>
      <c r="AP86" s="5"/>
      <c r="AQ86" s="19"/>
      <c r="AR86" s="19"/>
      <c r="AS86" s="21"/>
      <c r="AT86" s="5"/>
      <c r="AU86" s="19"/>
      <c r="AV86" s="5"/>
      <c r="AW86" s="22"/>
      <c r="AX86" s="19"/>
      <c r="AY86" s="5"/>
      <c r="AZ86" s="19"/>
      <c r="BA86" s="5"/>
      <c r="BB86" s="5"/>
      <c r="BC86" s="19"/>
      <c r="BD86" s="19"/>
      <c r="BE86" s="19"/>
      <c r="BF86" s="19"/>
      <c r="BG86" s="19"/>
      <c r="BH86" s="19"/>
      <c r="BI86" s="19"/>
      <c r="BJ86" s="19"/>
      <c r="BK86" s="13"/>
      <c r="BL86" s="5"/>
      <c r="BM86" s="5"/>
      <c r="BN86" s="19"/>
      <c r="BO86" s="17"/>
      <c r="BP86" s="19"/>
      <c r="BQ86" s="17"/>
      <c r="BR86" s="19"/>
      <c r="BS86" s="13"/>
      <c r="BT86" s="5"/>
      <c r="BU86" s="23"/>
      <c r="BV86" s="23"/>
      <c r="BW86" s="24"/>
      <c r="BX86" s="5"/>
      <c r="BY86" s="5"/>
      <c r="BZ86" s="5"/>
      <c r="CA86" s="24"/>
      <c r="CB86" s="24"/>
      <c r="CC86" s="24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>
        <f t="shared" si="90"/>
        <v>2100</v>
      </c>
      <c r="CV86" s="25">
        <f t="shared" si="91"/>
        <v>0</v>
      </c>
    </row>
    <row r="87" spans="1:100" x14ac:dyDescent="0.2">
      <c r="A87" s="2"/>
      <c r="B87" s="3"/>
      <c r="C87" s="4"/>
      <c r="D87" s="5"/>
      <c r="E87" s="6"/>
      <c r="F87" s="7"/>
      <c r="G87" s="8"/>
      <c r="H87" s="9"/>
      <c r="I87" s="10"/>
      <c r="J87" s="11" t="s">
        <v>786</v>
      </c>
      <c r="K87" s="12">
        <v>40</v>
      </c>
      <c r="L87" s="13">
        <v>100</v>
      </c>
      <c r="M87" s="14">
        <f t="shared" si="113"/>
        <v>4000</v>
      </c>
      <c r="N87" s="15"/>
      <c r="O87" s="16" t="s">
        <v>111</v>
      </c>
      <c r="P87" s="17">
        <f t="shared" ref="P87" si="114">M87/1.12*0.01</f>
        <v>35.714285714285715</v>
      </c>
      <c r="Q87" s="18">
        <f t="shared" ref="Q87" si="115">M87/1.12*0.12</f>
        <v>428.5714285714285</v>
      </c>
      <c r="R87" s="5"/>
      <c r="S87" s="19"/>
      <c r="T87" s="19"/>
      <c r="U87" s="19"/>
      <c r="V87" s="19"/>
      <c r="W87" s="17"/>
      <c r="X87" s="20"/>
      <c r="Y87" s="19"/>
      <c r="Z87" s="19"/>
      <c r="AA87" s="19"/>
      <c r="AB87" s="19"/>
      <c r="AC87" s="19"/>
      <c r="AD87" s="19"/>
      <c r="AE87" s="5"/>
      <c r="AF87" s="19"/>
      <c r="AG87" s="5"/>
      <c r="AH87" s="17">
        <f>M87+P87-Q87</f>
        <v>3607.1428571428573</v>
      </c>
      <c r="AI87" s="19"/>
      <c r="AJ87" s="19"/>
      <c r="AK87" s="19"/>
      <c r="AL87" s="19"/>
      <c r="AM87" s="17"/>
      <c r="AN87" s="19"/>
      <c r="AO87" s="19"/>
      <c r="AP87" s="5"/>
      <c r="AQ87" s="19"/>
      <c r="AR87" s="19"/>
      <c r="AS87" s="21"/>
      <c r="AT87" s="5"/>
      <c r="AU87" s="19"/>
      <c r="AV87" s="5"/>
      <c r="AW87" s="22"/>
      <c r="AX87" s="19"/>
      <c r="AY87" s="5"/>
      <c r="AZ87" s="19"/>
      <c r="BA87" s="5"/>
      <c r="BB87" s="5"/>
      <c r="BC87" s="19"/>
      <c r="BD87" s="19"/>
      <c r="BE87" s="19"/>
      <c r="BF87" s="19"/>
      <c r="BG87" s="19"/>
      <c r="BH87" s="19"/>
      <c r="BI87" s="19"/>
      <c r="BJ87" s="19"/>
      <c r="BK87" s="13"/>
      <c r="BL87" s="5"/>
      <c r="BM87" s="5"/>
      <c r="BN87" s="19"/>
      <c r="BO87" s="17"/>
      <c r="BP87" s="19"/>
      <c r="BQ87" s="17"/>
      <c r="BR87" s="19"/>
      <c r="BS87" s="13"/>
      <c r="BT87" s="5"/>
      <c r="BU87" s="23"/>
      <c r="BV87" s="23"/>
      <c r="BW87" s="24"/>
      <c r="BX87" s="5"/>
      <c r="BY87" s="5"/>
      <c r="BZ87" s="5"/>
      <c r="CA87" s="24"/>
      <c r="CB87" s="24"/>
      <c r="CC87" s="24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>
        <f t="shared" si="90"/>
        <v>4000</v>
      </c>
      <c r="CV87" s="25">
        <f t="shared" si="91"/>
        <v>0</v>
      </c>
    </row>
    <row r="88" spans="1:100" x14ac:dyDescent="0.2">
      <c r="A88" s="27"/>
      <c r="B88" s="28"/>
      <c r="C88" s="29"/>
      <c r="D88" s="30"/>
      <c r="E88" s="31"/>
      <c r="F88" s="32"/>
      <c r="G88" s="33"/>
      <c r="H88" s="34"/>
      <c r="I88" s="34"/>
      <c r="J88" s="35"/>
      <c r="K88" s="36"/>
      <c r="L88" s="37"/>
      <c r="M88" s="38">
        <f>SUM(M86:M87)</f>
        <v>6100</v>
      </c>
      <c r="N88" s="38"/>
      <c r="O88" s="39" t="s">
        <v>111</v>
      </c>
      <c r="P88" s="38">
        <f>SUM(P86:P87)</f>
        <v>54.464285714285708</v>
      </c>
      <c r="Q88" s="38">
        <f>SUM(Q86:Q87)</f>
        <v>653.57142857142844</v>
      </c>
      <c r="R88" s="30"/>
      <c r="S88" s="38">
        <f t="shared" ref="S88:AD88" si="116">SUM(S86:S86)</f>
        <v>0</v>
      </c>
      <c r="T88" s="38">
        <f t="shared" si="116"/>
        <v>0</v>
      </c>
      <c r="U88" s="38">
        <f t="shared" si="116"/>
        <v>0</v>
      </c>
      <c r="V88" s="38">
        <f t="shared" si="116"/>
        <v>0</v>
      </c>
      <c r="W88" s="38">
        <f t="shared" si="116"/>
        <v>0</v>
      </c>
      <c r="X88" s="38">
        <f t="shared" si="116"/>
        <v>0</v>
      </c>
      <c r="Y88" s="38">
        <f t="shared" si="116"/>
        <v>0</v>
      </c>
      <c r="Z88" s="38">
        <f t="shared" si="116"/>
        <v>0</v>
      </c>
      <c r="AA88" s="38">
        <f t="shared" si="116"/>
        <v>0</v>
      </c>
      <c r="AB88" s="38">
        <f t="shared" si="116"/>
        <v>0</v>
      </c>
      <c r="AC88" s="38">
        <f t="shared" si="116"/>
        <v>0</v>
      </c>
      <c r="AD88" s="38">
        <f t="shared" si="116"/>
        <v>0</v>
      </c>
      <c r="AE88" s="30"/>
      <c r="AF88" s="38">
        <f>SUM(AF86:AF86)</f>
        <v>0</v>
      </c>
      <c r="AG88" s="30"/>
      <c r="AH88" s="38">
        <f>SUM(AH86:AH87)</f>
        <v>5500.8928571428569</v>
      </c>
      <c r="AI88" s="38">
        <f t="shared" ref="AI88:AZ88" si="117">SUM(AI86:AI86)</f>
        <v>0</v>
      </c>
      <c r="AJ88" s="38">
        <f t="shared" si="117"/>
        <v>0</v>
      </c>
      <c r="AK88" s="38">
        <f t="shared" si="117"/>
        <v>0</v>
      </c>
      <c r="AL88" s="38">
        <f t="shared" si="117"/>
        <v>0</v>
      </c>
      <c r="AM88" s="38">
        <f t="shared" si="117"/>
        <v>0</v>
      </c>
      <c r="AN88" s="38">
        <f t="shared" si="117"/>
        <v>0</v>
      </c>
      <c r="AO88" s="38">
        <f t="shared" si="117"/>
        <v>0</v>
      </c>
      <c r="AP88" s="30"/>
      <c r="AQ88" s="38">
        <f t="shared" si="117"/>
        <v>0</v>
      </c>
      <c r="AR88" s="38">
        <f t="shared" si="117"/>
        <v>0</v>
      </c>
      <c r="AS88" s="38">
        <f t="shared" si="117"/>
        <v>0</v>
      </c>
      <c r="AT88" s="38">
        <f t="shared" si="117"/>
        <v>0</v>
      </c>
      <c r="AU88" s="38">
        <f t="shared" si="117"/>
        <v>0</v>
      </c>
      <c r="AV88" s="38">
        <f t="shared" si="117"/>
        <v>0</v>
      </c>
      <c r="AW88" s="38">
        <f t="shared" si="117"/>
        <v>0</v>
      </c>
      <c r="AX88" s="38">
        <f t="shared" si="117"/>
        <v>0</v>
      </c>
      <c r="AY88" s="38">
        <f t="shared" si="117"/>
        <v>0</v>
      </c>
      <c r="AZ88" s="38">
        <f t="shared" si="117"/>
        <v>0</v>
      </c>
      <c r="BA88" s="30"/>
      <c r="BB88" s="38">
        <f t="shared" ref="BB88:CT88" si="118">SUM(BB86:BB86)</f>
        <v>0</v>
      </c>
      <c r="BC88" s="38">
        <f t="shared" si="118"/>
        <v>0</v>
      </c>
      <c r="BD88" s="38">
        <f t="shared" si="118"/>
        <v>0</v>
      </c>
      <c r="BE88" s="38">
        <f t="shared" si="118"/>
        <v>0</v>
      </c>
      <c r="BF88" s="38">
        <f t="shared" si="118"/>
        <v>0</v>
      </c>
      <c r="BG88" s="38">
        <f t="shared" si="118"/>
        <v>0</v>
      </c>
      <c r="BH88" s="38">
        <f t="shared" si="118"/>
        <v>0</v>
      </c>
      <c r="BI88" s="38">
        <f t="shared" si="118"/>
        <v>0</v>
      </c>
      <c r="BJ88" s="38">
        <f t="shared" si="118"/>
        <v>0</v>
      </c>
      <c r="BK88" s="38">
        <f t="shared" si="118"/>
        <v>0</v>
      </c>
      <c r="BL88" s="38">
        <f t="shared" si="118"/>
        <v>0</v>
      </c>
      <c r="BM88" s="38">
        <f t="shared" si="118"/>
        <v>0</v>
      </c>
      <c r="BN88" s="38">
        <f t="shared" si="118"/>
        <v>0</v>
      </c>
      <c r="BO88" s="38">
        <f t="shared" si="118"/>
        <v>0</v>
      </c>
      <c r="BP88" s="38">
        <f t="shared" si="118"/>
        <v>0</v>
      </c>
      <c r="BQ88" s="38">
        <f t="shared" si="118"/>
        <v>0</v>
      </c>
      <c r="BR88" s="38">
        <f t="shared" si="118"/>
        <v>0</v>
      </c>
      <c r="BS88" s="38">
        <f t="shared" si="118"/>
        <v>0</v>
      </c>
      <c r="BT88" s="38">
        <f t="shared" si="118"/>
        <v>0</v>
      </c>
      <c r="BU88" s="38">
        <f t="shared" si="118"/>
        <v>0</v>
      </c>
      <c r="BV88" s="38">
        <f t="shared" si="118"/>
        <v>0</v>
      </c>
      <c r="BW88" s="38">
        <f t="shared" si="118"/>
        <v>0</v>
      </c>
      <c r="BX88" s="38">
        <f t="shared" si="118"/>
        <v>0</v>
      </c>
      <c r="BY88" s="38">
        <f t="shared" si="118"/>
        <v>0</v>
      </c>
      <c r="BZ88" s="38">
        <f t="shared" si="118"/>
        <v>0</v>
      </c>
      <c r="CA88" s="38">
        <f t="shared" si="118"/>
        <v>0</v>
      </c>
      <c r="CB88" s="38">
        <f t="shared" si="118"/>
        <v>0</v>
      </c>
      <c r="CC88" s="38">
        <f t="shared" si="118"/>
        <v>0</v>
      </c>
      <c r="CD88" s="38">
        <f t="shared" si="118"/>
        <v>0</v>
      </c>
      <c r="CE88" s="38">
        <f t="shared" si="118"/>
        <v>0</v>
      </c>
      <c r="CF88" s="38">
        <f t="shared" si="118"/>
        <v>0</v>
      </c>
      <c r="CG88" s="38">
        <f t="shared" si="118"/>
        <v>0</v>
      </c>
      <c r="CH88" s="38">
        <f t="shared" si="118"/>
        <v>0</v>
      </c>
      <c r="CI88" s="38">
        <f t="shared" si="118"/>
        <v>0</v>
      </c>
      <c r="CJ88" s="38">
        <f t="shared" si="118"/>
        <v>0</v>
      </c>
      <c r="CK88" s="38">
        <f t="shared" si="118"/>
        <v>0</v>
      </c>
      <c r="CL88" s="38">
        <f t="shared" si="118"/>
        <v>0</v>
      </c>
      <c r="CM88" s="38">
        <f t="shared" si="118"/>
        <v>0</v>
      </c>
      <c r="CN88" s="38">
        <f t="shared" si="118"/>
        <v>0</v>
      </c>
      <c r="CO88" s="38">
        <f t="shared" si="118"/>
        <v>0</v>
      </c>
      <c r="CP88" s="38">
        <f t="shared" si="118"/>
        <v>0</v>
      </c>
      <c r="CQ88" s="38">
        <f t="shared" si="118"/>
        <v>0</v>
      </c>
      <c r="CR88" s="38">
        <f t="shared" si="118"/>
        <v>0</v>
      </c>
      <c r="CS88" s="38">
        <f t="shared" si="118"/>
        <v>0</v>
      </c>
      <c r="CT88" s="38">
        <f t="shared" si="118"/>
        <v>0</v>
      </c>
      <c r="CU88" s="17">
        <f t="shared" si="90"/>
        <v>6100</v>
      </c>
      <c r="CV88" s="25">
        <f t="shared" si="91"/>
        <v>0</v>
      </c>
    </row>
    <row r="89" spans="1:100" x14ac:dyDescent="0.2">
      <c r="A89" s="2">
        <v>45889</v>
      </c>
      <c r="B89" s="3" t="s">
        <v>782</v>
      </c>
      <c r="C89" s="4" t="s">
        <v>879</v>
      </c>
      <c r="D89" s="5" t="s">
        <v>122</v>
      </c>
      <c r="E89" s="6" t="s">
        <v>787</v>
      </c>
      <c r="F89" s="7" t="s">
        <v>296</v>
      </c>
      <c r="G89" s="8" t="s">
        <v>788</v>
      </c>
      <c r="H89" s="9">
        <v>9745</v>
      </c>
      <c r="I89" s="10" t="s">
        <v>789</v>
      </c>
      <c r="J89" s="11" t="s">
        <v>790</v>
      </c>
      <c r="K89" s="12">
        <v>4</v>
      </c>
      <c r="L89" s="13">
        <v>1470</v>
      </c>
      <c r="M89" s="14">
        <f t="shared" ref="M89:M91" si="119">L89*K89</f>
        <v>5880</v>
      </c>
      <c r="N89" s="15"/>
      <c r="O89" s="16" t="s">
        <v>111</v>
      </c>
      <c r="P89" s="17">
        <f>M89/1.12*0.01</f>
        <v>52.499999999999993</v>
      </c>
      <c r="Q89" s="18">
        <f>M89/1.12*0.12</f>
        <v>629.99999999999989</v>
      </c>
      <c r="R89" s="5"/>
      <c r="S89" s="19"/>
      <c r="T89" s="19"/>
      <c r="U89" s="19"/>
      <c r="V89" s="19"/>
      <c r="W89" s="17"/>
      <c r="X89" s="20"/>
      <c r="Y89" s="19"/>
      <c r="Z89" s="19"/>
      <c r="AA89" s="19"/>
      <c r="AB89" s="19"/>
      <c r="AC89" s="19"/>
      <c r="AD89" s="19"/>
      <c r="AE89" s="5"/>
      <c r="AF89" s="19"/>
      <c r="AG89" s="5"/>
      <c r="AH89" s="17">
        <f>M89+P89-Q89</f>
        <v>5302.5</v>
      </c>
      <c r="AI89" s="19"/>
      <c r="AJ89" s="19"/>
      <c r="AK89" s="19"/>
      <c r="AL89" s="19"/>
      <c r="AM89" s="17"/>
      <c r="AN89" s="19"/>
      <c r="AO89" s="19"/>
      <c r="AP89" s="5"/>
      <c r="AQ89" s="19"/>
      <c r="AR89" s="19"/>
      <c r="AS89" s="21"/>
      <c r="AT89" s="5"/>
      <c r="AU89" s="19"/>
      <c r="AV89" s="5"/>
      <c r="AW89" s="22"/>
      <c r="AX89" s="19"/>
      <c r="AY89" s="5"/>
      <c r="AZ89" s="19"/>
      <c r="BA89" s="5"/>
      <c r="BB89" s="5"/>
      <c r="BC89" s="19"/>
      <c r="BD89" s="19"/>
      <c r="BE89" s="19"/>
      <c r="BF89" s="19"/>
      <c r="BG89" s="19"/>
      <c r="BH89" s="19"/>
      <c r="BI89" s="19"/>
      <c r="BJ89" s="19"/>
      <c r="BK89" s="13"/>
      <c r="BL89" s="5"/>
      <c r="BM89" s="5"/>
      <c r="BN89" s="19"/>
      <c r="BO89" s="17"/>
      <c r="BP89" s="19"/>
      <c r="BQ89" s="17"/>
      <c r="BR89" s="19"/>
      <c r="BS89" s="13"/>
      <c r="BT89" s="5"/>
      <c r="BU89" s="23"/>
      <c r="BV89" s="23"/>
      <c r="BW89" s="24"/>
      <c r="BX89" s="5"/>
      <c r="BY89" s="5"/>
      <c r="BZ89" s="5"/>
      <c r="CA89" s="24"/>
      <c r="CB89" s="24"/>
      <c r="CC89" s="24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>
        <f t="shared" si="90"/>
        <v>5880</v>
      </c>
      <c r="CV89" s="25">
        <f t="shared" si="91"/>
        <v>0</v>
      </c>
    </row>
    <row r="90" spans="1:100" x14ac:dyDescent="0.2">
      <c r="A90" s="2"/>
      <c r="B90" s="3"/>
      <c r="C90" s="4"/>
      <c r="D90" s="5"/>
      <c r="E90" s="6"/>
      <c r="F90" s="7"/>
      <c r="G90" s="8"/>
      <c r="H90" s="9"/>
      <c r="I90" s="10"/>
      <c r="J90" s="11" t="s">
        <v>791</v>
      </c>
      <c r="K90" s="12">
        <v>4</v>
      </c>
      <c r="L90" s="13">
        <v>2780</v>
      </c>
      <c r="M90" s="14">
        <f t="shared" si="119"/>
        <v>11120</v>
      </c>
      <c r="N90" s="15"/>
      <c r="O90" s="16" t="s">
        <v>111</v>
      </c>
      <c r="P90" s="17">
        <f t="shared" ref="P90:P91" si="120">M90/1.12*0.01</f>
        <v>99.285714285714278</v>
      </c>
      <c r="Q90" s="18">
        <f t="shared" ref="Q90:Q91" si="121">M90/1.12*0.12</f>
        <v>1191.4285714285713</v>
      </c>
      <c r="R90" s="5"/>
      <c r="S90" s="19"/>
      <c r="T90" s="19"/>
      <c r="U90" s="19"/>
      <c r="V90" s="19"/>
      <c r="W90" s="17"/>
      <c r="X90" s="20"/>
      <c r="Y90" s="19"/>
      <c r="Z90" s="19"/>
      <c r="AA90" s="19"/>
      <c r="AB90" s="19"/>
      <c r="AC90" s="19"/>
      <c r="AD90" s="19"/>
      <c r="AE90" s="5"/>
      <c r="AF90" s="19"/>
      <c r="AG90" s="5"/>
      <c r="AH90" s="17">
        <f>M90+P90-Q90</f>
        <v>10027.857142857143</v>
      </c>
      <c r="AI90" s="19"/>
      <c r="AJ90" s="19"/>
      <c r="AK90" s="19"/>
      <c r="AL90" s="19"/>
      <c r="AM90" s="17"/>
      <c r="AN90" s="19"/>
      <c r="AO90" s="19"/>
      <c r="AP90" s="5"/>
      <c r="AQ90" s="19"/>
      <c r="AR90" s="19"/>
      <c r="AS90" s="21"/>
      <c r="AT90" s="5"/>
      <c r="AU90" s="19"/>
      <c r="AV90" s="5"/>
      <c r="AW90" s="22"/>
      <c r="AX90" s="19"/>
      <c r="AY90" s="5"/>
      <c r="AZ90" s="19"/>
      <c r="BA90" s="5"/>
      <c r="BB90" s="5"/>
      <c r="BC90" s="19"/>
      <c r="BD90" s="19"/>
      <c r="BE90" s="19"/>
      <c r="BF90" s="19"/>
      <c r="BG90" s="19"/>
      <c r="BH90" s="19"/>
      <c r="BI90" s="19"/>
      <c r="BJ90" s="19"/>
      <c r="BK90" s="13"/>
      <c r="BL90" s="5"/>
      <c r="BM90" s="5"/>
      <c r="BN90" s="19"/>
      <c r="BO90" s="17"/>
      <c r="BP90" s="19"/>
      <c r="BQ90" s="17"/>
      <c r="BR90" s="19"/>
      <c r="BS90" s="13"/>
      <c r="BT90" s="5"/>
      <c r="BU90" s="23"/>
      <c r="BV90" s="23"/>
      <c r="BW90" s="24"/>
      <c r="BX90" s="5"/>
      <c r="BY90" s="5"/>
      <c r="BZ90" s="5"/>
      <c r="CA90" s="24"/>
      <c r="CB90" s="24"/>
      <c r="CC90" s="24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>
        <f t="shared" si="90"/>
        <v>11120</v>
      </c>
      <c r="CV90" s="25">
        <f t="shared" si="91"/>
        <v>0</v>
      </c>
    </row>
    <row r="91" spans="1:100" x14ac:dyDescent="0.2">
      <c r="A91" s="2"/>
      <c r="B91" s="3"/>
      <c r="C91" s="4"/>
      <c r="D91" s="5"/>
      <c r="E91" s="6"/>
      <c r="F91" s="7"/>
      <c r="G91" s="8"/>
      <c r="H91" s="9"/>
      <c r="I91" s="10"/>
      <c r="J91" s="11" t="s">
        <v>792</v>
      </c>
      <c r="K91" s="12">
        <v>4</v>
      </c>
      <c r="L91" s="13">
        <v>83</v>
      </c>
      <c r="M91" s="14">
        <f t="shared" si="119"/>
        <v>332</v>
      </c>
      <c r="N91" s="15"/>
      <c r="O91" s="16" t="s">
        <v>111</v>
      </c>
      <c r="P91" s="17">
        <f t="shared" si="120"/>
        <v>2.964285714285714</v>
      </c>
      <c r="Q91" s="18">
        <f t="shared" si="121"/>
        <v>35.571428571428562</v>
      </c>
      <c r="R91" s="5"/>
      <c r="S91" s="19"/>
      <c r="T91" s="19"/>
      <c r="U91" s="19"/>
      <c r="V91" s="19"/>
      <c r="W91" s="17"/>
      <c r="X91" s="20"/>
      <c r="Y91" s="19"/>
      <c r="Z91" s="19"/>
      <c r="AA91" s="19"/>
      <c r="AB91" s="19"/>
      <c r="AC91" s="19"/>
      <c r="AD91" s="19"/>
      <c r="AE91" s="5"/>
      <c r="AF91" s="19"/>
      <c r="AG91" s="5"/>
      <c r="AH91" s="17">
        <f>M91+P91-Q91</f>
        <v>299.39285714285717</v>
      </c>
      <c r="AI91" s="19"/>
      <c r="AJ91" s="19"/>
      <c r="AK91" s="19"/>
      <c r="AL91" s="19"/>
      <c r="AM91" s="17"/>
      <c r="AN91" s="19"/>
      <c r="AO91" s="19"/>
      <c r="AP91" s="5"/>
      <c r="AQ91" s="19"/>
      <c r="AR91" s="19"/>
      <c r="AS91" s="21"/>
      <c r="AT91" s="5"/>
      <c r="AU91" s="19"/>
      <c r="AV91" s="5"/>
      <c r="AW91" s="22"/>
      <c r="AX91" s="19"/>
      <c r="AY91" s="5"/>
      <c r="AZ91" s="19"/>
      <c r="BA91" s="5"/>
      <c r="BB91" s="5"/>
      <c r="BC91" s="19"/>
      <c r="BD91" s="19"/>
      <c r="BE91" s="19"/>
      <c r="BF91" s="19"/>
      <c r="BG91" s="19"/>
      <c r="BH91" s="19"/>
      <c r="BI91" s="19"/>
      <c r="BJ91" s="19"/>
      <c r="BK91" s="13"/>
      <c r="BL91" s="5"/>
      <c r="BM91" s="5"/>
      <c r="BN91" s="19"/>
      <c r="BO91" s="17"/>
      <c r="BP91" s="19"/>
      <c r="BQ91" s="17"/>
      <c r="BR91" s="19"/>
      <c r="BS91" s="13"/>
      <c r="BT91" s="5"/>
      <c r="BU91" s="23"/>
      <c r="BV91" s="23"/>
      <c r="BW91" s="24"/>
      <c r="BX91" s="5"/>
      <c r="BY91" s="5"/>
      <c r="BZ91" s="5"/>
      <c r="CA91" s="24"/>
      <c r="CB91" s="24"/>
      <c r="CC91" s="24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>
        <f t="shared" si="90"/>
        <v>332</v>
      </c>
      <c r="CV91" s="25">
        <f t="shared" si="91"/>
        <v>0</v>
      </c>
    </row>
    <row r="92" spans="1:100" x14ac:dyDescent="0.2">
      <c r="A92" s="27"/>
      <c r="B92" s="28"/>
      <c r="C92" s="29"/>
      <c r="D92" s="30"/>
      <c r="E92" s="31"/>
      <c r="F92" s="32"/>
      <c r="G92" s="33"/>
      <c r="H92" s="34"/>
      <c r="I92" s="34"/>
      <c r="J92" s="35"/>
      <c r="K92" s="36"/>
      <c r="L92" s="37"/>
      <c r="M92" s="38">
        <f>SUM(M89:M91)</f>
        <v>17332</v>
      </c>
      <c r="N92" s="38"/>
      <c r="O92" s="39" t="s">
        <v>111</v>
      </c>
      <c r="P92" s="38">
        <f>SUM(P89:P91)</f>
        <v>154.75</v>
      </c>
      <c r="Q92" s="38">
        <f>SUM(Q89:Q91)</f>
        <v>1856.9999999999998</v>
      </c>
      <c r="R92" s="30"/>
      <c r="S92" s="38">
        <f t="shared" ref="S92:AD92" si="122">SUM(S89:S89)</f>
        <v>0</v>
      </c>
      <c r="T92" s="38">
        <f t="shared" si="122"/>
        <v>0</v>
      </c>
      <c r="U92" s="38">
        <f t="shared" si="122"/>
        <v>0</v>
      </c>
      <c r="V92" s="38">
        <f t="shared" si="122"/>
        <v>0</v>
      </c>
      <c r="W92" s="38">
        <f t="shared" si="122"/>
        <v>0</v>
      </c>
      <c r="X92" s="38">
        <f t="shared" si="122"/>
        <v>0</v>
      </c>
      <c r="Y92" s="38">
        <f t="shared" si="122"/>
        <v>0</v>
      </c>
      <c r="Z92" s="38">
        <f t="shared" si="122"/>
        <v>0</v>
      </c>
      <c r="AA92" s="38">
        <f t="shared" si="122"/>
        <v>0</v>
      </c>
      <c r="AB92" s="38">
        <f t="shared" si="122"/>
        <v>0</v>
      </c>
      <c r="AC92" s="38">
        <f t="shared" si="122"/>
        <v>0</v>
      </c>
      <c r="AD92" s="38">
        <f t="shared" si="122"/>
        <v>0</v>
      </c>
      <c r="AE92" s="30"/>
      <c r="AF92" s="38">
        <f>SUM(AF89:AF89)</f>
        <v>0</v>
      </c>
      <c r="AG92" s="30"/>
      <c r="AH92" s="38">
        <f>SUM(AH89:AH91)</f>
        <v>15629.75</v>
      </c>
      <c r="AI92" s="38">
        <f t="shared" ref="AI92:AZ92" si="123">SUM(AI89:AI89)</f>
        <v>0</v>
      </c>
      <c r="AJ92" s="38">
        <f t="shared" si="123"/>
        <v>0</v>
      </c>
      <c r="AK92" s="38">
        <f t="shared" si="123"/>
        <v>0</v>
      </c>
      <c r="AL92" s="38">
        <f t="shared" si="123"/>
        <v>0</v>
      </c>
      <c r="AM92" s="38">
        <f t="shared" si="123"/>
        <v>0</v>
      </c>
      <c r="AN92" s="38">
        <f t="shared" si="123"/>
        <v>0</v>
      </c>
      <c r="AO92" s="38">
        <f t="shared" si="123"/>
        <v>0</v>
      </c>
      <c r="AP92" s="30"/>
      <c r="AQ92" s="38">
        <f t="shared" si="123"/>
        <v>0</v>
      </c>
      <c r="AR92" s="38">
        <f t="shared" si="123"/>
        <v>0</v>
      </c>
      <c r="AS92" s="38">
        <f t="shared" si="123"/>
        <v>0</v>
      </c>
      <c r="AT92" s="38">
        <f t="shared" si="123"/>
        <v>0</v>
      </c>
      <c r="AU92" s="38">
        <f t="shared" si="123"/>
        <v>0</v>
      </c>
      <c r="AV92" s="38">
        <f t="shared" si="123"/>
        <v>0</v>
      </c>
      <c r="AW92" s="38">
        <f t="shared" si="123"/>
        <v>0</v>
      </c>
      <c r="AX92" s="38">
        <f t="shared" si="123"/>
        <v>0</v>
      </c>
      <c r="AY92" s="38">
        <f t="shared" si="123"/>
        <v>0</v>
      </c>
      <c r="AZ92" s="38">
        <f t="shared" si="123"/>
        <v>0</v>
      </c>
      <c r="BA92" s="30"/>
      <c r="BB92" s="38">
        <f t="shared" ref="BB92:CT92" si="124">SUM(BB89:BB89)</f>
        <v>0</v>
      </c>
      <c r="BC92" s="38">
        <f t="shared" si="124"/>
        <v>0</v>
      </c>
      <c r="BD92" s="38">
        <f t="shared" si="124"/>
        <v>0</v>
      </c>
      <c r="BE92" s="38">
        <f t="shared" si="124"/>
        <v>0</v>
      </c>
      <c r="BF92" s="38">
        <f t="shared" si="124"/>
        <v>0</v>
      </c>
      <c r="BG92" s="38">
        <f t="shared" si="124"/>
        <v>0</v>
      </c>
      <c r="BH92" s="38">
        <f t="shared" si="124"/>
        <v>0</v>
      </c>
      <c r="BI92" s="38">
        <f t="shared" si="124"/>
        <v>0</v>
      </c>
      <c r="BJ92" s="38">
        <f t="shared" si="124"/>
        <v>0</v>
      </c>
      <c r="BK92" s="38">
        <f t="shared" si="124"/>
        <v>0</v>
      </c>
      <c r="BL92" s="38">
        <f t="shared" si="124"/>
        <v>0</v>
      </c>
      <c r="BM92" s="38">
        <f t="shared" si="124"/>
        <v>0</v>
      </c>
      <c r="BN92" s="38">
        <f t="shared" si="124"/>
        <v>0</v>
      </c>
      <c r="BO92" s="38">
        <f t="shared" si="124"/>
        <v>0</v>
      </c>
      <c r="BP92" s="38">
        <f t="shared" si="124"/>
        <v>0</v>
      </c>
      <c r="BQ92" s="38">
        <f t="shared" si="124"/>
        <v>0</v>
      </c>
      <c r="BR92" s="38">
        <f t="shared" si="124"/>
        <v>0</v>
      </c>
      <c r="BS92" s="38">
        <f t="shared" si="124"/>
        <v>0</v>
      </c>
      <c r="BT92" s="38">
        <f t="shared" si="124"/>
        <v>0</v>
      </c>
      <c r="BU92" s="38">
        <f t="shared" si="124"/>
        <v>0</v>
      </c>
      <c r="BV92" s="38">
        <f t="shared" si="124"/>
        <v>0</v>
      </c>
      <c r="BW92" s="38">
        <f t="shared" si="124"/>
        <v>0</v>
      </c>
      <c r="BX92" s="38">
        <f t="shared" si="124"/>
        <v>0</v>
      </c>
      <c r="BY92" s="38">
        <f t="shared" si="124"/>
        <v>0</v>
      </c>
      <c r="BZ92" s="38">
        <f t="shared" si="124"/>
        <v>0</v>
      </c>
      <c r="CA92" s="38">
        <f t="shared" si="124"/>
        <v>0</v>
      </c>
      <c r="CB92" s="38">
        <f t="shared" si="124"/>
        <v>0</v>
      </c>
      <c r="CC92" s="38">
        <f t="shared" si="124"/>
        <v>0</v>
      </c>
      <c r="CD92" s="38">
        <f t="shared" si="124"/>
        <v>0</v>
      </c>
      <c r="CE92" s="38">
        <f t="shared" si="124"/>
        <v>0</v>
      </c>
      <c r="CF92" s="38">
        <f t="shared" si="124"/>
        <v>0</v>
      </c>
      <c r="CG92" s="38">
        <f t="shared" si="124"/>
        <v>0</v>
      </c>
      <c r="CH92" s="38">
        <f t="shared" si="124"/>
        <v>0</v>
      </c>
      <c r="CI92" s="38">
        <f t="shared" si="124"/>
        <v>0</v>
      </c>
      <c r="CJ92" s="38">
        <f t="shared" si="124"/>
        <v>0</v>
      </c>
      <c r="CK92" s="38">
        <f t="shared" si="124"/>
        <v>0</v>
      </c>
      <c r="CL92" s="38">
        <f t="shared" si="124"/>
        <v>0</v>
      </c>
      <c r="CM92" s="38">
        <f t="shared" si="124"/>
        <v>0</v>
      </c>
      <c r="CN92" s="38">
        <f t="shared" si="124"/>
        <v>0</v>
      </c>
      <c r="CO92" s="38">
        <f t="shared" si="124"/>
        <v>0</v>
      </c>
      <c r="CP92" s="38">
        <f t="shared" si="124"/>
        <v>0</v>
      </c>
      <c r="CQ92" s="38">
        <f t="shared" si="124"/>
        <v>0</v>
      </c>
      <c r="CR92" s="38">
        <f t="shared" si="124"/>
        <v>0</v>
      </c>
      <c r="CS92" s="38">
        <f t="shared" si="124"/>
        <v>0</v>
      </c>
      <c r="CT92" s="38">
        <f t="shared" si="124"/>
        <v>0</v>
      </c>
      <c r="CU92" s="17">
        <f t="shared" si="90"/>
        <v>17332</v>
      </c>
      <c r="CV92" s="25">
        <f t="shared" si="91"/>
        <v>0</v>
      </c>
    </row>
    <row r="93" spans="1:100" x14ac:dyDescent="0.2">
      <c r="A93" s="2">
        <v>45889</v>
      </c>
      <c r="B93" s="3" t="s">
        <v>782</v>
      </c>
      <c r="C93" s="4" t="s">
        <v>880</v>
      </c>
      <c r="D93" s="5" t="s">
        <v>122</v>
      </c>
      <c r="E93" s="6" t="s">
        <v>793</v>
      </c>
      <c r="F93" s="7" t="s">
        <v>258</v>
      </c>
      <c r="G93" s="8" t="s">
        <v>259</v>
      </c>
      <c r="H93" s="9">
        <v>100288842</v>
      </c>
      <c r="I93" s="10" t="s">
        <v>794</v>
      </c>
      <c r="J93" s="11" t="s">
        <v>795</v>
      </c>
      <c r="K93" s="12">
        <v>4</v>
      </c>
      <c r="L93" s="13">
        <v>67</v>
      </c>
      <c r="M93" s="14">
        <f t="shared" ref="M93" si="125">L93*K93</f>
        <v>268</v>
      </c>
      <c r="N93" s="15"/>
      <c r="O93" s="16" t="s">
        <v>111</v>
      </c>
      <c r="P93" s="17">
        <f>M93/1.12*0.01</f>
        <v>2.3928571428571423</v>
      </c>
      <c r="Q93" s="18">
        <f>M93/1.12*0.12</f>
        <v>28.714285714285708</v>
      </c>
      <c r="R93" s="5"/>
      <c r="S93" s="19"/>
      <c r="T93" s="19"/>
      <c r="U93" s="19"/>
      <c r="V93" s="19"/>
      <c r="W93" s="17"/>
      <c r="X93" s="20"/>
      <c r="Y93" s="19"/>
      <c r="Z93" s="19"/>
      <c r="AA93" s="19"/>
      <c r="AB93" s="19"/>
      <c r="AC93" s="19"/>
      <c r="AD93" s="19"/>
      <c r="AE93" s="5"/>
      <c r="AF93" s="19"/>
      <c r="AG93" s="5"/>
      <c r="AH93" s="17">
        <f>M93+P93-Q93</f>
        <v>241.67857142857144</v>
      </c>
      <c r="AI93" s="19"/>
      <c r="AJ93" s="19"/>
      <c r="AK93" s="19"/>
      <c r="AL93" s="19"/>
      <c r="AM93" s="17"/>
      <c r="AN93" s="19"/>
      <c r="AO93" s="19"/>
      <c r="AP93" s="5"/>
      <c r="AQ93" s="19"/>
      <c r="AR93" s="19"/>
      <c r="AS93" s="21"/>
      <c r="AT93" s="5"/>
      <c r="AU93" s="19"/>
      <c r="AV93" s="5"/>
      <c r="AW93" s="22"/>
      <c r="AX93" s="19"/>
      <c r="AY93" s="5"/>
      <c r="AZ93" s="19"/>
      <c r="BA93" s="5"/>
      <c r="BB93" s="5"/>
      <c r="BC93" s="19"/>
      <c r="BD93" s="19"/>
      <c r="BE93" s="19"/>
      <c r="BF93" s="19"/>
      <c r="BG93" s="19"/>
      <c r="BH93" s="19"/>
      <c r="BI93" s="19"/>
      <c r="BJ93" s="19"/>
      <c r="BK93" s="13"/>
      <c r="BL93" s="5"/>
      <c r="BM93" s="5"/>
      <c r="BN93" s="19"/>
      <c r="BO93" s="17"/>
      <c r="BP93" s="19"/>
      <c r="BQ93" s="17"/>
      <c r="BR93" s="19"/>
      <c r="BS93" s="13"/>
      <c r="BT93" s="5"/>
      <c r="BU93" s="23"/>
      <c r="BV93" s="23"/>
      <c r="BW93" s="24"/>
      <c r="BX93" s="5"/>
      <c r="BY93" s="5"/>
      <c r="BZ93" s="5"/>
      <c r="CA93" s="24"/>
      <c r="CB93" s="24"/>
      <c r="CC93" s="24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>
        <f t="shared" si="90"/>
        <v>268</v>
      </c>
      <c r="CV93" s="25">
        <f t="shared" si="91"/>
        <v>0</v>
      </c>
    </row>
    <row r="94" spans="1:100" s="205" customFormat="1" x14ac:dyDescent="0.2">
      <c r="A94" s="192"/>
      <c r="B94" s="193"/>
      <c r="C94" s="194"/>
      <c r="D94" s="195"/>
      <c r="E94" s="196"/>
      <c r="F94" s="197"/>
      <c r="G94" s="198"/>
      <c r="H94" s="199"/>
      <c r="I94" s="199"/>
      <c r="J94" s="200"/>
      <c r="K94" s="201"/>
      <c r="L94" s="202"/>
      <c r="M94" s="203">
        <f>SUM(M93:M93)</f>
        <v>268</v>
      </c>
      <c r="N94" s="203">
        <f>M94+M92+M88</f>
        <v>23700</v>
      </c>
      <c r="O94" s="204" t="s">
        <v>111</v>
      </c>
      <c r="P94" s="203">
        <f>SUM(P93:P93)</f>
        <v>2.3928571428571423</v>
      </c>
      <c r="Q94" s="203">
        <f>SUM(Q93:Q93)</f>
        <v>28.714285714285708</v>
      </c>
      <c r="R94" s="195"/>
      <c r="S94" s="203">
        <f t="shared" ref="S94:AD94" si="126">SUM(S93:S93)</f>
        <v>0</v>
      </c>
      <c r="T94" s="203">
        <f t="shared" si="126"/>
        <v>0</v>
      </c>
      <c r="U94" s="203">
        <f t="shared" si="126"/>
        <v>0</v>
      </c>
      <c r="V94" s="203">
        <f t="shared" si="126"/>
        <v>0</v>
      </c>
      <c r="W94" s="203">
        <f t="shared" si="126"/>
        <v>0</v>
      </c>
      <c r="X94" s="203">
        <f t="shared" si="126"/>
        <v>0</v>
      </c>
      <c r="Y94" s="203">
        <f t="shared" si="126"/>
        <v>0</v>
      </c>
      <c r="Z94" s="203">
        <f t="shared" si="126"/>
        <v>0</v>
      </c>
      <c r="AA94" s="203">
        <f t="shared" si="126"/>
        <v>0</v>
      </c>
      <c r="AB94" s="203">
        <f t="shared" si="126"/>
        <v>0</v>
      </c>
      <c r="AC94" s="203">
        <f t="shared" si="126"/>
        <v>0</v>
      </c>
      <c r="AD94" s="203">
        <f t="shared" si="126"/>
        <v>0</v>
      </c>
      <c r="AE94" s="195"/>
      <c r="AF94" s="203">
        <f>SUM(AF93:AF93)</f>
        <v>0</v>
      </c>
      <c r="AG94" s="195"/>
      <c r="AH94" s="203">
        <f>SUM(AH93:AH93)</f>
        <v>241.67857142857144</v>
      </c>
      <c r="AI94" s="203">
        <f t="shared" ref="AI94:AZ94" si="127">SUM(AI93:AI93)</f>
        <v>0</v>
      </c>
      <c r="AJ94" s="203">
        <f t="shared" si="127"/>
        <v>0</v>
      </c>
      <c r="AK94" s="203">
        <f t="shared" si="127"/>
        <v>0</v>
      </c>
      <c r="AL94" s="203">
        <f t="shared" si="127"/>
        <v>0</v>
      </c>
      <c r="AM94" s="203">
        <f t="shared" si="127"/>
        <v>0</v>
      </c>
      <c r="AN94" s="203">
        <f t="shared" si="127"/>
        <v>0</v>
      </c>
      <c r="AO94" s="203">
        <f t="shared" si="127"/>
        <v>0</v>
      </c>
      <c r="AP94" s="195"/>
      <c r="AQ94" s="203">
        <f t="shared" si="127"/>
        <v>0</v>
      </c>
      <c r="AR94" s="203">
        <f t="shared" si="127"/>
        <v>0</v>
      </c>
      <c r="AS94" s="203">
        <f t="shared" si="127"/>
        <v>0</v>
      </c>
      <c r="AT94" s="203">
        <f t="shared" si="127"/>
        <v>0</v>
      </c>
      <c r="AU94" s="203">
        <f t="shared" si="127"/>
        <v>0</v>
      </c>
      <c r="AV94" s="203">
        <f t="shared" si="127"/>
        <v>0</v>
      </c>
      <c r="AW94" s="203">
        <f t="shared" si="127"/>
        <v>0</v>
      </c>
      <c r="AX94" s="203">
        <f t="shared" si="127"/>
        <v>0</v>
      </c>
      <c r="AY94" s="203">
        <f t="shared" si="127"/>
        <v>0</v>
      </c>
      <c r="AZ94" s="203">
        <f t="shared" si="127"/>
        <v>0</v>
      </c>
      <c r="BA94" s="195"/>
      <c r="BB94" s="203">
        <f t="shared" ref="BB94:CT94" si="128">SUM(BB93:BB93)</f>
        <v>0</v>
      </c>
      <c r="BC94" s="203">
        <f t="shared" si="128"/>
        <v>0</v>
      </c>
      <c r="BD94" s="203">
        <f t="shared" si="128"/>
        <v>0</v>
      </c>
      <c r="BE94" s="203">
        <f t="shared" si="128"/>
        <v>0</v>
      </c>
      <c r="BF94" s="203">
        <f t="shared" si="128"/>
        <v>0</v>
      </c>
      <c r="BG94" s="203">
        <f t="shared" si="128"/>
        <v>0</v>
      </c>
      <c r="BH94" s="203">
        <f t="shared" si="128"/>
        <v>0</v>
      </c>
      <c r="BI94" s="203">
        <f t="shared" si="128"/>
        <v>0</v>
      </c>
      <c r="BJ94" s="203">
        <f t="shared" si="128"/>
        <v>0</v>
      </c>
      <c r="BK94" s="203">
        <f t="shared" si="128"/>
        <v>0</v>
      </c>
      <c r="BL94" s="203">
        <f t="shared" si="128"/>
        <v>0</v>
      </c>
      <c r="BM94" s="203">
        <f t="shared" si="128"/>
        <v>0</v>
      </c>
      <c r="BN94" s="203">
        <f t="shared" si="128"/>
        <v>0</v>
      </c>
      <c r="BO94" s="203">
        <f t="shared" si="128"/>
        <v>0</v>
      </c>
      <c r="BP94" s="203">
        <f t="shared" si="128"/>
        <v>0</v>
      </c>
      <c r="BQ94" s="203">
        <f t="shared" si="128"/>
        <v>0</v>
      </c>
      <c r="BR94" s="203">
        <f t="shared" si="128"/>
        <v>0</v>
      </c>
      <c r="BS94" s="203">
        <f t="shared" si="128"/>
        <v>0</v>
      </c>
      <c r="BT94" s="203">
        <f t="shared" si="128"/>
        <v>0</v>
      </c>
      <c r="BU94" s="203">
        <f t="shared" si="128"/>
        <v>0</v>
      </c>
      <c r="BV94" s="203">
        <f t="shared" si="128"/>
        <v>0</v>
      </c>
      <c r="BW94" s="203">
        <f t="shared" si="128"/>
        <v>0</v>
      </c>
      <c r="BX94" s="203">
        <f t="shared" si="128"/>
        <v>0</v>
      </c>
      <c r="BY94" s="203">
        <f t="shared" si="128"/>
        <v>0</v>
      </c>
      <c r="BZ94" s="203">
        <f t="shared" si="128"/>
        <v>0</v>
      </c>
      <c r="CA94" s="203">
        <f t="shared" si="128"/>
        <v>0</v>
      </c>
      <c r="CB94" s="203">
        <f t="shared" si="128"/>
        <v>0</v>
      </c>
      <c r="CC94" s="203">
        <f t="shared" si="128"/>
        <v>0</v>
      </c>
      <c r="CD94" s="203">
        <f t="shared" si="128"/>
        <v>0</v>
      </c>
      <c r="CE94" s="203">
        <f t="shared" si="128"/>
        <v>0</v>
      </c>
      <c r="CF94" s="203">
        <f t="shared" si="128"/>
        <v>0</v>
      </c>
      <c r="CG94" s="203">
        <f t="shared" si="128"/>
        <v>0</v>
      </c>
      <c r="CH94" s="203">
        <f t="shared" si="128"/>
        <v>0</v>
      </c>
      <c r="CI94" s="203">
        <f t="shared" si="128"/>
        <v>0</v>
      </c>
      <c r="CJ94" s="203">
        <f t="shared" si="128"/>
        <v>0</v>
      </c>
      <c r="CK94" s="203">
        <f t="shared" si="128"/>
        <v>0</v>
      </c>
      <c r="CL94" s="203">
        <f t="shared" si="128"/>
        <v>0</v>
      </c>
      <c r="CM94" s="203">
        <f t="shared" si="128"/>
        <v>0</v>
      </c>
      <c r="CN94" s="203">
        <f t="shared" si="128"/>
        <v>0</v>
      </c>
      <c r="CO94" s="203">
        <f t="shared" si="128"/>
        <v>0</v>
      </c>
      <c r="CP94" s="203">
        <f t="shared" si="128"/>
        <v>0</v>
      </c>
      <c r="CQ94" s="203">
        <f t="shared" si="128"/>
        <v>0</v>
      </c>
      <c r="CR94" s="203">
        <f t="shared" si="128"/>
        <v>0</v>
      </c>
      <c r="CS94" s="203">
        <f t="shared" si="128"/>
        <v>0</v>
      </c>
      <c r="CT94" s="203">
        <f t="shared" si="128"/>
        <v>0</v>
      </c>
      <c r="CU94" s="17">
        <f t="shared" si="90"/>
        <v>268</v>
      </c>
      <c r="CV94" s="25">
        <f t="shared" si="91"/>
        <v>0</v>
      </c>
    </row>
    <row r="95" spans="1:100" x14ac:dyDescent="0.2">
      <c r="A95" s="2">
        <v>45889</v>
      </c>
      <c r="B95" s="3" t="s">
        <v>796</v>
      </c>
      <c r="C95" s="4" t="s">
        <v>881</v>
      </c>
      <c r="D95" s="5" t="s">
        <v>797</v>
      </c>
      <c r="E95" s="6" t="s">
        <v>798</v>
      </c>
      <c r="F95" s="7" t="s">
        <v>467</v>
      </c>
      <c r="G95" s="8"/>
      <c r="H95" s="9">
        <v>2366</v>
      </c>
      <c r="I95" s="10"/>
      <c r="J95" s="11" t="s">
        <v>799</v>
      </c>
      <c r="K95" s="12">
        <v>1</v>
      </c>
      <c r="L95" s="13">
        <v>125</v>
      </c>
      <c r="M95" s="14">
        <f t="shared" ref="M95" si="129">L95*K95</f>
        <v>125</v>
      </c>
      <c r="N95" s="15"/>
      <c r="O95" s="16" t="s">
        <v>137</v>
      </c>
      <c r="P95" s="17"/>
      <c r="Q95" s="18"/>
      <c r="R95" s="5"/>
      <c r="S95" s="19"/>
      <c r="T95" s="19"/>
      <c r="U95" s="19"/>
      <c r="V95" s="17">
        <f>M95+P95-Q95</f>
        <v>125</v>
      </c>
      <c r="W95" s="17"/>
      <c r="X95" s="20"/>
      <c r="Y95" s="19"/>
      <c r="Z95" s="19"/>
      <c r="AA95" s="19"/>
      <c r="AB95" s="19"/>
      <c r="AC95" s="19"/>
      <c r="AD95" s="19"/>
      <c r="AE95" s="5"/>
      <c r="AF95" s="19"/>
      <c r="AG95" s="5"/>
      <c r="AH95" s="17"/>
      <c r="AI95" s="19"/>
      <c r="AJ95" s="19"/>
      <c r="AK95" s="19"/>
      <c r="AL95" s="19"/>
      <c r="AM95" s="17"/>
      <c r="AN95" s="19"/>
      <c r="AO95" s="19"/>
      <c r="AP95" s="19"/>
      <c r="AQ95" s="19"/>
      <c r="AR95" s="19"/>
      <c r="AS95" s="21"/>
      <c r="AT95" s="5"/>
      <c r="AU95" s="19"/>
      <c r="AV95" s="5"/>
      <c r="AW95" s="22"/>
      <c r="AX95" s="19"/>
      <c r="AY95" s="5"/>
      <c r="AZ95" s="19"/>
      <c r="BA95" s="5"/>
      <c r="BB95" s="5"/>
      <c r="BC95" s="19"/>
      <c r="BD95" s="19"/>
      <c r="BE95" s="19"/>
      <c r="BF95" s="19"/>
      <c r="BG95" s="19"/>
      <c r="BH95" s="19"/>
      <c r="BI95" s="19"/>
      <c r="BJ95" s="19"/>
      <c r="BK95" s="13"/>
      <c r="BL95" s="5"/>
      <c r="BM95" s="5"/>
      <c r="BN95" s="19"/>
      <c r="BO95" s="17"/>
      <c r="BP95" s="19"/>
      <c r="BQ95" s="17"/>
      <c r="BR95" s="19"/>
      <c r="BS95" s="13"/>
      <c r="BT95" s="5"/>
      <c r="BU95" s="23"/>
      <c r="BV95" s="23"/>
      <c r="BW95" s="24"/>
      <c r="BX95" s="5"/>
      <c r="BY95" s="5"/>
      <c r="BZ95" s="5"/>
      <c r="CA95" s="24"/>
      <c r="CB95" s="24"/>
      <c r="CC95" s="24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>
        <f t="shared" si="90"/>
        <v>125</v>
      </c>
      <c r="CV95" s="25">
        <f t="shared" si="91"/>
        <v>0</v>
      </c>
    </row>
    <row r="96" spans="1:100" s="205" customFormat="1" x14ac:dyDescent="0.2">
      <c r="A96" s="192"/>
      <c r="B96" s="193"/>
      <c r="C96" s="194"/>
      <c r="D96" s="195"/>
      <c r="E96" s="196"/>
      <c r="F96" s="197"/>
      <c r="G96" s="198"/>
      <c r="H96" s="199"/>
      <c r="I96" s="199"/>
      <c r="J96" s="200"/>
      <c r="K96" s="201"/>
      <c r="L96" s="202"/>
      <c r="M96" s="203">
        <f>SUM(M95:M95)</f>
        <v>125</v>
      </c>
      <c r="N96" s="203">
        <f>M96</f>
        <v>125</v>
      </c>
      <c r="O96" s="204" t="s">
        <v>137</v>
      </c>
      <c r="P96" s="203"/>
      <c r="Q96" s="203"/>
      <c r="R96" s="195"/>
      <c r="S96" s="203">
        <f t="shared" ref="S96:AD96" si="130">SUM(S95:S95)</f>
        <v>0</v>
      </c>
      <c r="T96" s="203">
        <f t="shared" si="130"/>
        <v>0</v>
      </c>
      <c r="U96" s="203">
        <f t="shared" si="130"/>
        <v>0</v>
      </c>
      <c r="V96" s="203">
        <f>SUM(V95:V95)</f>
        <v>125</v>
      </c>
      <c r="W96" s="203">
        <f t="shared" si="130"/>
        <v>0</v>
      </c>
      <c r="X96" s="203">
        <f t="shared" si="130"/>
        <v>0</v>
      </c>
      <c r="Y96" s="203">
        <f t="shared" si="130"/>
        <v>0</v>
      </c>
      <c r="Z96" s="203">
        <f t="shared" si="130"/>
        <v>0</v>
      </c>
      <c r="AA96" s="203">
        <f t="shared" si="130"/>
        <v>0</v>
      </c>
      <c r="AB96" s="203">
        <f t="shared" si="130"/>
        <v>0</v>
      </c>
      <c r="AC96" s="203">
        <f t="shared" si="130"/>
        <v>0</v>
      </c>
      <c r="AD96" s="203">
        <f t="shared" si="130"/>
        <v>0</v>
      </c>
      <c r="AE96" s="195"/>
      <c r="AF96" s="203">
        <f>SUM(AF95:AF95)</f>
        <v>0</v>
      </c>
      <c r="AG96" s="195"/>
      <c r="AH96" s="203">
        <f t="shared" ref="AH96:AZ96" si="131">SUM(AH95:AH95)</f>
        <v>0</v>
      </c>
      <c r="AI96" s="203">
        <f t="shared" si="131"/>
        <v>0</v>
      </c>
      <c r="AJ96" s="203">
        <f t="shared" si="131"/>
        <v>0</v>
      </c>
      <c r="AK96" s="203">
        <f t="shared" si="131"/>
        <v>0</v>
      </c>
      <c r="AL96" s="203">
        <f t="shared" si="131"/>
        <v>0</v>
      </c>
      <c r="AM96" s="203">
        <f t="shared" si="131"/>
        <v>0</v>
      </c>
      <c r="AN96" s="203">
        <f t="shared" si="131"/>
        <v>0</v>
      </c>
      <c r="AO96" s="203">
        <f t="shared" si="131"/>
        <v>0</v>
      </c>
      <c r="AP96" s="203">
        <f t="shared" si="131"/>
        <v>0</v>
      </c>
      <c r="AQ96" s="203">
        <f t="shared" si="131"/>
        <v>0</v>
      </c>
      <c r="AR96" s="203">
        <f t="shared" si="131"/>
        <v>0</v>
      </c>
      <c r="AS96" s="203">
        <f t="shared" si="131"/>
        <v>0</v>
      </c>
      <c r="AT96" s="203">
        <f t="shared" si="131"/>
        <v>0</v>
      </c>
      <c r="AU96" s="203">
        <f t="shared" si="131"/>
        <v>0</v>
      </c>
      <c r="AV96" s="203">
        <f t="shared" si="131"/>
        <v>0</v>
      </c>
      <c r="AW96" s="203">
        <f t="shared" si="131"/>
        <v>0</v>
      </c>
      <c r="AX96" s="203">
        <f t="shared" si="131"/>
        <v>0</v>
      </c>
      <c r="AY96" s="203">
        <f t="shared" si="131"/>
        <v>0</v>
      </c>
      <c r="AZ96" s="203">
        <f t="shared" si="131"/>
        <v>0</v>
      </c>
      <c r="BA96" s="195"/>
      <c r="BB96" s="203">
        <f t="shared" ref="BB96:CT96" si="132">SUM(BB95:BB95)</f>
        <v>0</v>
      </c>
      <c r="BC96" s="203">
        <f t="shared" si="132"/>
        <v>0</v>
      </c>
      <c r="BD96" s="203">
        <f t="shared" si="132"/>
        <v>0</v>
      </c>
      <c r="BE96" s="203">
        <f t="shared" si="132"/>
        <v>0</v>
      </c>
      <c r="BF96" s="203">
        <f t="shared" si="132"/>
        <v>0</v>
      </c>
      <c r="BG96" s="203">
        <f t="shared" si="132"/>
        <v>0</v>
      </c>
      <c r="BH96" s="203">
        <f t="shared" si="132"/>
        <v>0</v>
      </c>
      <c r="BI96" s="203">
        <f t="shared" si="132"/>
        <v>0</v>
      </c>
      <c r="BJ96" s="203">
        <f t="shared" si="132"/>
        <v>0</v>
      </c>
      <c r="BK96" s="203">
        <f t="shared" si="132"/>
        <v>0</v>
      </c>
      <c r="BL96" s="203">
        <f t="shared" si="132"/>
        <v>0</v>
      </c>
      <c r="BM96" s="203">
        <f t="shared" si="132"/>
        <v>0</v>
      </c>
      <c r="BN96" s="203">
        <f t="shared" si="132"/>
        <v>0</v>
      </c>
      <c r="BO96" s="203">
        <f t="shared" si="132"/>
        <v>0</v>
      </c>
      <c r="BP96" s="203">
        <f t="shared" si="132"/>
        <v>0</v>
      </c>
      <c r="BQ96" s="203">
        <f t="shared" si="132"/>
        <v>0</v>
      </c>
      <c r="BR96" s="203">
        <f t="shared" si="132"/>
        <v>0</v>
      </c>
      <c r="BS96" s="203">
        <f t="shared" si="132"/>
        <v>0</v>
      </c>
      <c r="BT96" s="203">
        <f t="shared" si="132"/>
        <v>0</v>
      </c>
      <c r="BU96" s="203">
        <f t="shared" si="132"/>
        <v>0</v>
      </c>
      <c r="BV96" s="203">
        <f t="shared" si="132"/>
        <v>0</v>
      </c>
      <c r="BW96" s="203">
        <f t="shared" si="132"/>
        <v>0</v>
      </c>
      <c r="BX96" s="203">
        <f t="shared" si="132"/>
        <v>0</v>
      </c>
      <c r="BY96" s="203">
        <f t="shared" si="132"/>
        <v>0</v>
      </c>
      <c r="BZ96" s="203">
        <f t="shared" si="132"/>
        <v>0</v>
      </c>
      <c r="CA96" s="203">
        <f t="shared" si="132"/>
        <v>0</v>
      </c>
      <c r="CB96" s="203">
        <f t="shared" si="132"/>
        <v>0</v>
      </c>
      <c r="CC96" s="203">
        <f t="shared" si="132"/>
        <v>0</v>
      </c>
      <c r="CD96" s="203">
        <f t="shared" si="132"/>
        <v>0</v>
      </c>
      <c r="CE96" s="203">
        <f t="shared" si="132"/>
        <v>0</v>
      </c>
      <c r="CF96" s="203">
        <f t="shared" si="132"/>
        <v>0</v>
      </c>
      <c r="CG96" s="203">
        <f t="shared" si="132"/>
        <v>0</v>
      </c>
      <c r="CH96" s="203">
        <f t="shared" si="132"/>
        <v>0</v>
      </c>
      <c r="CI96" s="203">
        <f t="shared" si="132"/>
        <v>0</v>
      </c>
      <c r="CJ96" s="203">
        <f t="shared" si="132"/>
        <v>0</v>
      </c>
      <c r="CK96" s="203">
        <f t="shared" si="132"/>
        <v>0</v>
      </c>
      <c r="CL96" s="203">
        <f t="shared" si="132"/>
        <v>0</v>
      </c>
      <c r="CM96" s="203">
        <f t="shared" si="132"/>
        <v>0</v>
      </c>
      <c r="CN96" s="203">
        <f t="shared" si="132"/>
        <v>0</v>
      </c>
      <c r="CO96" s="203">
        <f t="shared" si="132"/>
        <v>0</v>
      </c>
      <c r="CP96" s="203">
        <f t="shared" si="132"/>
        <v>0</v>
      </c>
      <c r="CQ96" s="203">
        <f t="shared" si="132"/>
        <v>0</v>
      </c>
      <c r="CR96" s="203">
        <f t="shared" si="132"/>
        <v>0</v>
      </c>
      <c r="CS96" s="203">
        <f t="shared" si="132"/>
        <v>0</v>
      </c>
      <c r="CT96" s="203">
        <f t="shared" si="132"/>
        <v>0</v>
      </c>
      <c r="CU96" s="17">
        <f t="shared" si="90"/>
        <v>125</v>
      </c>
      <c r="CV96" s="25">
        <f t="shared" si="91"/>
        <v>0</v>
      </c>
    </row>
    <row r="97" spans="1:100" x14ac:dyDescent="0.2">
      <c r="A97" s="2">
        <v>45891</v>
      </c>
      <c r="B97" s="3" t="s">
        <v>800</v>
      </c>
      <c r="C97" s="4" t="s">
        <v>882</v>
      </c>
      <c r="D97" s="5" t="s">
        <v>189</v>
      </c>
      <c r="E97" s="6" t="s">
        <v>272</v>
      </c>
      <c r="F97" s="7"/>
      <c r="G97" s="8" t="s">
        <v>273</v>
      </c>
      <c r="H97" s="9">
        <v>30586</v>
      </c>
      <c r="I97" s="10"/>
      <c r="J97" s="11" t="s">
        <v>339</v>
      </c>
      <c r="K97" s="12">
        <v>6</v>
      </c>
      <c r="L97" s="13">
        <v>90</v>
      </c>
      <c r="M97" s="14">
        <f t="shared" ref="M97" si="133">L97*K97</f>
        <v>540</v>
      </c>
      <c r="N97" s="15"/>
      <c r="O97" s="16" t="s">
        <v>111</v>
      </c>
      <c r="P97" s="17">
        <f>M97/1.12*0.01</f>
        <v>4.8214285714285712</v>
      </c>
      <c r="Q97" s="18">
        <f>M97/1.12*0.12</f>
        <v>57.857142857142854</v>
      </c>
      <c r="R97" s="17">
        <f>M97+P97-Q97</f>
        <v>486.96428571428572</v>
      </c>
      <c r="S97" s="19"/>
      <c r="T97" s="19"/>
      <c r="U97" s="19"/>
      <c r="V97" s="19"/>
      <c r="W97" s="17"/>
      <c r="X97" s="20"/>
      <c r="Y97" s="19"/>
      <c r="Z97" s="19"/>
      <c r="AA97" s="19"/>
      <c r="AB97" s="19"/>
      <c r="AC97" s="19"/>
      <c r="AD97" s="19"/>
      <c r="AE97" s="5"/>
      <c r="AF97" s="19"/>
      <c r="AG97" s="5"/>
      <c r="AH97" s="17"/>
      <c r="AI97" s="19"/>
      <c r="AJ97" s="19"/>
      <c r="AK97" s="19"/>
      <c r="AL97" s="19"/>
      <c r="AM97" s="17"/>
      <c r="AN97" s="19"/>
      <c r="AO97" s="19"/>
      <c r="AP97" s="19"/>
      <c r="AQ97" s="19"/>
      <c r="AR97" s="19"/>
      <c r="AS97" s="21"/>
      <c r="AT97" s="5"/>
      <c r="AU97" s="19"/>
      <c r="AV97" s="5"/>
      <c r="AW97" s="22"/>
      <c r="AX97" s="19"/>
      <c r="AY97" s="5"/>
      <c r="AZ97" s="19"/>
      <c r="BA97" s="5"/>
      <c r="BB97" s="5"/>
      <c r="BC97" s="19"/>
      <c r="BD97" s="19"/>
      <c r="BE97" s="19"/>
      <c r="BF97" s="19"/>
      <c r="BG97" s="19"/>
      <c r="BH97" s="19"/>
      <c r="BI97" s="19"/>
      <c r="BJ97" s="19"/>
      <c r="BK97" s="13"/>
      <c r="BL97" s="5"/>
      <c r="BM97" s="5"/>
      <c r="BN97" s="19"/>
      <c r="BO97" s="17"/>
      <c r="BP97" s="19"/>
      <c r="BQ97" s="17"/>
      <c r="BR97" s="19"/>
      <c r="BS97" s="13"/>
      <c r="BT97" s="5"/>
      <c r="BU97" s="23"/>
      <c r="BV97" s="23"/>
      <c r="BW97" s="24"/>
      <c r="BX97" s="5"/>
      <c r="BY97" s="5"/>
      <c r="BZ97" s="5"/>
      <c r="CA97" s="24"/>
      <c r="CB97" s="24"/>
      <c r="CC97" s="24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>
        <f t="shared" si="90"/>
        <v>540</v>
      </c>
      <c r="CV97" s="25">
        <f t="shared" si="91"/>
        <v>0</v>
      </c>
    </row>
    <row r="98" spans="1:100" s="205" customFormat="1" x14ac:dyDescent="0.2">
      <c r="A98" s="192"/>
      <c r="B98" s="193"/>
      <c r="C98" s="194"/>
      <c r="D98" s="195"/>
      <c r="E98" s="196"/>
      <c r="F98" s="197"/>
      <c r="G98" s="198"/>
      <c r="H98" s="199"/>
      <c r="I98" s="199"/>
      <c r="J98" s="200"/>
      <c r="K98" s="201"/>
      <c r="L98" s="202"/>
      <c r="M98" s="203">
        <f>SUM(M97:M97)</f>
        <v>540</v>
      </c>
      <c r="N98" s="203">
        <f>M98</f>
        <v>540</v>
      </c>
      <c r="O98" s="204" t="s">
        <v>111</v>
      </c>
      <c r="P98" s="203">
        <f>SUM(P97:P97)</f>
        <v>4.8214285714285712</v>
      </c>
      <c r="Q98" s="203">
        <f>SUM(Q97:Q97)</f>
        <v>57.857142857142854</v>
      </c>
      <c r="R98" s="203">
        <f>SUM(R97:R97)</f>
        <v>486.96428571428572</v>
      </c>
      <c r="S98" s="203">
        <f t="shared" ref="S98:AD98" si="134">SUM(S97:S97)</f>
        <v>0</v>
      </c>
      <c r="T98" s="203">
        <f t="shared" si="134"/>
        <v>0</v>
      </c>
      <c r="U98" s="203">
        <f t="shared" si="134"/>
        <v>0</v>
      </c>
      <c r="V98" s="203">
        <f t="shared" si="134"/>
        <v>0</v>
      </c>
      <c r="W98" s="203">
        <f t="shared" si="134"/>
        <v>0</v>
      </c>
      <c r="X98" s="203">
        <f t="shared" si="134"/>
        <v>0</v>
      </c>
      <c r="Y98" s="203">
        <f t="shared" si="134"/>
        <v>0</v>
      </c>
      <c r="Z98" s="203">
        <f t="shared" si="134"/>
        <v>0</v>
      </c>
      <c r="AA98" s="203">
        <f t="shared" si="134"/>
        <v>0</v>
      </c>
      <c r="AB98" s="203">
        <f t="shared" si="134"/>
        <v>0</v>
      </c>
      <c r="AC98" s="203">
        <f t="shared" si="134"/>
        <v>0</v>
      </c>
      <c r="AD98" s="203">
        <f t="shared" si="134"/>
        <v>0</v>
      </c>
      <c r="AE98" s="195"/>
      <c r="AF98" s="203">
        <f>SUM(AF97:AF97)</f>
        <v>0</v>
      </c>
      <c r="AG98" s="195"/>
      <c r="AH98" s="203">
        <f t="shared" ref="AH98:AZ98" si="135">SUM(AH97:AH97)</f>
        <v>0</v>
      </c>
      <c r="AI98" s="203">
        <f t="shared" si="135"/>
        <v>0</v>
      </c>
      <c r="AJ98" s="203">
        <f t="shared" si="135"/>
        <v>0</v>
      </c>
      <c r="AK98" s="203">
        <f t="shared" si="135"/>
        <v>0</v>
      </c>
      <c r="AL98" s="203">
        <f t="shared" si="135"/>
        <v>0</v>
      </c>
      <c r="AM98" s="203">
        <f t="shared" si="135"/>
        <v>0</v>
      </c>
      <c r="AN98" s="203">
        <f t="shared" si="135"/>
        <v>0</v>
      </c>
      <c r="AO98" s="203">
        <f t="shared" si="135"/>
        <v>0</v>
      </c>
      <c r="AP98" s="203">
        <f t="shared" si="135"/>
        <v>0</v>
      </c>
      <c r="AQ98" s="203">
        <f t="shared" si="135"/>
        <v>0</v>
      </c>
      <c r="AR98" s="203">
        <f t="shared" si="135"/>
        <v>0</v>
      </c>
      <c r="AS98" s="203">
        <f t="shared" si="135"/>
        <v>0</v>
      </c>
      <c r="AT98" s="203">
        <f t="shared" si="135"/>
        <v>0</v>
      </c>
      <c r="AU98" s="203">
        <f t="shared" si="135"/>
        <v>0</v>
      </c>
      <c r="AV98" s="203">
        <f t="shared" si="135"/>
        <v>0</v>
      </c>
      <c r="AW98" s="203">
        <f t="shared" si="135"/>
        <v>0</v>
      </c>
      <c r="AX98" s="203">
        <f t="shared" si="135"/>
        <v>0</v>
      </c>
      <c r="AY98" s="203">
        <f t="shared" si="135"/>
        <v>0</v>
      </c>
      <c r="AZ98" s="203">
        <f t="shared" si="135"/>
        <v>0</v>
      </c>
      <c r="BA98" s="195"/>
      <c r="BB98" s="203">
        <f t="shared" ref="BB98:CT98" si="136">SUM(BB97:BB97)</f>
        <v>0</v>
      </c>
      <c r="BC98" s="203">
        <f t="shared" si="136"/>
        <v>0</v>
      </c>
      <c r="BD98" s="203">
        <f t="shared" si="136"/>
        <v>0</v>
      </c>
      <c r="BE98" s="203">
        <f t="shared" si="136"/>
        <v>0</v>
      </c>
      <c r="BF98" s="203">
        <f t="shared" si="136"/>
        <v>0</v>
      </c>
      <c r="BG98" s="203">
        <f t="shared" si="136"/>
        <v>0</v>
      </c>
      <c r="BH98" s="203">
        <f t="shared" si="136"/>
        <v>0</v>
      </c>
      <c r="BI98" s="203">
        <f t="shared" si="136"/>
        <v>0</v>
      </c>
      <c r="BJ98" s="203">
        <f t="shared" si="136"/>
        <v>0</v>
      </c>
      <c r="BK98" s="203">
        <f t="shared" si="136"/>
        <v>0</v>
      </c>
      <c r="BL98" s="203">
        <f t="shared" si="136"/>
        <v>0</v>
      </c>
      <c r="BM98" s="203">
        <f t="shared" si="136"/>
        <v>0</v>
      </c>
      <c r="BN98" s="203">
        <f t="shared" si="136"/>
        <v>0</v>
      </c>
      <c r="BO98" s="203">
        <f t="shared" si="136"/>
        <v>0</v>
      </c>
      <c r="BP98" s="203">
        <f t="shared" si="136"/>
        <v>0</v>
      </c>
      <c r="BQ98" s="203">
        <f t="shared" si="136"/>
        <v>0</v>
      </c>
      <c r="BR98" s="203">
        <f t="shared" si="136"/>
        <v>0</v>
      </c>
      <c r="BS98" s="203">
        <f t="shared" si="136"/>
        <v>0</v>
      </c>
      <c r="BT98" s="203">
        <f t="shared" si="136"/>
        <v>0</v>
      </c>
      <c r="BU98" s="203">
        <f t="shared" si="136"/>
        <v>0</v>
      </c>
      <c r="BV98" s="203">
        <f t="shared" si="136"/>
        <v>0</v>
      </c>
      <c r="BW98" s="203">
        <f t="shared" si="136"/>
        <v>0</v>
      </c>
      <c r="BX98" s="203">
        <f t="shared" si="136"/>
        <v>0</v>
      </c>
      <c r="BY98" s="203">
        <f t="shared" si="136"/>
        <v>0</v>
      </c>
      <c r="BZ98" s="203">
        <f t="shared" si="136"/>
        <v>0</v>
      </c>
      <c r="CA98" s="203">
        <f t="shared" si="136"/>
        <v>0</v>
      </c>
      <c r="CB98" s="203">
        <f t="shared" si="136"/>
        <v>0</v>
      </c>
      <c r="CC98" s="203">
        <f t="shared" si="136"/>
        <v>0</v>
      </c>
      <c r="CD98" s="203">
        <f t="shared" si="136"/>
        <v>0</v>
      </c>
      <c r="CE98" s="203">
        <f t="shared" si="136"/>
        <v>0</v>
      </c>
      <c r="CF98" s="203">
        <f t="shared" si="136"/>
        <v>0</v>
      </c>
      <c r="CG98" s="203">
        <f t="shared" si="136"/>
        <v>0</v>
      </c>
      <c r="CH98" s="203">
        <f t="shared" si="136"/>
        <v>0</v>
      </c>
      <c r="CI98" s="203">
        <f t="shared" si="136"/>
        <v>0</v>
      </c>
      <c r="CJ98" s="203">
        <f t="shared" si="136"/>
        <v>0</v>
      </c>
      <c r="CK98" s="203">
        <f t="shared" si="136"/>
        <v>0</v>
      </c>
      <c r="CL98" s="203">
        <f t="shared" si="136"/>
        <v>0</v>
      </c>
      <c r="CM98" s="203">
        <f t="shared" si="136"/>
        <v>0</v>
      </c>
      <c r="CN98" s="203">
        <f t="shared" si="136"/>
        <v>0</v>
      </c>
      <c r="CO98" s="203">
        <f t="shared" si="136"/>
        <v>0</v>
      </c>
      <c r="CP98" s="203">
        <f t="shared" si="136"/>
        <v>0</v>
      </c>
      <c r="CQ98" s="203">
        <f t="shared" si="136"/>
        <v>0</v>
      </c>
      <c r="CR98" s="203">
        <f t="shared" si="136"/>
        <v>0</v>
      </c>
      <c r="CS98" s="203">
        <f t="shared" si="136"/>
        <v>0</v>
      </c>
      <c r="CT98" s="203">
        <f t="shared" si="136"/>
        <v>0</v>
      </c>
      <c r="CU98" s="17">
        <f t="shared" si="90"/>
        <v>540</v>
      </c>
      <c r="CV98" s="25">
        <f t="shared" si="91"/>
        <v>0</v>
      </c>
    </row>
    <row r="99" spans="1:100" x14ac:dyDescent="0.2">
      <c r="A99" s="2">
        <v>45891</v>
      </c>
      <c r="B99" s="3" t="s">
        <v>801</v>
      </c>
      <c r="C99" s="4" t="s">
        <v>898</v>
      </c>
      <c r="D99" s="5" t="s">
        <v>122</v>
      </c>
      <c r="E99" s="6" t="s">
        <v>316</v>
      </c>
      <c r="F99" s="7" t="s">
        <v>229</v>
      </c>
      <c r="G99" s="8" t="s">
        <v>149</v>
      </c>
      <c r="H99" s="9">
        <v>226545</v>
      </c>
      <c r="I99" s="10"/>
      <c r="J99" s="11" t="s">
        <v>802</v>
      </c>
      <c r="K99" s="12">
        <v>1</v>
      </c>
      <c r="L99" s="13">
        <v>12</v>
      </c>
      <c r="M99" s="14">
        <f t="shared" ref="M99:M100" si="137">L99*K99</f>
        <v>12</v>
      </c>
      <c r="N99" s="15"/>
      <c r="O99" s="16" t="s">
        <v>111</v>
      </c>
      <c r="P99" s="17">
        <f>M99/1.12*0.01</f>
        <v>0.10714285714285714</v>
      </c>
      <c r="Q99" s="18">
        <f>M99/1.12*0.12</f>
        <v>1.2857142857142856</v>
      </c>
      <c r="R99" s="17">
        <f>M99+P99-Q99</f>
        <v>10.821428571428573</v>
      </c>
      <c r="S99" s="19"/>
      <c r="T99" s="19"/>
      <c r="U99" s="19"/>
      <c r="V99" s="19"/>
      <c r="W99" s="17"/>
      <c r="X99" s="20"/>
      <c r="Y99" s="19"/>
      <c r="Z99" s="19"/>
      <c r="AA99" s="19"/>
      <c r="AB99" s="19"/>
      <c r="AC99" s="19"/>
      <c r="AD99" s="19"/>
      <c r="AE99" s="5"/>
      <c r="AF99" s="19"/>
      <c r="AG99" s="5"/>
      <c r="AH99" s="17"/>
      <c r="AI99" s="19"/>
      <c r="AJ99" s="19"/>
      <c r="AK99" s="19"/>
      <c r="AL99" s="19"/>
      <c r="AM99" s="17"/>
      <c r="AN99" s="19"/>
      <c r="AO99" s="19"/>
      <c r="AP99" s="19"/>
      <c r="AQ99" s="19"/>
      <c r="AR99" s="19"/>
      <c r="AS99" s="21"/>
      <c r="AT99" s="5"/>
      <c r="AU99" s="19"/>
      <c r="AV99" s="5"/>
      <c r="AW99" s="22"/>
      <c r="AX99" s="19"/>
      <c r="AY99" s="5"/>
      <c r="AZ99" s="19"/>
      <c r="BA99" s="5"/>
      <c r="BB99" s="5"/>
      <c r="BC99" s="19"/>
      <c r="BD99" s="19"/>
      <c r="BE99" s="19"/>
      <c r="BF99" s="19"/>
      <c r="BG99" s="19"/>
      <c r="BH99" s="19"/>
      <c r="BI99" s="19"/>
      <c r="BJ99" s="19"/>
      <c r="BK99" s="13"/>
      <c r="BL99" s="5"/>
      <c r="BM99" s="5"/>
      <c r="BN99" s="19"/>
      <c r="BO99" s="17"/>
      <c r="BP99" s="19"/>
      <c r="BQ99" s="17"/>
      <c r="BR99" s="19"/>
      <c r="BS99" s="13"/>
      <c r="BT99" s="5"/>
      <c r="BU99" s="23"/>
      <c r="BV99" s="23"/>
      <c r="BW99" s="24"/>
      <c r="BX99" s="5"/>
      <c r="BY99" s="5"/>
      <c r="BZ99" s="5"/>
      <c r="CA99" s="24"/>
      <c r="CB99" s="24"/>
      <c r="CC99" s="24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>
        <f t="shared" si="90"/>
        <v>12</v>
      </c>
      <c r="CV99" s="25">
        <f t="shared" si="91"/>
        <v>0</v>
      </c>
    </row>
    <row r="100" spans="1:100" x14ac:dyDescent="0.2">
      <c r="A100" s="2"/>
      <c r="B100" s="3"/>
      <c r="C100" s="4"/>
      <c r="D100" s="5"/>
      <c r="E100" s="6"/>
      <c r="F100" s="7"/>
      <c r="G100" s="8"/>
      <c r="H100" s="9"/>
      <c r="I100" s="10"/>
      <c r="J100" s="11" t="s">
        <v>803</v>
      </c>
      <c r="K100" s="12">
        <v>5</v>
      </c>
      <c r="L100" s="13">
        <v>182.5</v>
      </c>
      <c r="M100" s="14">
        <f t="shared" si="137"/>
        <v>912.5</v>
      </c>
      <c r="N100" s="15"/>
      <c r="O100" s="16" t="s">
        <v>111</v>
      </c>
      <c r="P100" s="17">
        <f t="shared" ref="P100" si="138">M100/1.12*0.01</f>
        <v>8.147321428571427</v>
      </c>
      <c r="Q100" s="18">
        <f t="shared" ref="Q100" si="139">M100/1.12*0.12</f>
        <v>97.767857142857125</v>
      </c>
      <c r="R100" s="17">
        <f t="shared" ref="R100" si="140">M100+P100-Q100</f>
        <v>822.87946428571433</v>
      </c>
      <c r="S100" s="19"/>
      <c r="T100" s="19"/>
      <c r="U100" s="19"/>
      <c r="V100" s="19"/>
      <c r="W100" s="17"/>
      <c r="X100" s="20"/>
      <c r="Y100" s="19"/>
      <c r="Z100" s="19"/>
      <c r="AA100" s="19"/>
      <c r="AB100" s="19"/>
      <c r="AC100" s="19"/>
      <c r="AD100" s="19"/>
      <c r="AE100" s="5"/>
      <c r="AF100" s="19"/>
      <c r="AG100" s="5"/>
      <c r="AH100" s="17"/>
      <c r="AI100" s="19"/>
      <c r="AJ100" s="19"/>
      <c r="AK100" s="19"/>
      <c r="AL100" s="19"/>
      <c r="AM100" s="17"/>
      <c r="AN100" s="19"/>
      <c r="AO100" s="19"/>
      <c r="AP100" s="19"/>
      <c r="AQ100" s="19"/>
      <c r="AR100" s="19"/>
      <c r="AS100" s="21"/>
      <c r="AT100" s="5"/>
      <c r="AU100" s="19"/>
      <c r="AV100" s="5"/>
      <c r="AW100" s="22"/>
      <c r="AX100" s="19"/>
      <c r="AY100" s="5"/>
      <c r="AZ100" s="19"/>
      <c r="BA100" s="5"/>
      <c r="BB100" s="5"/>
      <c r="BC100" s="19"/>
      <c r="BD100" s="19"/>
      <c r="BE100" s="19"/>
      <c r="BF100" s="19"/>
      <c r="BG100" s="19"/>
      <c r="BH100" s="19"/>
      <c r="BI100" s="19"/>
      <c r="BJ100" s="19"/>
      <c r="BK100" s="13"/>
      <c r="BL100" s="5"/>
      <c r="BM100" s="5"/>
      <c r="BN100" s="19"/>
      <c r="BO100" s="17"/>
      <c r="BP100" s="19"/>
      <c r="BQ100" s="17"/>
      <c r="BR100" s="19"/>
      <c r="BS100" s="13"/>
      <c r="BT100" s="5"/>
      <c r="BU100" s="23"/>
      <c r="BV100" s="23"/>
      <c r="BW100" s="24"/>
      <c r="BX100" s="5"/>
      <c r="BY100" s="5"/>
      <c r="BZ100" s="5"/>
      <c r="CA100" s="24"/>
      <c r="CB100" s="24"/>
      <c r="CC100" s="24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>
        <f t="shared" si="90"/>
        <v>912.5</v>
      </c>
      <c r="CV100" s="25">
        <f t="shared" si="91"/>
        <v>0</v>
      </c>
    </row>
    <row r="101" spans="1:100" x14ac:dyDescent="0.2">
      <c r="A101" s="27"/>
      <c r="B101" s="28"/>
      <c r="C101" s="29"/>
      <c r="D101" s="30"/>
      <c r="E101" s="31"/>
      <c r="F101" s="32"/>
      <c r="G101" s="33"/>
      <c r="H101" s="34"/>
      <c r="I101" s="34"/>
      <c r="J101" s="35"/>
      <c r="K101" s="36"/>
      <c r="L101" s="37"/>
      <c r="M101" s="38">
        <f>SUM(M99:M100)</f>
        <v>924.5</v>
      </c>
      <c r="N101" s="38"/>
      <c r="O101" s="39" t="s">
        <v>111</v>
      </c>
      <c r="P101" s="38">
        <f>SUM(P99:P100)</f>
        <v>8.2544642857142847</v>
      </c>
      <c r="Q101" s="38">
        <f>SUM(Q99:Q100)</f>
        <v>99.053571428571416</v>
      </c>
      <c r="R101" s="38">
        <f>SUM(R99:R100)</f>
        <v>833.70089285714289</v>
      </c>
      <c r="S101" s="38">
        <f t="shared" ref="S101:AD101" si="141">SUM(S99:S99)</f>
        <v>0</v>
      </c>
      <c r="T101" s="38">
        <f t="shared" si="141"/>
        <v>0</v>
      </c>
      <c r="U101" s="38">
        <f t="shared" si="141"/>
        <v>0</v>
      </c>
      <c r="V101" s="38">
        <f t="shared" si="141"/>
        <v>0</v>
      </c>
      <c r="W101" s="38">
        <f t="shared" si="141"/>
        <v>0</v>
      </c>
      <c r="X101" s="38">
        <f t="shared" si="141"/>
        <v>0</v>
      </c>
      <c r="Y101" s="38">
        <f t="shared" si="141"/>
        <v>0</v>
      </c>
      <c r="Z101" s="38">
        <f t="shared" si="141"/>
        <v>0</v>
      </c>
      <c r="AA101" s="38">
        <f t="shared" si="141"/>
        <v>0</v>
      </c>
      <c r="AB101" s="38">
        <f t="shared" si="141"/>
        <v>0</v>
      </c>
      <c r="AC101" s="38">
        <f t="shared" si="141"/>
        <v>0</v>
      </c>
      <c r="AD101" s="38">
        <f t="shared" si="141"/>
        <v>0</v>
      </c>
      <c r="AE101" s="30"/>
      <c r="AF101" s="38">
        <f>SUM(AF99:AF99)</f>
        <v>0</v>
      </c>
      <c r="AG101" s="30"/>
      <c r="AH101" s="38">
        <f t="shared" ref="AH101:AZ101" si="142">SUM(AH99:AH99)</f>
        <v>0</v>
      </c>
      <c r="AI101" s="38">
        <f t="shared" si="142"/>
        <v>0</v>
      </c>
      <c r="AJ101" s="38">
        <f t="shared" si="142"/>
        <v>0</v>
      </c>
      <c r="AK101" s="38">
        <f t="shared" si="142"/>
        <v>0</v>
      </c>
      <c r="AL101" s="38">
        <f t="shared" si="142"/>
        <v>0</v>
      </c>
      <c r="AM101" s="38">
        <f t="shared" si="142"/>
        <v>0</v>
      </c>
      <c r="AN101" s="38">
        <f t="shared" si="142"/>
        <v>0</v>
      </c>
      <c r="AO101" s="38">
        <f t="shared" si="142"/>
        <v>0</v>
      </c>
      <c r="AP101" s="38">
        <f t="shared" si="142"/>
        <v>0</v>
      </c>
      <c r="AQ101" s="38">
        <f t="shared" si="142"/>
        <v>0</v>
      </c>
      <c r="AR101" s="38">
        <f t="shared" si="142"/>
        <v>0</v>
      </c>
      <c r="AS101" s="38">
        <f t="shared" si="142"/>
        <v>0</v>
      </c>
      <c r="AT101" s="38">
        <f t="shared" si="142"/>
        <v>0</v>
      </c>
      <c r="AU101" s="38">
        <f t="shared" si="142"/>
        <v>0</v>
      </c>
      <c r="AV101" s="38">
        <f t="shared" si="142"/>
        <v>0</v>
      </c>
      <c r="AW101" s="38">
        <f t="shared" si="142"/>
        <v>0</v>
      </c>
      <c r="AX101" s="38">
        <f t="shared" si="142"/>
        <v>0</v>
      </c>
      <c r="AY101" s="38">
        <f t="shared" si="142"/>
        <v>0</v>
      </c>
      <c r="AZ101" s="38">
        <f t="shared" si="142"/>
        <v>0</v>
      </c>
      <c r="BA101" s="30"/>
      <c r="BB101" s="38">
        <f t="shared" ref="BB101:CT101" si="143">SUM(BB99:BB99)</f>
        <v>0</v>
      </c>
      <c r="BC101" s="38">
        <f t="shared" si="143"/>
        <v>0</v>
      </c>
      <c r="BD101" s="38">
        <f t="shared" si="143"/>
        <v>0</v>
      </c>
      <c r="BE101" s="38">
        <f t="shared" si="143"/>
        <v>0</v>
      </c>
      <c r="BF101" s="38">
        <f t="shared" si="143"/>
        <v>0</v>
      </c>
      <c r="BG101" s="38">
        <f t="shared" si="143"/>
        <v>0</v>
      </c>
      <c r="BH101" s="38">
        <f t="shared" si="143"/>
        <v>0</v>
      </c>
      <c r="BI101" s="38">
        <f t="shared" si="143"/>
        <v>0</v>
      </c>
      <c r="BJ101" s="38">
        <f t="shared" si="143"/>
        <v>0</v>
      </c>
      <c r="BK101" s="38">
        <f t="shared" si="143"/>
        <v>0</v>
      </c>
      <c r="BL101" s="38">
        <f t="shared" si="143"/>
        <v>0</v>
      </c>
      <c r="BM101" s="38">
        <f t="shared" si="143"/>
        <v>0</v>
      </c>
      <c r="BN101" s="38">
        <f t="shared" si="143"/>
        <v>0</v>
      </c>
      <c r="BO101" s="38">
        <f t="shared" si="143"/>
        <v>0</v>
      </c>
      <c r="BP101" s="38">
        <f t="shared" si="143"/>
        <v>0</v>
      </c>
      <c r="BQ101" s="38">
        <f t="shared" si="143"/>
        <v>0</v>
      </c>
      <c r="BR101" s="38">
        <f t="shared" si="143"/>
        <v>0</v>
      </c>
      <c r="BS101" s="38">
        <f t="shared" si="143"/>
        <v>0</v>
      </c>
      <c r="BT101" s="38">
        <f t="shared" si="143"/>
        <v>0</v>
      </c>
      <c r="BU101" s="38">
        <f t="shared" si="143"/>
        <v>0</v>
      </c>
      <c r="BV101" s="38">
        <f t="shared" si="143"/>
        <v>0</v>
      </c>
      <c r="BW101" s="38">
        <f t="shared" si="143"/>
        <v>0</v>
      </c>
      <c r="BX101" s="38">
        <f t="shared" si="143"/>
        <v>0</v>
      </c>
      <c r="BY101" s="38">
        <f t="shared" si="143"/>
        <v>0</v>
      </c>
      <c r="BZ101" s="38">
        <f t="shared" si="143"/>
        <v>0</v>
      </c>
      <c r="CA101" s="38">
        <f t="shared" si="143"/>
        <v>0</v>
      </c>
      <c r="CB101" s="38">
        <f t="shared" si="143"/>
        <v>0</v>
      </c>
      <c r="CC101" s="38">
        <f t="shared" si="143"/>
        <v>0</v>
      </c>
      <c r="CD101" s="38">
        <f t="shared" si="143"/>
        <v>0</v>
      </c>
      <c r="CE101" s="38">
        <f t="shared" si="143"/>
        <v>0</v>
      </c>
      <c r="CF101" s="38">
        <f t="shared" si="143"/>
        <v>0</v>
      </c>
      <c r="CG101" s="38">
        <f t="shared" si="143"/>
        <v>0</v>
      </c>
      <c r="CH101" s="38">
        <f t="shared" si="143"/>
        <v>0</v>
      </c>
      <c r="CI101" s="38">
        <f t="shared" si="143"/>
        <v>0</v>
      </c>
      <c r="CJ101" s="38">
        <f t="shared" si="143"/>
        <v>0</v>
      </c>
      <c r="CK101" s="38">
        <f t="shared" si="143"/>
        <v>0</v>
      </c>
      <c r="CL101" s="38">
        <f t="shared" si="143"/>
        <v>0</v>
      </c>
      <c r="CM101" s="38">
        <f t="shared" si="143"/>
        <v>0</v>
      </c>
      <c r="CN101" s="38">
        <f t="shared" si="143"/>
        <v>0</v>
      </c>
      <c r="CO101" s="38">
        <f t="shared" si="143"/>
        <v>0</v>
      </c>
      <c r="CP101" s="38">
        <f t="shared" si="143"/>
        <v>0</v>
      </c>
      <c r="CQ101" s="38">
        <f t="shared" si="143"/>
        <v>0</v>
      </c>
      <c r="CR101" s="38">
        <f t="shared" si="143"/>
        <v>0</v>
      </c>
      <c r="CS101" s="38">
        <f t="shared" si="143"/>
        <v>0</v>
      </c>
      <c r="CT101" s="38">
        <f t="shared" si="143"/>
        <v>0</v>
      </c>
      <c r="CU101" s="17">
        <f t="shared" si="90"/>
        <v>924.5</v>
      </c>
      <c r="CV101" s="25">
        <f t="shared" si="91"/>
        <v>0</v>
      </c>
    </row>
    <row r="102" spans="1:100" x14ac:dyDescent="0.2">
      <c r="A102" s="2">
        <v>45890</v>
      </c>
      <c r="B102" s="3" t="s">
        <v>801</v>
      </c>
      <c r="C102" s="4" t="s">
        <v>897</v>
      </c>
      <c r="D102" s="5" t="s">
        <v>122</v>
      </c>
      <c r="E102" s="6" t="s">
        <v>804</v>
      </c>
      <c r="F102" s="7" t="s">
        <v>296</v>
      </c>
      <c r="G102" s="8" t="s">
        <v>164</v>
      </c>
      <c r="H102" s="9">
        <v>95134</v>
      </c>
      <c r="I102" s="10"/>
      <c r="J102" s="11" t="s">
        <v>805</v>
      </c>
      <c r="K102" s="12">
        <v>50</v>
      </c>
      <c r="L102" s="13">
        <v>34</v>
      </c>
      <c r="M102" s="14">
        <f t="shared" ref="M102:M104" si="144">L102*K102</f>
        <v>1700</v>
      </c>
      <c r="N102" s="15"/>
      <c r="O102" s="16" t="s">
        <v>111</v>
      </c>
      <c r="P102" s="17">
        <f>M102/1.12*0.01</f>
        <v>15.178571428571427</v>
      </c>
      <c r="Q102" s="18">
        <f>M102/1.12*0.12</f>
        <v>182.14285714285711</v>
      </c>
      <c r="R102" s="17">
        <f>M102+P102-Q102</f>
        <v>1533.0357142857142</v>
      </c>
      <c r="S102" s="19"/>
      <c r="T102" s="19"/>
      <c r="U102" s="19"/>
      <c r="V102" s="19"/>
      <c r="W102" s="17"/>
      <c r="X102" s="20"/>
      <c r="Y102" s="19"/>
      <c r="Z102" s="19"/>
      <c r="AA102" s="19"/>
      <c r="AB102" s="19"/>
      <c r="AC102" s="19"/>
      <c r="AD102" s="19"/>
      <c r="AE102" s="5"/>
      <c r="AF102" s="19"/>
      <c r="AG102" s="5"/>
      <c r="AH102" s="17"/>
      <c r="AI102" s="19"/>
      <c r="AJ102" s="19"/>
      <c r="AK102" s="19"/>
      <c r="AL102" s="19"/>
      <c r="AM102" s="17"/>
      <c r="AN102" s="19"/>
      <c r="AO102" s="19"/>
      <c r="AP102" s="19"/>
      <c r="AQ102" s="19"/>
      <c r="AR102" s="19"/>
      <c r="AS102" s="21"/>
      <c r="AT102" s="5"/>
      <c r="AU102" s="19"/>
      <c r="AV102" s="5"/>
      <c r="AW102" s="22"/>
      <c r="AX102" s="19"/>
      <c r="AY102" s="5"/>
      <c r="AZ102" s="19"/>
      <c r="BA102" s="5"/>
      <c r="BB102" s="5"/>
      <c r="BC102" s="19"/>
      <c r="BD102" s="19"/>
      <c r="BE102" s="19"/>
      <c r="BF102" s="19"/>
      <c r="BG102" s="19"/>
      <c r="BH102" s="19"/>
      <c r="BI102" s="19"/>
      <c r="BJ102" s="19"/>
      <c r="BK102" s="13"/>
      <c r="BL102" s="5"/>
      <c r="BM102" s="5"/>
      <c r="BN102" s="19"/>
      <c r="BO102" s="17"/>
      <c r="BP102" s="19"/>
      <c r="BQ102" s="17"/>
      <c r="BR102" s="19"/>
      <c r="BS102" s="13"/>
      <c r="BT102" s="5"/>
      <c r="BU102" s="23"/>
      <c r="BV102" s="23"/>
      <c r="BW102" s="24"/>
      <c r="BX102" s="5"/>
      <c r="BY102" s="5"/>
      <c r="BZ102" s="5"/>
      <c r="CA102" s="24"/>
      <c r="CB102" s="24"/>
      <c r="CC102" s="24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>
        <f t="shared" si="90"/>
        <v>1700</v>
      </c>
      <c r="CV102" s="25">
        <f t="shared" si="91"/>
        <v>0</v>
      </c>
    </row>
    <row r="103" spans="1:100" x14ac:dyDescent="0.2">
      <c r="A103" s="2"/>
      <c r="B103" s="3"/>
      <c r="C103" s="4"/>
      <c r="D103" s="5"/>
      <c r="E103" s="6"/>
      <c r="F103" s="7"/>
      <c r="G103" s="8"/>
      <c r="H103" s="9"/>
      <c r="I103" s="10"/>
      <c r="J103" s="11" t="s">
        <v>806</v>
      </c>
      <c r="K103" s="12">
        <v>30</v>
      </c>
      <c r="L103" s="13">
        <v>55.5</v>
      </c>
      <c r="M103" s="14">
        <f t="shared" si="144"/>
        <v>1665</v>
      </c>
      <c r="N103" s="15"/>
      <c r="O103" s="16" t="s">
        <v>111</v>
      </c>
      <c r="P103" s="17">
        <f t="shared" ref="P103:P104" si="145">M103/1.12*0.01</f>
        <v>14.866071428571427</v>
      </c>
      <c r="Q103" s="18">
        <f t="shared" ref="Q103:Q104" si="146">M103/1.12*0.12</f>
        <v>178.39285714285711</v>
      </c>
      <c r="R103" s="17">
        <f t="shared" ref="R103:R104" si="147">M103+P103-Q103</f>
        <v>1501.4732142857142</v>
      </c>
      <c r="S103" s="19"/>
      <c r="T103" s="19"/>
      <c r="U103" s="19"/>
      <c r="V103" s="19"/>
      <c r="W103" s="17"/>
      <c r="X103" s="20"/>
      <c r="Y103" s="19"/>
      <c r="Z103" s="19"/>
      <c r="AA103" s="19"/>
      <c r="AB103" s="19"/>
      <c r="AC103" s="19"/>
      <c r="AD103" s="19"/>
      <c r="AE103" s="5"/>
      <c r="AF103" s="19"/>
      <c r="AG103" s="5"/>
      <c r="AH103" s="17"/>
      <c r="AI103" s="19"/>
      <c r="AJ103" s="19"/>
      <c r="AK103" s="19"/>
      <c r="AL103" s="19"/>
      <c r="AM103" s="17"/>
      <c r="AN103" s="19"/>
      <c r="AO103" s="19"/>
      <c r="AP103" s="19"/>
      <c r="AQ103" s="19"/>
      <c r="AR103" s="19"/>
      <c r="AS103" s="21"/>
      <c r="AT103" s="5"/>
      <c r="AU103" s="19"/>
      <c r="AV103" s="5"/>
      <c r="AW103" s="22"/>
      <c r="AX103" s="19"/>
      <c r="AY103" s="5"/>
      <c r="AZ103" s="19"/>
      <c r="BA103" s="5"/>
      <c r="BB103" s="5"/>
      <c r="BC103" s="19"/>
      <c r="BD103" s="19"/>
      <c r="BE103" s="19"/>
      <c r="BF103" s="19"/>
      <c r="BG103" s="19"/>
      <c r="BH103" s="19"/>
      <c r="BI103" s="19"/>
      <c r="BJ103" s="19"/>
      <c r="BK103" s="13"/>
      <c r="BL103" s="5"/>
      <c r="BM103" s="5"/>
      <c r="BN103" s="19"/>
      <c r="BO103" s="17"/>
      <c r="BP103" s="19"/>
      <c r="BQ103" s="17"/>
      <c r="BR103" s="19"/>
      <c r="BS103" s="13"/>
      <c r="BT103" s="5"/>
      <c r="BU103" s="23"/>
      <c r="BV103" s="23"/>
      <c r="BW103" s="24"/>
      <c r="BX103" s="5"/>
      <c r="BY103" s="5"/>
      <c r="BZ103" s="5"/>
      <c r="CA103" s="24"/>
      <c r="CB103" s="24"/>
      <c r="CC103" s="24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>
        <f t="shared" si="90"/>
        <v>1665</v>
      </c>
      <c r="CV103" s="25">
        <f t="shared" si="91"/>
        <v>0</v>
      </c>
    </row>
    <row r="104" spans="1:100" x14ac:dyDescent="0.2">
      <c r="A104" s="2"/>
      <c r="B104" s="3"/>
      <c r="C104" s="4"/>
      <c r="D104" s="5"/>
      <c r="E104" s="6"/>
      <c r="F104" s="7"/>
      <c r="G104" s="8"/>
      <c r="H104" s="9"/>
      <c r="I104" s="10"/>
      <c r="J104" s="11" t="s">
        <v>807</v>
      </c>
      <c r="K104" s="12">
        <v>15</v>
      </c>
      <c r="L104" s="13">
        <v>86</v>
      </c>
      <c r="M104" s="14">
        <f t="shared" si="144"/>
        <v>1290</v>
      </c>
      <c r="N104" s="15"/>
      <c r="O104" s="16" t="s">
        <v>111</v>
      </c>
      <c r="P104" s="17">
        <f t="shared" si="145"/>
        <v>11.517857142857142</v>
      </c>
      <c r="Q104" s="18">
        <f t="shared" si="146"/>
        <v>138.21428571428569</v>
      </c>
      <c r="R104" s="17">
        <f t="shared" si="147"/>
        <v>1163.3035714285713</v>
      </c>
      <c r="S104" s="19"/>
      <c r="T104" s="19"/>
      <c r="U104" s="19"/>
      <c r="V104" s="19"/>
      <c r="W104" s="17"/>
      <c r="X104" s="20"/>
      <c r="Y104" s="19"/>
      <c r="Z104" s="19"/>
      <c r="AA104" s="19"/>
      <c r="AB104" s="19"/>
      <c r="AC104" s="19"/>
      <c r="AD104" s="19"/>
      <c r="AE104" s="5"/>
      <c r="AF104" s="19"/>
      <c r="AG104" s="5"/>
      <c r="AH104" s="17"/>
      <c r="AI104" s="19"/>
      <c r="AJ104" s="19"/>
      <c r="AK104" s="19"/>
      <c r="AL104" s="19"/>
      <c r="AM104" s="17"/>
      <c r="AN104" s="19"/>
      <c r="AO104" s="19"/>
      <c r="AP104" s="19"/>
      <c r="AQ104" s="19"/>
      <c r="AR104" s="19"/>
      <c r="AS104" s="21"/>
      <c r="AT104" s="5"/>
      <c r="AU104" s="19"/>
      <c r="AV104" s="5"/>
      <c r="AW104" s="22"/>
      <c r="AX104" s="19"/>
      <c r="AY104" s="5"/>
      <c r="AZ104" s="19"/>
      <c r="BA104" s="5"/>
      <c r="BB104" s="5"/>
      <c r="BC104" s="19"/>
      <c r="BD104" s="19"/>
      <c r="BE104" s="19"/>
      <c r="BF104" s="19"/>
      <c r="BG104" s="19"/>
      <c r="BH104" s="19"/>
      <c r="BI104" s="19"/>
      <c r="BJ104" s="19"/>
      <c r="BK104" s="13"/>
      <c r="BL104" s="5"/>
      <c r="BM104" s="5"/>
      <c r="BN104" s="19"/>
      <c r="BO104" s="17"/>
      <c r="BP104" s="19"/>
      <c r="BQ104" s="17"/>
      <c r="BR104" s="19"/>
      <c r="BS104" s="13"/>
      <c r="BT104" s="5"/>
      <c r="BU104" s="23"/>
      <c r="BV104" s="23"/>
      <c r="BW104" s="24"/>
      <c r="BX104" s="5"/>
      <c r="BY104" s="5"/>
      <c r="BZ104" s="5"/>
      <c r="CA104" s="24"/>
      <c r="CB104" s="24"/>
      <c r="CC104" s="24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>
        <f t="shared" si="90"/>
        <v>1290</v>
      </c>
      <c r="CV104" s="25">
        <f t="shared" si="91"/>
        <v>0</v>
      </c>
    </row>
    <row r="105" spans="1:100" x14ac:dyDescent="0.2">
      <c r="A105" s="27"/>
      <c r="B105" s="28"/>
      <c r="C105" s="29"/>
      <c r="D105" s="30"/>
      <c r="E105" s="31"/>
      <c r="F105" s="32"/>
      <c r="G105" s="33"/>
      <c r="H105" s="34"/>
      <c r="I105" s="34"/>
      <c r="J105" s="35"/>
      <c r="K105" s="36"/>
      <c r="L105" s="37"/>
      <c r="M105" s="38">
        <f>SUM(M102:M104)</f>
        <v>4655</v>
      </c>
      <c r="N105" s="38"/>
      <c r="O105" s="39" t="s">
        <v>111</v>
      </c>
      <c r="P105" s="38">
        <f>SUM(P102:P104)</f>
        <v>41.5625</v>
      </c>
      <c r="Q105" s="38">
        <f>SUM(Q102:Q104)</f>
        <v>498.74999999999989</v>
      </c>
      <c r="R105" s="38">
        <f>SUM(R102:R104)</f>
        <v>4197.8125</v>
      </c>
      <c r="S105" s="38">
        <f t="shared" ref="S105:AD105" si="148">SUM(S102:S102)</f>
        <v>0</v>
      </c>
      <c r="T105" s="38">
        <f t="shared" si="148"/>
        <v>0</v>
      </c>
      <c r="U105" s="38">
        <f t="shared" si="148"/>
        <v>0</v>
      </c>
      <c r="V105" s="38">
        <f t="shared" si="148"/>
        <v>0</v>
      </c>
      <c r="W105" s="38">
        <f t="shared" si="148"/>
        <v>0</v>
      </c>
      <c r="X105" s="38">
        <f t="shared" si="148"/>
        <v>0</v>
      </c>
      <c r="Y105" s="38">
        <f t="shared" si="148"/>
        <v>0</v>
      </c>
      <c r="Z105" s="38">
        <f t="shared" si="148"/>
        <v>0</v>
      </c>
      <c r="AA105" s="38">
        <f t="shared" si="148"/>
        <v>0</v>
      </c>
      <c r="AB105" s="38">
        <f t="shared" si="148"/>
        <v>0</v>
      </c>
      <c r="AC105" s="38">
        <f t="shared" si="148"/>
        <v>0</v>
      </c>
      <c r="AD105" s="38">
        <f t="shared" si="148"/>
        <v>0</v>
      </c>
      <c r="AE105" s="30"/>
      <c r="AF105" s="38">
        <f>SUM(AF102:AF102)</f>
        <v>0</v>
      </c>
      <c r="AG105" s="30"/>
      <c r="AH105" s="38">
        <f t="shared" ref="AH105:AZ105" si="149">SUM(AH102:AH102)</f>
        <v>0</v>
      </c>
      <c r="AI105" s="38">
        <f t="shared" si="149"/>
        <v>0</v>
      </c>
      <c r="AJ105" s="38">
        <f t="shared" si="149"/>
        <v>0</v>
      </c>
      <c r="AK105" s="38">
        <f t="shared" si="149"/>
        <v>0</v>
      </c>
      <c r="AL105" s="38">
        <f t="shared" si="149"/>
        <v>0</v>
      </c>
      <c r="AM105" s="38">
        <f t="shared" si="149"/>
        <v>0</v>
      </c>
      <c r="AN105" s="38">
        <f t="shared" si="149"/>
        <v>0</v>
      </c>
      <c r="AO105" s="38">
        <f t="shared" si="149"/>
        <v>0</v>
      </c>
      <c r="AP105" s="38">
        <f t="shared" si="149"/>
        <v>0</v>
      </c>
      <c r="AQ105" s="38">
        <f t="shared" si="149"/>
        <v>0</v>
      </c>
      <c r="AR105" s="38">
        <f t="shared" si="149"/>
        <v>0</v>
      </c>
      <c r="AS105" s="38">
        <f t="shared" si="149"/>
        <v>0</v>
      </c>
      <c r="AT105" s="38">
        <f t="shared" si="149"/>
        <v>0</v>
      </c>
      <c r="AU105" s="38">
        <f t="shared" si="149"/>
        <v>0</v>
      </c>
      <c r="AV105" s="38">
        <f t="shared" si="149"/>
        <v>0</v>
      </c>
      <c r="AW105" s="38">
        <f t="shared" si="149"/>
        <v>0</v>
      </c>
      <c r="AX105" s="38">
        <f t="shared" si="149"/>
        <v>0</v>
      </c>
      <c r="AY105" s="38">
        <f t="shared" si="149"/>
        <v>0</v>
      </c>
      <c r="AZ105" s="38">
        <f t="shared" si="149"/>
        <v>0</v>
      </c>
      <c r="BA105" s="30"/>
      <c r="BB105" s="38">
        <f t="shared" ref="BB105:CT105" si="150">SUM(BB102:BB102)</f>
        <v>0</v>
      </c>
      <c r="BC105" s="38">
        <f t="shared" si="150"/>
        <v>0</v>
      </c>
      <c r="BD105" s="38">
        <f t="shared" si="150"/>
        <v>0</v>
      </c>
      <c r="BE105" s="38">
        <f t="shared" si="150"/>
        <v>0</v>
      </c>
      <c r="BF105" s="38">
        <f t="shared" si="150"/>
        <v>0</v>
      </c>
      <c r="BG105" s="38">
        <f t="shared" si="150"/>
        <v>0</v>
      </c>
      <c r="BH105" s="38">
        <f t="shared" si="150"/>
        <v>0</v>
      </c>
      <c r="BI105" s="38">
        <f t="shared" si="150"/>
        <v>0</v>
      </c>
      <c r="BJ105" s="38">
        <f t="shared" si="150"/>
        <v>0</v>
      </c>
      <c r="BK105" s="38">
        <f t="shared" si="150"/>
        <v>0</v>
      </c>
      <c r="BL105" s="38">
        <f t="shared" si="150"/>
        <v>0</v>
      </c>
      <c r="BM105" s="38">
        <f t="shared" si="150"/>
        <v>0</v>
      </c>
      <c r="BN105" s="38">
        <f t="shared" si="150"/>
        <v>0</v>
      </c>
      <c r="BO105" s="38">
        <f t="shared" si="150"/>
        <v>0</v>
      </c>
      <c r="BP105" s="38">
        <f t="shared" si="150"/>
        <v>0</v>
      </c>
      <c r="BQ105" s="38">
        <f t="shared" si="150"/>
        <v>0</v>
      </c>
      <c r="BR105" s="38">
        <f t="shared" si="150"/>
        <v>0</v>
      </c>
      <c r="BS105" s="38">
        <f t="shared" si="150"/>
        <v>0</v>
      </c>
      <c r="BT105" s="38">
        <f t="shared" si="150"/>
        <v>0</v>
      </c>
      <c r="BU105" s="38">
        <f t="shared" si="150"/>
        <v>0</v>
      </c>
      <c r="BV105" s="38">
        <f t="shared" si="150"/>
        <v>0</v>
      </c>
      <c r="BW105" s="38">
        <f t="shared" si="150"/>
        <v>0</v>
      </c>
      <c r="BX105" s="38">
        <f t="shared" si="150"/>
        <v>0</v>
      </c>
      <c r="BY105" s="38">
        <f t="shared" si="150"/>
        <v>0</v>
      </c>
      <c r="BZ105" s="38">
        <f t="shared" si="150"/>
        <v>0</v>
      </c>
      <c r="CA105" s="38">
        <f t="shared" si="150"/>
        <v>0</v>
      </c>
      <c r="CB105" s="38">
        <f t="shared" si="150"/>
        <v>0</v>
      </c>
      <c r="CC105" s="38">
        <f t="shared" si="150"/>
        <v>0</v>
      </c>
      <c r="CD105" s="38">
        <f t="shared" si="150"/>
        <v>0</v>
      </c>
      <c r="CE105" s="38">
        <f t="shared" si="150"/>
        <v>0</v>
      </c>
      <c r="CF105" s="38">
        <f t="shared" si="150"/>
        <v>0</v>
      </c>
      <c r="CG105" s="38">
        <f t="shared" si="150"/>
        <v>0</v>
      </c>
      <c r="CH105" s="38">
        <f t="shared" si="150"/>
        <v>0</v>
      </c>
      <c r="CI105" s="38">
        <f t="shared" si="150"/>
        <v>0</v>
      </c>
      <c r="CJ105" s="38">
        <f t="shared" si="150"/>
        <v>0</v>
      </c>
      <c r="CK105" s="38">
        <f t="shared" si="150"/>
        <v>0</v>
      </c>
      <c r="CL105" s="38">
        <f t="shared" si="150"/>
        <v>0</v>
      </c>
      <c r="CM105" s="38">
        <f t="shared" si="150"/>
        <v>0</v>
      </c>
      <c r="CN105" s="38">
        <f t="shared" si="150"/>
        <v>0</v>
      </c>
      <c r="CO105" s="38">
        <f t="shared" si="150"/>
        <v>0</v>
      </c>
      <c r="CP105" s="38">
        <f t="shared" si="150"/>
        <v>0</v>
      </c>
      <c r="CQ105" s="38">
        <f t="shared" si="150"/>
        <v>0</v>
      </c>
      <c r="CR105" s="38">
        <f t="shared" si="150"/>
        <v>0</v>
      </c>
      <c r="CS105" s="38">
        <f t="shared" si="150"/>
        <v>0</v>
      </c>
      <c r="CT105" s="38">
        <f t="shared" si="150"/>
        <v>0</v>
      </c>
      <c r="CU105" s="17">
        <f t="shared" si="90"/>
        <v>4655</v>
      </c>
      <c r="CV105" s="25">
        <f t="shared" si="91"/>
        <v>0</v>
      </c>
    </row>
    <row r="106" spans="1:100" x14ac:dyDescent="0.2">
      <c r="A106" s="2">
        <v>45890</v>
      </c>
      <c r="B106" s="3" t="s">
        <v>801</v>
      </c>
      <c r="C106" s="4" t="s">
        <v>896</v>
      </c>
      <c r="D106" s="5" t="s">
        <v>122</v>
      </c>
      <c r="E106" s="6" t="s">
        <v>370</v>
      </c>
      <c r="F106" s="7" t="s">
        <v>229</v>
      </c>
      <c r="G106" s="8" t="s">
        <v>154</v>
      </c>
      <c r="H106" s="9" t="s">
        <v>808</v>
      </c>
      <c r="I106" s="10"/>
      <c r="J106" s="11" t="s">
        <v>809</v>
      </c>
      <c r="K106" s="12">
        <v>5</v>
      </c>
      <c r="L106" s="13">
        <v>32</v>
      </c>
      <c r="M106" s="14">
        <f t="shared" ref="M106:M107" si="151">L106*K106</f>
        <v>160</v>
      </c>
      <c r="N106" s="15"/>
      <c r="O106" s="16" t="s">
        <v>111</v>
      </c>
      <c r="P106" s="17">
        <f>M106/1.12*0.01</f>
        <v>1.4285714285714284</v>
      </c>
      <c r="Q106" s="18">
        <f>M106/1.12*0.12</f>
        <v>17.142857142857139</v>
      </c>
      <c r="R106" s="17">
        <f>M106+P106-Q106</f>
        <v>144.28571428571428</v>
      </c>
      <c r="S106" s="19"/>
      <c r="T106" s="19"/>
      <c r="U106" s="19"/>
      <c r="V106" s="19"/>
      <c r="W106" s="17"/>
      <c r="X106" s="20"/>
      <c r="Y106" s="19"/>
      <c r="Z106" s="19"/>
      <c r="AA106" s="19"/>
      <c r="AB106" s="19"/>
      <c r="AC106" s="19"/>
      <c r="AD106" s="19"/>
      <c r="AE106" s="5"/>
      <c r="AF106" s="19"/>
      <c r="AG106" s="5"/>
      <c r="AH106" s="17"/>
      <c r="AI106" s="19"/>
      <c r="AJ106" s="19"/>
      <c r="AK106" s="19"/>
      <c r="AL106" s="19"/>
      <c r="AM106" s="17"/>
      <c r="AN106" s="19"/>
      <c r="AO106" s="19"/>
      <c r="AP106" s="19"/>
      <c r="AQ106" s="19"/>
      <c r="AR106" s="19"/>
      <c r="AS106" s="21"/>
      <c r="AT106" s="5"/>
      <c r="AU106" s="19"/>
      <c r="AV106" s="5"/>
      <c r="AW106" s="22"/>
      <c r="AX106" s="19"/>
      <c r="AY106" s="5"/>
      <c r="AZ106" s="19"/>
      <c r="BA106" s="5"/>
      <c r="BB106" s="5"/>
      <c r="BC106" s="19"/>
      <c r="BD106" s="19"/>
      <c r="BE106" s="19"/>
      <c r="BF106" s="19"/>
      <c r="BG106" s="19"/>
      <c r="BH106" s="19"/>
      <c r="BI106" s="19"/>
      <c r="BJ106" s="19"/>
      <c r="BK106" s="13"/>
      <c r="BL106" s="5"/>
      <c r="BM106" s="5"/>
      <c r="BN106" s="19"/>
      <c r="BO106" s="17"/>
      <c r="BP106" s="19"/>
      <c r="BQ106" s="17"/>
      <c r="BR106" s="19"/>
      <c r="BS106" s="13"/>
      <c r="BT106" s="5"/>
      <c r="BU106" s="23"/>
      <c r="BV106" s="23"/>
      <c r="BW106" s="24"/>
      <c r="BX106" s="5"/>
      <c r="BY106" s="5"/>
      <c r="BZ106" s="5"/>
      <c r="CA106" s="24"/>
      <c r="CB106" s="24"/>
      <c r="CC106" s="24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>
        <f t="shared" si="90"/>
        <v>160</v>
      </c>
      <c r="CV106" s="25">
        <f t="shared" si="91"/>
        <v>0</v>
      </c>
    </row>
    <row r="107" spans="1:100" x14ac:dyDescent="0.2">
      <c r="A107" s="2"/>
      <c r="B107" s="3"/>
      <c r="C107" s="4"/>
      <c r="D107" s="5"/>
      <c r="E107" s="6"/>
      <c r="F107" s="7"/>
      <c r="G107" s="8"/>
      <c r="H107" s="9"/>
      <c r="I107" s="10"/>
      <c r="J107" s="11" t="s">
        <v>810</v>
      </c>
      <c r="K107" s="12">
        <v>10</v>
      </c>
      <c r="L107" s="13">
        <v>206</v>
      </c>
      <c r="M107" s="14">
        <f t="shared" si="151"/>
        <v>2060</v>
      </c>
      <c r="N107" s="15"/>
      <c r="O107" s="16" t="s">
        <v>111</v>
      </c>
      <c r="P107" s="17">
        <f t="shared" ref="P107" si="152">M107/1.12*0.01</f>
        <v>18.392857142857142</v>
      </c>
      <c r="Q107" s="18">
        <f t="shared" ref="Q107" si="153">M107/1.12*0.12</f>
        <v>220.71428571428569</v>
      </c>
      <c r="R107" s="17">
        <f t="shared" ref="R107" si="154">M107+P107-Q107</f>
        <v>1857.6785714285716</v>
      </c>
      <c r="S107" s="19"/>
      <c r="T107" s="19"/>
      <c r="U107" s="19"/>
      <c r="V107" s="19"/>
      <c r="W107" s="17"/>
      <c r="X107" s="20"/>
      <c r="Y107" s="19"/>
      <c r="Z107" s="19"/>
      <c r="AA107" s="19"/>
      <c r="AB107" s="19"/>
      <c r="AC107" s="19"/>
      <c r="AD107" s="19"/>
      <c r="AE107" s="5"/>
      <c r="AF107" s="19"/>
      <c r="AG107" s="5"/>
      <c r="AH107" s="17"/>
      <c r="AI107" s="19"/>
      <c r="AJ107" s="19"/>
      <c r="AK107" s="19"/>
      <c r="AL107" s="19"/>
      <c r="AM107" s="17"/>
      <c r="AN107" s="19"/>
      <c r="AO107" s="19"/>
      <c r="AP107" s="19"/>
      <c r="AQ107" s="19"/>
      <c r="AR107" s="19"/>
      <c r="AS107" s="21"/>
      <c r="AT107" s="5"/>
      <c r="AU107" s="19"/>
      <c r="AV107" s="5"/>
      <c r="AW107" s="22"/>
      <c r="AX107" s="19"/>
      <c r="AY107" s="5"/>
      <c r="AZ107" s="19"/>
      <c r="BA107" s="5"/>
      <c r="BB107" s="5"/>
      <c r="BC107" s="19"/>
      <c r="BD107" s="19"/>
      <c r="BE107" s="19"/>
      <c r="BF107" s="19"/>
      <c r="BG107" s="19"/>
      <c r="BH107" s="19"/>
      <c r="BI107" s="19"/>
      <c r="BJ107" s="19"/>
      <c r="BK107" s="13"/>
      <c r="BL107" s="5"/>
      <c r="BM107" s="5"/>
      <c r="BN107" s="19"/>
      <c r="BO107" s="17"/>
      <c r="BP107" s="19"/>
      <c r="BQ107" s="17"/>
      <c r="BR107" s="19"/>
      <c r="BS107" s="13"/>
      <c r="BT107" s="5"/>
      <c r="BU107" s="23"/>
      <c r="BV107" s="23"/>
      <c r="BW107" s="24"/>
      <c r="BX107" s="5"/>
      <c r="BY107" s="5"/>
      <c r="BZ107" s="5"/>
      <c r="CA107" s="24"/>
      <c r="CB107" s="24"/>
      <c r="CC107" s="24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>
        <f t="shared" si="90"/>
        <v>2060</v>
      </c>
      <c r="CV107" s="25">
        <f t="shared" si="91"/>
        <v>0</v>
      </c>
    </row>
    <row r="108" spans="1:100" x14ac:dyDescent="0.2">
      <c r="A108" s="27"/>
      <c r="B108" s="28"/>
      <c r="C108" s="29"/>
      <c r="D108" s="30"/>
      <c r="E108" s="31"/>
      <c r="F108" s="32"/>
      <c r="G108" s="33"/>
      <c r="H108" s="34"/>
      <c r="I108" s="34"/>
      <c r="J108" s="35"/>
      <c r="K108" s="36"/>
      <c r="L108" s="37"/>
      <c r="M108" s="38">
        <f>SUM(M106:M107)</f>
        <v>2220</v>
      </c>
      <c r="N108" s="38"/>
      <c r="O108" s="39" t="s">
        <v>111</v>
      </c>
      <c r="P108" s="38">
        <f>SUM(P106:P107)</f>
        <v>19.821428571428569</v>
      </c>
      <c r="Q108" s="38">
        <f>SUM(Q106:Q107)</f>
        <v>237.85714285714283</v>
      </c>
      <c r="R108" s="38">
        <f>SUM(R106:R107)</f>
        <v>2001.9642857142858</v>
      </c>
      <c r="S108" s="38">
        <f t="shared" ref="S108:AD108" si="155">SUM(S106:S106)</f>
        <v>0</v>
      </c>
      <c r="T108" s="38">
        <f t="shared" si="155"/>
        <v>0</v>
      </c>
      <c r="U108" s="38">
        <f t="shared" si="155"/>
        <v>0</v>
      </c>
      <c r="V108" s="38">
        <f t="shared" si="155"/>
        <v>0</v>
      </c>
      <c r="W108" s="38">
        <f t="shared" si="155"/>
        <v>0</v>
      </c>
      <c r="X108" s="38">
        <f t="shared" si="155"/>
        <v>0</v>
      </c>
      <c r="Y108" s="38">
        <f t="shared" si="155"/>
        <v>0</v>
      </c>
      <c r="Z108" s="38">
        <f t="shared" si="155"/>
        <v>0</v>
      </c>
      <c r="AA108" s="38">
        <f t="shared" si="155"/>
        <v>0</v>
      </c>
      <c r="AB108" s="38">
        <f t="shared" si="155"/>
        <v>0</v>
      </c>
      <c r="AC108" s="38">
        <f t="shared" si="155"/>
        <v>0</v>
      </c>
      <c r="AD108" s="38">
        <f t="shared" si="155"/>
        <v>0</v>
      </c>
      <c r="AE108" s="30"/>
      <c r="AF108" s="38">
        <f>SUM(AF106:AF106)</f>
        <v>0</v>
      </c>
      <c r="AG108" s="30"/>
      <c r="AH108" s="38">
        <f t="shared" ref="AH108:AZ108" si="156">SUM(AH106:AH106)</f>
        <v>0</v>
      </c>
      <c r="AI108" s="38">
        <f t="shared" si="156"/>
        <v>0</v>
      </c>
      <c r="AJ108" s="38">
        <f t="shared" si="156"/>
        <v>0</v>
      </c>
      <c r="AK108" s="38">
        <f t="shared" si="156"/>
        <v>0</v>
      </c>
      <c r="AL108" s="38">
        <f t="shared" si="156"/>
        <v>0</v>
      </c>
      <c r="AM108" s="38">
        <f t="shared" si="156"/>
        <v>0</v>
      </c>
      <c r="AN108" s="38">
        <f t="shared" si="156"/>
        <v>0</v>
      </c>
      <c r="AO108" s="38">
        <f t="shared" si="156"/>
        <v>0</v>
      </c>
      <c r="AP108" s="38">
        <f t="shared" si="156"/>
        <v>0</v>
      </c>
      <c r="AQ108" s="38">
        <f t="shared" si="156"/>
        <v>0</v>
      </c>
      <c r="AR108" s="38">
        <f t="shared" si="156"/>
        <v>0</v>
      </c>
      <c r="AS108" s="38">
        <f t="shared" si="156"/>
        <v>0</v>
      </c>
      <c r="AT108" s="38">
        <f t="shared" si="156"/>
        <v>0</v>
      </c>
      <c r="AU108" s="38">
        <f t="shared" si="156"/>
        <v>0</v>
      </c>
      <c r="AV108" s="38">
        <f t="shared" si="156"/>
        <v>0</v>
      </c>
      <c r="AW108" s="38">
        <f t="shared" si="156"/>
        <v>0</v>
      </c>
      <c r="AX108" s="38">
        <f t="shared" si="156"/>
        <v>0</v>
      </c>
      <c r="AY108" s="38">
        <f t="shared" si="156"/>
        <v>0</v>
      </c>
      <c r="AZ108" s="38">
        <f t="shared" si="156"/>
        <v>0</v>
      </c>
      <c r="BA108" s="30"/>
      <c r="BB108" s="38">
        <f t="shared" ref="BB108:CT108" si="157">SUM(BB106:BB106)</f>
        <v>0</v>
      </c>
      <c r="BC108" s="38">
        <f t="shared" si="157"/>
        <v>0</v>
      </c>
      <c r="BD108" s="38">
        <f t="shared" si="157"/>
        <v>0</v>
      </c>
      <c r="BE108" s="38">
        <f t="shared" si="157"/>
        <v>0</v>
      </c>
      <c r="BF108" s="38">
        <f t="shared" si="157"/>
        <v>0</v>
      </c>
      <c r="BG108" s="38">
        <f t="shared" si="157"/>
        <v>0</v>
      </c>
      <c r="BH108" s="38">
        <f t="shared" si="157"/>
        <v>0</v>
      </c>
      <c r="BI108" s="38">
        <f t="shared" si="157"/>
        <v>0</v>
      </c>
      <c r="BJ108" s="38">
        <f t="shared" si="157"/>
        <v>0</v>
      </c>
      <c r="BK108" s="38">
        <f t="shared" si="157"/>
        <v>0</v>
      </c>
      <c r="BL108" s="38">
        <f t="shared" si="157"/>
        <v>0</v>
      </c>
      <c r="BM108" s="38">
        <f t="shared" si="157"/>
        <v>0</v>
      </c>
      <c r="BN108" s="38">
        <f t="shared" si="157"/>
        <v>0</v>
      </c>
      <c r="BO108" s="38">
        <f t="shared" si="157"/>
        <v>0</v>
      </c>
      <c r="BP108" s="38">
        <f t="shared" si="157"/>
        <v>0</v>
      </c>
      <c r="BQ108" s="38">
        <f t="shared" si="157"/>
        <v>0</v>
      </c>
      <c r="BR108" s="38">
        <f t="shared" si="157"/>
        <v>0</v>
      </c>
      <c r="BS108" s="38">
        <f t="shared" si="157"/>
        <v>0</v>
      </c>
      <c r="BT108" s="38">
        <f t="shared" si="157"/>
        <v>0</v>
      </c>
      <c r="BU108" s="38">
        <f t="shared" si="157"/>
        <v>0</v>
      </c>
      <c r="BV108" s="38">
        <f t="shared" si="157"/>
        <v>0</v>
      </c>
      <c r="BW108" s="38">
        <f t="shared" si="157"/>
        <v>0</v>
      </c>
      <c r="BX108" s="38">
        <f t="shared" si="157"/>
        <v>0</v>
      </c>
      <c r="BY108" s="38">
        <f t="shared" si="157"/>
        <v>0</v>
      </c>
      <c r="BZ108" s="38">
        <f t="shared" si="157"/>
        <v>0</v>
      </c>
      <c r="CA108" s="38">
        <f t="shared" si="157"/>
        <v>0</v>
      </c>
      <c r="CB108" s="38">
        <f t="shared" si="157"/>
        <v>0</v>
      </c>
      <c r="CC108" s="38">
        <f t="shared" si="157"/>
        <v>0</v>
      </c>
      <c r="CD108" s="38">
        <f t="shared" si="157"/>
        <v>0</v>
      </c>
      <c r="CE108" s="38">
        <f t="shared" si="157"/>
        <v>0</v>
      </c>
      <c r="CF108" s="38">
        <f t="shared" si="157"/>
        <v>0</v>
      </c>
      <c r="CG108" s="38">
        <f t="shared" si="157"/>
        <v>0</v>
      </c>
      <c r="CH108" s="38">
        <f t="shared" si="157"/>
        <v>0</v>
      </c>
      <c r="CI108" s="38">
        <f t="shared" si="157"/>
        <v>0</v>
      </c>
      <c r="CJ108" s="38">
        <f t="shared" si="157"/>
        <v>0</v>
      </c>
      <c r="CK108" s="38">
        <f t="shared" si="157"/>
        <v>0</v>
      </c>
      <c r="CL108" s="38">
        <f t="shared" si="157"/>
        <v>0</v>
      </c>
      <c r="CM108" s="38">
        <f t="shared" si="157"/>
        <v>0</v>
      </c>
      <c r="CN108" s="38">
        <f t="shared" si="157"/>
        <v>0</v>
      </c>
      <c r="CO108" s="38">
        <f t="shared" si="157"/>
        <v>0</v>
      </c>
      <c r="CP108" s="38">
        <f t="shared" si="157"/>
        <v>0</v>
      </c>
      <c r="CQ108" s="38">
        <f t="shared" si="157"/>
        <v>0</v>
      </c>
      <c r="CR108" s="38">
        <f t="shared" si="157"/>
        <v>0</v>
      </c>
      <c r="CS108" s="38">
        <f t="shared" si="157"/>
        <v>0</v>
      </c>
      <c r="CT108" s="38">
        <f t="shared" si="157"/>
        <v>0</v>
      </c>
      <c r="CU108" s="17">
        <f t="shared" si="90"/>
        <v>2220</v>
      </c>
      <c r="CV108" s="25">
        <f t="shared" si="91"/>
        <v>0</v>
      </c>
    </row>
    <row r="109" spans="1:100" x14ac:dyDescent="0.2">
      <c r="A109" s="2">
        <v>45889</v>
      </c>
      <c r="B109" s="3" t="s">
        <v>801</v>
      </c>
      <c r="C109" s="4" t="s">
        <v>895</v>
      </c>
      <c r="D109" s="5" t="s">
        <v>122</v>
      </c>
      <c r="E109" s="6" t="s">
        <v>770</v>
      </c>
      <c r="F109" s="7" t="s">
        <v>229</v>
      </c>
      <c r="G109" s="8" t="s">
        <v>259</v>
      </c>
      <c r="H109" s="9">
        <v>141804</v>
      </c>
      <c r="I109" s="10" t="s">
        <v>811</v>
      </c>
      <c r="J109" s="11" t="s">
        <v>812</v>
      </c>
      <c r="K109" s="12">
        <v>10</v>
      </c>
      <c r="L109" s="13">
        <v>120</v>
      </c>
      <c r="M109" s="14">
        <f t="shared" ref="M109" si="158">L109*K109</f>
        <v>1200</v>
      </c>
      <c r="N109" s="15"/>
      <c r="O109" s="16" t="s">
        <v>111</v>
      </c>
      <c r="P109" s="17">
        <f>M109/1.12*0.01</f>
        <v>10.714285714285714</v>
      </c>
      <c r="Q109" s="18">
        <f>M109/1.12*0.12</f>
        <v>128.57142857142856</v>
      </c>
      <c r="R109" s="5"/>
      <c r="S109" s="19"/>
      <c r="T109" s="19"/>
      <c r="U109" s="19"/>
      <c r="V109" s="19"/>
      <c r="W109" s="17">
        <f>M109+P109-Q109</f>
        <v>1082.1428571428573</v>
      </c>
      <c r="X109" s="20"/>
      <c r="Y109" s="19"/>
      <c r="Z109" s="19"/>
      <c r="AA109" s="19"/>
      <c r="AB109" s="19"/>
      <c r="AC109" s="19"/>
      <c r="AD109" s="19"/>
      <c r="AE109" s="5"/>
      <c r="AF109" s="19"/>
      <c r="AG109" s="5"/>
      <c r="AH109" s="17"/>
      <c r="AI109" s="19"/>
      <c r="AJ109" s="19"/>
      <c r="AK109" s="19"/>
      <c r="AL109" s="19"/>
      <c r="AM109" s="17"/>
      <c r="AN109" s="19"/>
      <c r="AO109" s="19"/>
      <c r="AP109" s="19"/>
      <c r="AQ109" s="19"/>
      <c r="AR109" s="19"/>
      <c r="AS109" s="21"/>
      <c r="AT109" s="5"/>
      <c r="AU109" s="19"/>
      <c r="AV109" s="5"/>
      <c r="AW109" s="22"/>
      <c r="AX109" s="19"/>
      <c r="AY109" s="5"/>
      <c r="AZ109" s="19"/>
      <c r="BA109" s="5"/>
      <c r="BB109" s="5"/>
      <c r="BC109" s="19"/>
      <c r="BD109" s="19"/>
      <c r="BE109" s="19"/>
      <c r="BF109" s="19"/>
      <c r="BG109" s="19"/>
      <c r="BH109" s="19"/>
      <c r="BI109" s="19"/>
      <c r="BJ109" s="19"/>
      <c r="BK109" s="13"/>
      <c r="BL109" s="5"/>
      <c r="BM109" s="5"/>
      <c r="BN109" s="19"/>
      <c r="BO109" s="17"/>
      <c r="BP109" s="19"/>
      <c r="BQ109" s="17"/>
      <c r="BR109" s="19"/>
      <c r="BS109" s="13"/>
      <c r="BT109" s="5"/>
      <c r="BU109" s="23"/>
      <c r="BV109" s="23"/>
      <c r="BW109" s="24"/>
      <c r="BX109" s="5"/>
      <c r="BY109" s="5"/>
      <c r="BZ109" s="5"/>
      <c r="CA109" s="24"/>
      <c r="CB109" s="24"/>
      <c r="CC109" s="24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>
        <f t="shared" si="90"/>
        <v>1200</v>
      </c>
      <c r="CV109" s="25">
        <f t="shared" si="91"/>
        <v>0</v>
      </c>
    </row>
    <row r="110" spans="1:100" x14ac:dyDescent="0.2">
      <c r="A110" s="27"/>
      <c r="B110" s="28"/>
      <c r="C110" s="29"/>
      <c r="D110" s="30"/>
      <c r="E110" s="31"/>
      <c r="F110" s="32"/>
      <c r="G110" s="33"/>
      <c r="H110" s="34"/>
      <c r="I110" s="34"/>
      <c r="J110" s="35"/>
      <c r="K110" s="36"/>
      <c r="L110" s="37"/>
      <c r="M110" s="38">
        <f>SUM(M109:M109)</f>
        <v>1200</v>
      </c>
      <c r="N110" s="38"/>
      <c r="O110" s="39" t="s">
        <v>111</v>
      </c>
      <c r="P110" s="38">
        <f>SUM(P109:P109)</f>
        <v>10.714285714285714</v>
      </c>
      <c r="Q110" s="38">
        <f>SUM(Q109:Q109)</f>
        <v>128.57142857142856</v>
      </c>
      <c r="R110" s="30"/>
      <c r="S110" s="38">
        <f t="shared" ref="S110:AD110" si="159">SUM(S109:S109)</f>
        <v>0</v>
      </c>
      <c r="T110" s="38">
        <f t="shared" si="159"/>
        <v>0</v>
      </c>
      <c r="U110" s="38">
        <f t="shared" si="159"/>
        <v>0</v>
      </c>
      <c r="V110" s="38">
        <f t="shared" si="159"/>
        <v>0</v>
      </c>
      <c r="W110" s="38">
        <f>SUM(W109:W109)</f>
        <v>1082.1428571428573</v>
      </c>
      <c r="X110" s="38">
        <f t="shared" si="159"/>
        <v>0</v>
      </c>
      <c r="Y110" s="38">
        <f t="shared" si="159"/>
        <v>0</v>
      </c>
      <c r="Z110" s="38">
        <f t="shared" si="159"/>
        <v>0</v>
      </c>
      <c r="AA110" s="38">
        <f t="shared" si="159"/>
        <v>0</v>
      </c>
      <c r="AB110" s="38">
        <f t="shared" si="159"/>
        <v>0</v>
      </c>
      <c r="AC110" s="38">
        <f t="shared" si="159"/>
        <v>0</v>
      </c>
      <c r="AD110" s="38">
        <f t="shared" si="159"/>
        <v>0</v>
      </c>
      <c r="AE110" s="30"/>
      <c r="AF110" s="38">
        <f>SUM(AF109:AF109)</f>
        <v>0</v>
      </c>
      <c r="AG110" s="30"/>
      <c r="AH110" s="38">
        <f t="shared" ref="AH110:AZ110" si="160">SUM(AH109:AH109)</f>
        <v>0</v>
      </c>
      <c r="AI110" s="38">
        <f t="shared" si="160"/>
        <v>0</v>
      </c>
      <c r="AJ110" s="38">
        <f t="shared" si="160"/>
        <v>0</v>
      </c>
      <c r="AK110" s="38">
        <f t="shared" si="160"/>
        <v>0</v>
      </c>
      <c r="AL110" s="38">
        <f t="shared" si="160"/>
        <v>0</v>
      </c>
      <c r="AM110" s="38">
        <f t="shared" si="160"/>
        <v>0</v>
      </c>
      <c r="AN110" s="38">
        <f t="shared" si="160"/>
        <v>0</v>
      </c>
      <c r="AO110" s="38">
        <f t="shared" si="160"/>
        <v>0</v>
      </c>
      <c r="AP110" s="38">
        <f t="shared" si="160"/>
        <v>0</v>
      </c>
      <c r="AQ110" s="38">
        <f t="shared" si="160"/>
        <v>0</v>
      </c>
      <c r="AR110" s="38">
        <f t="shared" si="160"/>
        <v>0</v>
      </c>
      <c r="AS110" s="38">
        <f t="shared" si="160"/>
        <v>0</v>
      </c>
      <c r="AT110" s="38">
        <f t="shared" si="160"/>
        <v>0</v>
      </c>
      <c r="AU110" s="38">
        <f t="shared" si="160"/>
        <v>0</v>
      </c>
      <c r="AV110" s="38">
        <f t="shared" si="160"/>
        <v>0</v>
      </c>
      <c r="AW110" s="38">
        <f t="shared" si="160"/>
        <v>0</v>
      </c>
      <c r="AX110" s="38">
        <f t="shared" si="160"/>
        <v>0</v>
      </c>
      <c r="AY110" s="38">
        <f t="shared" si="160"/>
        <v>0</v>
      </c>
      <c r="AZ110" s="38">
        <f t="shared" si="160"/>
        <v>0</v>
      </c>
      <c r="BA110" s="30"/>
      <c r="BB110" s="38">
        <f t="shared" ref="BB110:CT110" si="161">SUM(BB109:BB109)</f>
        <v>0</v>
      </c>
      <c r="BC110" s="38">
        <f t="shared" si="161"/>
        <v>0</v>
      </c>
      <c r="BD110" s="38">
        <f t="shared" si="161"/>
        <v>0</v>
      </c>
      <c r="BE110" s="38">
        <f t="shared" si="161"/>
        <v>0</v>
      </c>
      <c r="BF110" s="38">
        <f t="shared" si="161"/>
        <v>0</v>
      </c>
      <c r="BG110" s="38">
        <f t="shared" si="161"/>
        <v>0</v>
      </c>
      <c r="BH110" s="38">
        <f t="shared" si="161"/>
        <v>0</v>
      </c>
      <c r="BI110" s="38">
        <f t="shared" si="161"/>
        <v>0</v>
      </c>
      <c r="BJ110" s="38">
        <f t="shared" si="161"/>
        <v>0</v>
      </c>
      <c r="BK110" s="38">
        <f t="shared" si="161"/>
        <v>0</v>
      </c>
      <c r="BL110" s="38">
        <f t="shared" si="161"/>
        <v>0</v>
      </c>
      <c r="BM110" s="38">
        <f t="shared" si="161"/>
        <v>0</v>
      </c>
      <c r="BN110" s="38">
        <f t="shared" si="161"/>
        <v>0</v>
      </c>
      <c r="BO110" s="38">
        <f t="shared" si="161"/>
        <v>0</v>
      </c>
      <c r="BP110" s="38">
        <f t="shared" si="161"/>
        <v>0</v>
      </c>
      <c r="BQ110" s="38">
        <f t="shared" si="161"/>
        <v>0</v>
      </c>
      <c r="BR110" s="38">
        <f t="shared" si="161"/>
        <v>0</v>
      </c>
      <c r="BS110" s="38">
        <f t="shared" si="161"/>
        <v>0</v>
      </c>
      <c r="BT110" s="38">
        <f t="shared" si="161"/>
        <v>0</v>
      </c>
      <c r="BU110" s="38">
        <f t="shared" si="161"/>
        <v>0</v>
      </c>
      <c r="BV110" s="38">
        <f t="shared" si="161"/>
        <v>0</v>
      </c>
      <c r="BW110" s="38">
        <f t="shared" si="161"/>
        <v>0</v>
      </c>
      <c r="BX110" s="38">
        <f t="shared" si="161"/>
        <v>0</v>
      </c>
      <c r="BY110" s="38">
        <f t="shared" si="161"/>
        <v>0</v>
      </c>
      <c r="BZ110" s="38">
        <f t="shared" si="161"/>
        <v>0</v>
      </c>
      <c r="CA110" s="38">
        <f t="shared" si="161"/>
        <v>0</v>
      </c>
      <c r="CB110" s="38">
        <f t="shared" si="161"/>
        <v>0</v>
      </c>
      <c r="CC110" s="38">
        <f t="shared" si="161"/>
        <v>0</v>
      </c>
      <c r="CD110" s="38">
        <f t="shared" si="161"/>
        <v>0</v>
      </c>
      <c r="CE110" s="38">
        <f t="shared" si="161"/>
        <v>0</v>
      </c>
      <c r="CF110" s="38">
        <f t="shared" si="161"/>
        <v>0</v>
      </c>
      <c r="CG110" s="38">
        <f t="shared" si="161"/>
        <v>0</v>
      </c>
      <c r="CH110" s="38">
        <f t="shared" si="161"/>
        <v>0</v>
      </c>
      <c r="CI110" s="38">
        <f t="shared" si="161"/>
        <v>0</v>
      </c>
      <c r="CJ110" s="38">
        <f t="shared" si="161"/>
        <v>0</v>
      </c>
      <c r="CK110" s="38">
        <f t="shared" si="161"/>
        <v>0</v>
      </c>
      <c r="CL110" s="38">
        <f t="shared" si="161"/>
        <v>0</v>
      </c>
      <c r="CM110" s="38">
        <f t="shared" si="161"/>
        <v>0</v>
      </c>
      <c r="CN110" s="38">
        <f t="shared" si="161"/>
        <v>0</v>
      </c>
      <c r="CO110" s="38">
        <f t="shared" si="161"/>
        <v>0</v>
      </c>
      <c r="CP110" s="38">
        <f t="shared" si="161"/>
        <v>0</v>
      </c>
      <c r="CQ110" s="38">
        <f t="shared" si="161"/>
        <v>0</v>
      </c>
      <c r="CR110" s="38">
        <f t="shared" si="161"/>
        <v>0</v>
      </c>
      <c r="CS110" s="38">
        <f t="shared" si="161"/>
        <v>0</v>
      </c>
      <c r="CT110" s="38">
        <f t="shared" si="161"/>
        <v>0</v>
      </c>
      <c r="CU110" s="17">
        <f t="shared" si="90"/>
        <v>1200</v>
      </c>
      <c r="CV110" s="25">
        <f t="shared" si="91"/>
        <v>0</v>
      </c>
    </row>
    <row r="111" spans="1:100" x14ac:dyDescent="0.2">
      <c r="A111" s="2">
        <v>45890</v>
      </c>
      <c r="B111" s="3" t="s">
        <v>801</v>
      </c>
      <c r="C111" s="4" t="s">
        <v>894</v>
      </c>
      <c r="D111" s="5" t="s">
        <v>122</v>
      </c>
      <c r="E111" s="6"/>
      <c r="F111" s="7"/>
      <c r="G111" s="8"/>
      <c r="H111" s="9">
        <v>2797497</v>
      </c>
      <c r="I111" s="10"/>
      <c r="J111" s="11" t="s">
        <v>226</v>
      </c>
      <c r="K111" s="12">
        <v>1</v>
      </c>
      <c r="L111" s="13">
        <v>120</v>
      </c>
      <c r="M111" s="14">
        <f t="shared" ref="M111" si="162">L111*K111</f>
        <v>120</v>
      </c>
      <c r="N111" s="15"/>
      <c r="O111" s="16" t="s">
        <v>137</v>
      </c>
      <c r="P111" s="17"/>
      <c r="Q111" s="18"/>
      <c r="R111" s="5"/>
      <c r="S111" s="19"/>
      <c r="T111" s="19"/>
      <c r="U111" s="19"/>
      <c r="V111" s="19"/>
      <c r="W111" s="17"/>
      <c r="X111" s="20"/>
      <c r="Y111" s="19"/>
      <c r="Z111" s="19"/>
      <c r="AA111" s="19"/>
      <c r="AB111" s="19"/>
      <c r="AC111" s="19"/>
      <c r="AD111" s="19"/>
      <c r="AE111" s="5"/>
      <c r="AF111" s="19"/>
      <c r="AG111" s="5"/>
      <c r="AH111" s="17"/>
      <c r="AI111" s="19"/>
      <c r="AJ111" s="19"/>
      <c r="AK111" s="19"/>
      <c r="AL111" s="19"/>
      <c r="AM111" s="17"/>
      <c r="AN111" s="19"/>
      <c r="AO111" s="19"/>
      <c r="AP111" s="19"/>
      <c r="AQ111" s="19"/>
      <c r="AR111" s="19"/>
      <c r="AS111" s="21"/>
      <c r="AT111" s="5"/>
      <c r="AU111" s="19"/>
      <c r="AV111" s="5"/>
      <c r="AW111" s="22"/>
      <c r="AX111" s="19"/>
      <c r="AY111" s="5"/>
      <c r="AZ111" s="19"/>
      <c r="BA111" s="5"/>
      <c r="BB111" s="5"/>
      <c r="BC111" s="17">
        <f>M111+P111-Q111</f>
        <v>120</v>
      </c>
      <c r="BD111" s="19"/>
      <c r="BE111" s="19"/>
      <c r="BF111" s="19"/>
      <c r="BG111" s="19"/>
      <c r="BH111" s="19"/>
      <c r="BI111" s="19"/>
      <c r="BJ111" s="19"/>
      <c r="BK111" s="13"/>
      <c r="BL111" s="5"/>
      <c r="BM111" s="5"/>
      <c r="BN111" s="19"/>
      <c r="BO111" s="17"/>
      <c r="BP111" s="19"/>
      <c r="BQ111" s="17"/>
      <c r="BR111" s="19"/>
      <c r="BS111" s="13"/>
      <c r="BT111" s="5"/>
      <c r="BU111" s="23"/>
      <c r="BV111" s="23"/>
      <c r="BW111" s="24"/>
      <c r="BX111" s="5"/>
      <c r="BY111" s="5"/>
      <c r="BZ111" s="5"/>
      <c r="CA111" s="24"/>
      <c r="CB111" s="24"/>
      <c r="CC111" s="24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>
        <f t="shared" si="90"/>
        <v>120</v>
      </c>
      <c r="CV111" s="25">
        <f t="shared" si="91"/>
        <v>0</v>
      </c>
    </row>
    <row r="112" spans="1:100" s="205" customFormat="1" x14ac:dyDescent="0.2">
      <c r="A112" s="192"/>
      <c r="B112" s="193"/>
      <c r="C112" s="194"/>
      <c r="D112" s="195"/>
      <c r="E112" s="196"/>
      <c r="F112" s="197"/>
      <c r="G112" s="198"/>
      <c r="H112" s="199"/>
      <c r="I112" s="199"/>
      <c r="J112" s="200"/>
      <c r="K112" s="201"/>
      <c r="L112" s="202"/>
      <c r="M112" s="203">
        <f>SUM(M111:M111)</f>
        <v>120</v>
      </c>
      <c r="N112" s="203">
        <f>M112+M110+M108+M105+M101</f>
        <v>9119.5</v>
      </c>
      <c r="O112" s="204" t="s">
        <v>137</v>
      </c>
      <c r="P112" s="203"/>
      <c r="Q112" s="203"/>
      <c r="R112" s="195"/>
      <c r="S112" s="203">
        <f t="shared" ref="S112:AD112" si="163">SUM(S111:S111)</f>
        <v>0</v>
      </c>
      <c r="T112" s="203">
        <f t="shared" si="163"/>
        <v>0</v>
      </c>
      <c r="U112" s="203">
        <f t="shared" si="163"/>
        <v>0</v>
      </c>
      <c r="V112" s="203">
        <f t="shared" si="163"/>
        <v>0</v>
      </c>
      <c r="W112" s="203">
        <f t="shared" si="163"/>
        <v>0</v>
      </c>
      <c r="X112" s="203">
        <f t="shared" si="163"/>
        <v>0</v>
      </c>
      <c r="Y112" s="203">
        <f t="shared" si="163"/>
        <v>0</v>
      </c>
      <c r="Z112" s="203">
        <f t="shared" si="163"/>
        <v>0</v>
      </c>
      <c r="AA112" s="203">
        <f t="shared" si="163"/>
        <v>0</v>
      </c>
      <c r="AB112" s="203">
        <f t="shared" si="163"/>
        <v>0</v>
      </c>
      <c r="AC112" s="203">
        <f t="shared" si="163"/>
        <v>0</v>
      </c>
      <c r="AD112" s="203">
        <f t="shared" si="163"/>
        <v>0</v>
      </c>
      <c r="AE112" s="195"/>
      <c r="AF112" s="203">
        <f>SUM(AF111:AF111)</f>
        <v>0</v>
      </c>
      <c r="AG112" s="195"/>
      <c r="AH112" s="203">
        <f t="shared" ref="AH112:AZ112" si="164">SUM(AH111:AH111)</f>
        <v>0</v>
      </c>
      <c r="AI112" s="203">
        <f t="shared" si="164"/>
        <v>0</v>
      </c>
      <c r="AJ112" s="203">
        <f t="shared" si="164"/>
        <v>0</v>
      </c>
      <c r="AK112" s="203">
        <f t="shared" si="164"/>
        <v>0</v>
      </c>
      <c r="AL112" s="203">
        <f t="shared" si="164"/>
        <v>0</v>
      </c>
      <c r="AM112" s="203">
        <f t="shared" si="164"/>
        <v>0</v>
      </c>
      <c r="AN112" s="203">
        <f t="shared" si="164"/>
        <v>0</v>
      </c>
      <c r="AO112" s="203">
        <f t="shared" si="164"/>
        <v>0</v>
      </c>
      <c r="AP112" s="203">
        <f t="shared" si="164"/>
        <v>0</v>
      </c>
      <c r="AQ112" s="203">
        <f t="shared" si="164"/>
        <v>0</v>
      </c>
      <c r="AR112" s="203">
        <f t="shared" si="164"/>
        <v>0</v>
      </c>
      <c r="AS112" s="203">
        <f t="shared" si="164"/>
        <v>0</v>
      </c>
      <c r="AT112" s="203">
        <f t="shared" si="164"/>
        <v>0</v>
      </c>
      <c r="AU112" s="203">
        <f t="shared" si="164"/>
        <v>0</v>
      </c>
      <c r="AV112" s="203">
        <f t="shared" si="164"/>
        <v>0</v>
      </c>
      <c r="AW112" s="203">
        <f t="shared" si="164"/>
        <v>0</v>
      </c>
      <c r="AX112" s="203">
        <f t="shared" si="164"/>
        <v>0</v>
      </c>
      <c r="AY112" s="203">
        <f t="shared" si="164"/>
        <v>0</v>
      </c>
      <c r="AZ112" s="203">
        <f t="shared" si="164"/>
        <v>0</v>
      </c>
      <c r="BA112" s="195"/>
      <c r="BB112" s="203">
        <f t="shared" ref="BB112:CT112" si="165">SUM(BB111:BB111)</f>
        <v>0</v>
      </c>
      <c r="BC112" s="203">
        <f>SUM(BC111:BC111)</f>
        <v>120</v>
      </c>
      <c r="BD112" s="203">
        <f t="shared" si="165"/>
        <v>0</v>
      </c>
      <c r="BE112" s="203">
        <f t="shared" si="165"/>
        <v>0</v>
      </c>
      <c r="BF112" s="203">
        <f t="shared" si="165"/>
        <v>0</v>
      </c>
      <c r="BG112" s="203">
        <f t="shared" si="165"/>
        <v>0</v>
      </c>
      <c r="BH112" s="203">
        <f t="shared" si="165"/>
        <v>0</v>
      </c>
      <c r="BI112" s="203">
        <f t="shared" si="165"/>
        <v>0</v>
      </c>
      <c r="BJ112" s="203">
        <f t="shared" si="165"/>
        <v>0</v>
      </c>
      <c r="BK112" s="203">
        <f t="shared" si="165"/>
        <v>0</v>
      </c>
      <c r="BL112" s="203">
        <f t="shared" si="165"/>
        <v>0</v>
      </c>
      <c r="BM112" s="203">
        <f t="shared" si="165"/>
        <v>0</v>
      </c>
      <c r="BN112" s="203">
        <f t="shared" si="165"/>
        <v>0</v>
      </c>
      <c r="BO112" s="203">
        <f t="shared" si="165"/>
        <v>0</v>
      </c>
      <c r="BP112" s="203">
        <f t="shared" si="165"/>
        <v>0</v>
      </c>
      <c r="BQ112" s="203">
        <f t="shared" si="165"/>
        <v>0</v>
      </c>
      <c r="BR112" s="203">
        <f t="shared" si="165"/>
        <v>0</v>
      </c>
      <c r="BS112" s="203">
        <f t="shared" si="165"/>
        <v>0</v>
      </c>
      <c r="BT112" s="203">
        <f t="shared" si="165"/>
        <v>0</v>
      </c>
      <c r="BU112" s="203">
        <f t="shared" si="165"/>
        <v>0</v>
      </c>
      <c r="BV112" s="203">
        <f t="shared" si="165"/>
        <v>0</v>
      </c>
      <c r="BW112" s="203">
        <f t="shared" si="165"/>
        <v>0</v>
      </c>
      <c r="BX112" s="203">
        <f t="shared" si="165"/>
        <v>0</v>
      </c>
      <c r="BY112" s="203">
        <f t="shared" si="165"/>
        <v>0</v>
      </c>
      <c r="BZ112" s="203">
        <f t="shared" si="165"/>
        <v>0</v>
      </c>
      <c r="CA112" s="203">
        <f t="shared" si="165"/>
        <v>0</v>
      </c>
      <c r="CB112" s="203">
        <f t="shared" si="165"/>
        <v>0</v>
      </c>
      <c r="CC112" s="203">
        <f t="shared" si="165"/>
        <v>0</v>
      </c>
      <c r="CD112" s="203">
        <f t="shared" si="165"/>
        <v>0</v>
      </c>
      <c r="CE112" s="203">
        <f t="shared" si="165"/>
        <v>0</v>
      </c>
      <c r="CF112" s="203">
        <f t="shared" si="165"/>
        <v>0</v>
      </c>
      <c r="CG112" s="203">
        <f t="shared" si="165"/>
        <v>0</v>
      </c>
      <c r="CH112" s="203">
        <f t="shared" si="165"/>
        <v>0</v>
      </c>
      <c r="CI112" s="203">
        <f t="shared" si="165"/>
        <v>0</v>
      </c>
      <c r="CJ112" s="203">
        <f t="shared" si="165"/>
        <v>0</v>
      </c>
      <c r="CK112" s="203">
        <f t="shared" si="165"/>
        <v>0</v>
      </c>
      <c r="CL112" s="203">
        <f t="shared" si="165"/>
        <v>0</v>
      </c>
      <c r="CM112" s="203">
        <f t="shared" si="165"/>
        <v>0</v>
      </c>
      <c r="CN112" s="203">
        <f t="shared" si="165"/>
        <v>0</v>
      </c>
      <c r="CO112" s="203">
        <f t="shared" si="165"/>
        <v>0</v>
      </c>
      <c r="CP112" s="203">
        <f t="shared" si="165"/>
        <v>0</v>
      </c>
      <c r="CQ112" s="203">
        <f t="shared" si="165"/>
        <v>0</v>
      </c>
      <c r="CR112" s="203">
        <f t="shared" si="165"/>
        <v>0</v>
      </c>
      <c r="CS112" s="203">
        <f t="shared" si="165"/>
        <v>0</v>
      </c>
      <c r="CT112" s="203">
        <f t="shared" si="165"/>
        <v>0</v>
      </c>
      <c r="CU112" s="17">
        <f t="shared" si="90"/>
        <v>120</v>
      </c>
      <c r="CV112" s="25">
        <f t="shared" si="91"/>
        <v>0</v>
      </c>
    </row>
    <row r="113" spans="1:100" x14ac:dyDescent="0.2">
      <c r="A113" s="2">
        <v>45891</v>
      </c>
      <c r="B113" s="3" t="s">
        <v>814</v>
      </c>
      <c r="C113" s="4" t="s">
        <v>893</v>
      </c>
      <c r="D113" s="5" t="s">
        <v>815</v>
      </c>
      <c r="E113" s="6" t="s">
        <v>816</v>
      </c>
      <c r="F113" s="7"/>
      <c r="G113" s="8"/>
      <c r="H113" s="9"/>
      <c r="I113" s="10"/>
      <c r="J113" s="11" t="s">
        <v>760</v>
      </c>
      <c r="K113" s="12">
        <v>1</v>
      </c>
      <c r="L113" s="13">
        <v>320</v>
      </c>
      <c r="M113" s="14">
        <f t="shared" ref="M113" si="166">L113*K113</f>
        <v>320</v>
      </c>
      <c r="N113" s="15"/>
      <c r="O113" s="16" t="s">
        <v>137</v>
      </c>
      <c r="P113" s="17"/>
      <c r="Q113" s="18"/>
      <c r="R113" s="17">
        <f>M113+P113-Q113</f>
        <v>320</v>
      </c>
      <c r="S113" s="19"/>
      <c r="T113" s="19"/>
      <c r="U113" s="19"/>
      <c r="V113" s="19"/>
      <c r="W113" s="17"/>
      <c r="X113" s="20"/>
      <c r="Y113" s="19"/>
      <c r="Z113" s="19"/>
      <c r="AA113" s="19"/>
      <c r="AB113" s="19"/>
      <c r="AC113" s="19"/>
      <c r="AD113" s="19"/>
      <c r="AE113" s="5"/>
      <c r="AF113" s="19"/>
      <c r="AG113" s="5"/>
      <c r="AH113" s="17"/>
      <c r="AI113" s="19"/>
      <c r="AJ113" s="19"/>
      <c r="AK113" s="19"/>
      <c r="AL113" s="19"/>
      <c r="AM113" s="17"/>
      <c r="AN113" s="19"/>
      <c r="AO113" s="19"/>
      <c r="AP113" s="19"/>
      <c r="AQ113" s="19"/>
      <c r="AR113" s="19"/>
      <c r="AS113" s="21"/>
      <c r="AT113" s="5"/>
      <c r="AU113" s="19"/>
      <c r="AV113" s="5"/>
      <c r="AW113" s="22"/>
      <c r="AX113" s="19"/>
      <c r="AY113" s="5"/>
      <c r="AZ113" s="19"/>
      <c r="BA113" s="5"/>
      <c r="BB113" s="5"/>
      <c r="BC113" s="19"/>
      <c r="BD113" s="19"/>
      <c r="BE113" s="19"/>
      <c r="BF113" s="19"/>
      <c r="BG113" s="19"/>
      <c r="BH113" s="19"/>
      <c r="BI113" s="19"/>
      <c r="BJ113" s="19"/>
      <c r="BK113" s="13"/>
      <c r="BL113" s="5"/>
      <c r="BM113" s="5"/>
      <c r="BN113" s="19"/>
      <c r="BO113" s="17"/>
      <c r="BP113" s="19"/>
      <c r="BQ113" s="17"/>
      <c r="BR113" s="19"/>
      <c r="BS113" s="13"/>
      <c r="BT113" s="5"/>
      <c r="BU113" s="23"/>
      <c r="BV113" s="23"/>
      <c r="BW113" s="24"/>
      <c r="BX113" s="5"/>
      <c r="BY113" s="5"/>
      <c r="BZ113" s="5"/>
      <c r="CA113" s="24"/>
      <c r="CB113" s="24"/>
      <c r="CC113" s="24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>
        <f t="shared" si="90"/>
        <v>320</v>
      </c>
      <c r="CV113" s="25">
        <f t="shared" si="91"/>
        <v>0</v>
      </c>
    </row>
    <row r="114" spans="1:100" s="205" customFormat="1" x14ac:dyDescent="0.2">
      <c r="A114" s="192"/>
      <c r="B114" s="193"/>
      <c r="C114" s="194"/>
      <c r="D114" s="195"/>
      <c r="E114" s="196"/>
      <c r="F114" s="197"/>
      <c r="G114" s="198"/>
      <c r="H114" s="199"/>
      <c r="I114" s="199"/>
      <c r="J114" s="200"/>
      <c r="K114" s="201"/>
      <c r="L114" s="202"/>
      <c r="M114" s="203">
        <f>SUM(M113:M113)</f>
        <v>320</v>
      </c>
      <c r="N114" s="203">
        <f>M114</f>
        <v>320</v>
      </c>
      <c r="O114" s="204" t="s">
        <v>137</v>
      </c>
      <c r="P114" s="203"/>
      <c r="Q114" s="203"/>
      <c r="R114" s="203">
        <f>SUM(R113:R113)</f>
        <v>320</v>
      </c>
      <c r="S114" s="203">
        <f t="shared" ref="S114:AD114" si="167">SUM(S113:S113)</f>
        <v>0</v>
      </c>
      <c r="T114" s="203">
        <f t="shared" si="167"/>
        <v>0</v>
      </c>
      <c r="U114" s="203">
        <f t="shared" si="167"/>
        <v>0</v>
      </c>
      <c r="V114" s="203">
        <f t="shared" si="167"/>
        <v>0</v>
      </c>
      <c r="W114" s="203">
        <f t="shared" si="167"/>
        <v>0</v>
      </c>
      <c r="X114" s="203">
        <f t="shared" si="167"/>
        <v>0</v>
      </c>
      <c r="Y114" s="203">
        <f t="shared" si="167"/>
        <v>0</v>
      </c>
      <c r="Z114" s="203">
        <f t="shared" si="167"/>
        <v>0</v>
      </c>
      <c r="AA114" s="203">
        <f t="shared" si="167"/>
        <v>0</v>
      </c>
      <c r="AB114" s="203">
        <f t="shared" si="167"/>
        <v>0</v>
      </c>
      <c r="AC114" s="203">
        <f t="shared" si="167"/>
        <v>0</v>
      </c>
      <c r="AD114" s="203">
        <f t="shared" si="167"/>
        <v>0</v>
      </c>
      <c r="AE114" s="195"/>
      <c r="AF114" s="203">
        <f>SUM(AF113:AF113)</f>
        <v>0</v>
      </c>
      <c r="AG114" s="195"/>
      <c r="AH114" s="203">
        <f t="shared" ref="AH114:AZ114" si="168">SUM(AH113:AH113)</f>
        <v>0</v>
      </c>
      <c r="AI114" s="203">
        <f t="shared" si="168"/>
        <v>0</v>
      </c>
      <c r="AJ114" s="203">
        <f t="shared" si="168"/>
        <v>0</v>
      </c>
      <c r="AK114" s="203">
        <f t="shared" si="168"/>
        <v>0</v>
      </c>
      <c r="AL114" s="203">
        <f t="shared" si="168"/>
        <v>0</v>
      </c>
      <c r="AM114" s="203">
        <f t="shared" si="168"/>
        <v>0</v>
      </c>
      <c r="AN114" s="203">
        <f t="shared" si="168"/>
        <v>0</v>
      </c>
      <c r="AO114" s="203">
        <f t="shared" si="168"/>
        <v>0</v>
      </c>
      <c r="AP114" s="203">
        <f t="shared" si="168"/>
        <v>0</v>
      </c>
      <c r="AQ114" s="203">
        <f t="shared" si="168"/>
        <v>0</v>
      </c>
      <c r="AR114" s="203">
        <f t="shared" si="168"/>
        <v>0</v>
      </c>
      <c r="AS114" s="203">
        <f t="shared" si="168"/>
        <v>0</v>
      </c>
      <c r="AT114" s="203">
        <f t="shared" si="168"/>
        <v>0</v>
      </c>
      <c r="AU114" s="203">
        <f t="shared" si="168"/>
        <v>0</v>
      </c>
      <c r="AV114" s="203">
        <f t="shared" si="168"/>
        <v>0</v>
      </c>
      <c r="AW114" s="203">
        <f t="shared" si="168"/>
        <v>0</v>
      </c>
      <c r="AX114" s="203">
        <f t="shared" si="168"/>
        <v>0</v>
      </c>
      <c r="AY114" s="203">
        <f t="shared" si="168"/>
        <v>0</v>
      </c>
      <c r="AZ114" s="203">
        <f t="shared" si="168"/>
        <v>0</v>
      </c>
      <c r="BA114" s="195"/>
      <c r="BB114" s="203">
        <f t="shared" ref="BB114:CT114" si="169">SUM(BB113:BB113)</f>
        <v>0</v>
      </c>
      <c r="BC114" s="203">
        <f t="shared" si="169"/>
        <v>0</v>
      </c>
      <c r="BD114" s="203">
        <f t="shared" si="169"/>
        <v>0</v>
      </c>
      <c r="BE114" s="203">
        <f t="shared" si="169"/>
        <v>0</v>
      </c>
      <c r="BF114" s="203">
        <f t="shared" si="169"/>
        <v>0</v>
      </c>
      <c r="BG114" s="203">
        <f t="shared" si="169"/>
        <v>0</v>
      </c>
      <c r="BH114" s="203">
        <f t="shared" si="169"/>
        <v>0</v>
      </c>
      <c r="BI114" s="203">
        <f t="shared" si="169"/>
        <v>0</v>
      </c>
      <c r="BJ114" s="203">
        <f t="shared" si="169"/>
        <v>0</v>
      </c>
      <c r="BK114" s="203">
        <f t="shared" si="169"/>
        <v>0</v>
      </c>
      <c r="BL114" s="203">
        <f t="shared" si="169"/>
        <v>0</v>
      </c>
      <c r="BM114" s="203">
        <f t="shared" si="169"/>
        <v>0</v>
      </c>
      <c r="BN114" s="203">
        <f t="shared" si="169"/>
        <v>0</v>
      </c>
      <c r="BO114" s="203">
        <f t="shared" si="169"/>
        <v>0</v>
      </c>
      <c r="BP114" s="203">
        <f t="shared" si="169"/>
        <v>0</v>
      </c>
      <c r="BQ114" s="203">
        <f t="shared" si="169"/>
        <v>0</v>
      </c>
      <c r="BR114" s="203">
        <f t="shared" si="169"/>
        <v>0</v>
      </c>
      <c r="BS114" s="203">
        <f t="shared" si="169"/>
        <v>0</v>
      </c>
      <c r="BT114" s="203">
        <f t="shared" si="169"/>
        <v>0</v>
      </c>
      <c r="BU114" s="203">
        <f t="shared" si="169"/>
        <v>0</v>
      </c>
      <c r="BV114" s="203">
        <f t="shared" si="169"/>
        <v>0</v>
      </c>
      <c r="BW114" s="203">
        <f t="shared" si="169"/>
        <v>0</v>
      </c>
      <c r="BX114" s="203">
        <f t="shared" si="169"/>
        <v>0</v>
      </c>
      <c r="BY114" s="203">
        <f t="shared" si="169"/>
        <v>0</v>
      </c>
      <c r="BZ114" s="203">
        <f t="shared" si="169"/>
        <v>0</v>
      </c>
      <c r="CA114" s="203">
        <f t="shared" si="169"/>
        <v>0</v>
      </c>
      <c r="CB114" s="203">
        <f t="shared" si="169"/>
        <v>0</v>
      </c>
      <c r="CC114" s="203">
        <f t="shared" si="169"/>
        <v>0</v>
      </c>
      <c r="CD114" s="203">
        <f t="shared" si="169"/>
        <v>0</v>
      </c>
      <c r="CE114" s="203">
        <f t="shared" si="169"/>
        <v>0</v>
      </c>
      <c r="CF114" s="203">
        <f t="shared" si="169"/>
        <v>0</v>
      </c>
      <c r="CG114" s="203">
        <f t="shared" si="169"/>
        <v>0</v>
      </c>
      <c r="CH114" s="203">
        <f t="shared" si="169"/>
        <v>0</v>
      </c>
      <c r="CI114" s="203">
        <f t="shared" si="169"/>
        <v>0</v>
      </c>
      <c r="CJ114" s="203">
        <f t="shared" si="169"/>
        <v>0</v>
      </c>
      <c r="CK114" s="203">
        <f t="shared" si="169"/>
        <v>0</v>
      </c>
      <c r="CL114" s="203">
        <f t="shared" si="169"/>
        <v>0</v>
      </c>
      <c r="CM114" s="203">
        <f t="shared" si="169"/>
        <v>0</v>
      </c>
      <c r="CN114" s="203">
        <f t="shared" si="169"/>
        <v>0</v>
      </c>
      <c r="CO114" s="203">
        <f t="shared" si="169"/>
        <v>0</v>
      </c>
      <c r="CP114" s="203">
        <f t="shared" si="169"/>
        <v>0</v>
      </c>
      <c r="CQ114" s="203">
        <f t="shared" si="169"/>
        <v>0</v>
      </c>
      <c r="CR114" s="203">
        <f t="shared" si="169"/>
        <v>0</v>
      </c>
      <c r="CS114" s="203">
        <f t="shared" si="169"/>
        <v>0</v>
      </c>
      <c r="CT114" s="203">
        <f t="shared" si="169"/>
        <v>0</v>
      </c>
      <c r="CU114" s="17">
        <f t="shared" si="90"/>
        <v>320</v>
      </c>
      <c r="CV114" s="25">
        <f t="shared" si="91"/>
        <v>0</v>
      </c>
    </row>
    <row r="115" spans="1:100" x14ac:dyDescent="0.2">
      <c r="A115" s="2">
        <v>45891</v>
      </c>
      <c r="B115" s="3" t="s">
        <v>817</v>
      </c>
      <c r="C115" s="4" t="s">
        <v>892</v>
      </c>
      <c r="D115" s="5" t="s">
        <v>133</v>
      </c>
      <c r="E115" s="6" t="s">
        <v>818</v>
      </c>
      <c r="F115" s="7"/>
      <c r="G115" s="8"/>
      <c r="H115" s="9">
        <v>20645</v>
      </c>
      <c r="I115" s="10" t="s">
        <v>819</v>
      </c>
      <c r="J115" s="11" t="s">
        <v>820</v>
      </c>
      <c r="K115" s="12">
        <v>5</v>
      </c>
      <c r="L115" s="13">
        <v>270</v>
      </c>
      <c r="M115" s="14">
        <f t="shared" ref="M115" si="170">L115*K115</f>
        <v>1350</v>
      </c>
      <c r="N115" s="15"/>
      <c r="O115" s="16" t="s">
        <v>137</v>
      </c>
      <c r="P115" s="17"/>
      <c r="Q115" s="18"/>
      <c r="R115" s="17">
        <f>M115+P115-Q115</f>
        <v>1350</v>
      </c>
      <c r="S115" s="19"/>
      <c r="T115" s="19"/>
      <c r="U115" s="19"/>
      <c r="V115" s="19"/>
      <c r="W115" s="17"/>
      <c r="X115" s="20"/>
      <c r="Y115" s="19"/>
      <c r="Z115" s="19"/>
      <c r="AA115" s="19"/>
      <c r="AB115" s="19"/>
      <c r="AC115" s="19"/>
      <c r="AD115" s="19"/>
      <c r="AE115" s="5"/>
      <c r="AF115" s="19"/>
      <c r="AG115" s="5"/>
      <c r="AH115" s="17"/>
      <c r="AI115" s="19"/>
      <c r="AJ115" s="19"/>
      <c r="AK115" s="19"/>
      <c r="AL115" s="19"/>
      <c r="AM115" s="17"/>
      <c r="AN115" s="19"/>
      <c r="AO115" s="19"/>
      <c r="AP115" s="19"/>
      <c r="AQ115" s="19"/>
      <c r="AR115" s="19"/>
      <c r="AS115" s="21"/>
      <c r="AT115" s="5"/>
      <c r="AU115" s="19"/>
      <c r="AV115" s="5"/>
      <c r="AW115" s="22"/>
      <c r="AX115" s="19"/>
      <c r="AY115" s="5"/>
      <c r="AZ115" s="19"/>
      <c r="BA115" s="5"/>
      <c r="BB115" s="5"/>
      <c r="BC115" s="19"/>
      <c r="BD115" s="19"/>
      <c r="BE115" s="19"/>
      <c r="BF115" s="19"/>
      <c r="BG115" s="19"/>
      <c r="BH115" s="19"/>
      <c r="BI115" s="19"/>
      <c r="BJ115" s="19"/>
      <c r="BK115" s="13"/>
      <c r="BL115" s="5"/>
      <c r="BM115" s="5"/>
      <c r="BN115" s="19"/>
      <c r="BO115" s="17"/>
      <c r="BP115" s="19"/>
      <c r="BQ115" s="17"/>
      <c r="BR115" s="19"/>
      <c r="BS115" s="13"/>
      <c r="BT115" s="5"/>
      <c r="BU115" s="23"/>
      <c r="BV115" s="23"/>
      <c r="BW115" s="24"/>
      <c r="BX115" s="5"/>
      <c r="BY115" s="5"/>
      <c r="BZ115" s="5"/>
      <c r="CA115" s="24"/>
      <c r="CB115" s="24"/>
      <c r="CC115" s="24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>
        <f t="shared" si="90"/>
        <v>1350</v>
      </c>
      <c r="CV115" s="25">
        <f t="shared" si="91"/>
        <v>0</v>
      </c>
    </row>
    <row r="116" spans="1:100" x14ac:dyDescent="0.2">
      <c r="A116" s="27"/>
      <c r="B116" s="28"/>
      <c r="C116" s="29"/>
      <c r="D116" s="30"/>
      <c r="E116" s="31"/>
      <c r="F116" s="32"/>
      <c r="G116" s="33"/>
      <c r="H116" s="34"/>
      <c r="I116" s="34"/>
      <c r="J116" s="35"/>
      <c r="K116" s="36"/>
      <c r="L116" s="37"/>
      <c r="M116" s="38">
        <f>SUM(M115:M115)</f>
        <v>1350</v>
      </c>
      <c r="N116" s="38"/>
      <c r="O116" s="39" t="s">
        <v>137</v>
      </c>
      <c r="P116" s="38"/>
      <c r="Q116" s="38"/>
      <c r="R116" s="38">
        <f>SUM(R115:R115)</f>
        <v>1350</v>
      </c>
      <c r="S116" s="38">
        <f t="shared" ref="S116:AD116" si="171">SUM(S115:S115)</f>
        <v>0</v>
      </c>
      <c r="T116" s="38">
        <f t="shared" si="171"/>
        <v>0</v>
      </c>
      <c r="U116" s="38">
        <f t="shared" si="171"/>
        <v>0</v>
      </c>
      <c r="V116" s="38">
        <f t="shared" si="171"/>
        <v>0</v>
      </c>
      <c r="W116" s="38">
        <f t="shared" si="171"/>
        <v>0</v>
      </c>
      <c r="X116" s="38">
        <f t="shared" si="171"/>
        <v>0</v>
      </c>
      <c r="Y116" s="38">
        <f t="shared" si="171"/>
        <v>0</v>
      </c>
      <c r="Z116" s="38">
        <f t="shared" si="171"/>
        <v>0</v>
      </c>
      <c r="AA116" s="38">
        <f t="shared" si="171"/>
        <v>0</v>
      </c>
      <c r="AB116" s="38">
        <f t="shared" si="171"/>
        <v>0</v>
      </c>
      <c r="AC116" s="38">
        <f t="shared" si="171"/>
        <v>0</v>
      </c>
      <c r="AD116" s="38">
        <f t="shared" si="171"/>
        <v>0</v>
      </c>
      <c r="AE116" s="30"/>
      <c r="AF116" s="38">
        <f>SUM(AF115:AF115)</f>
        <v>0</v>
      </c>
      <c r="AG116" s="30"/>
      <c r="AH116" s="38">
        <f t="shared" ref="AH116:AZ116" si="172">SUM(AH115:AH115)</f>
        <v>0</v>
      </c>
      <c r="AI116" s="38">
        <f t="shared" si="172"/>
        <v>0</v>
      </c>
      <c r="AJ116" s="38">
        <f t="shared" si="172"/>
        <v>0</v>
      </c>
      <c r="AK116" s="38">
        <f t="shared" si="172"/>
        <v>0</v>
      </c>
      <c r="AL116" s="38">
        <f t="shared" si="172"/>
        <v>0</v>
      </c>
      <c r="AM116" s="38">
        <f t="shared" si="172"/>
        <v>0</v>
      </c>
      <c r="AN116" s="38">
        <f t="shared" si="172"/>
        <v>0</v>
      </c>
      <c r="AO116" s="38">
        <f t="shared" si="172"/>
        <v>0</v>
      </c>
      <c r="AP116" s="38">
        <f t="shared" si="172"/>
        <v>0</v>
      </c>
      <c r="AQ116" s="38">
        <f t="shared" si="172"/>
        <v>0</v>
      </c>
      <c r="AR116" s="38">
        <f t="shared" si="172"/>
        <v>0</v>
      </c>
      <c r="AS116" s="38">
        <f t="shared" si="172"/>
        <v>0</v>
      </c>
      <c r="AT116" s="38">
        <f t="shared" si="172"/>
        <v>0</v>
      </c>
      <c r="AU116" s="38">
        <f t="shared" si="172"/>
        <v>0</v>
      </c>
      <c r="AV116" s="38">
        <f t="shared" si="172"/>
        <v>0</v>
      </c>
      <c r="AW116" s="38">
        <f t="shared" si="172"/>
        <v>0</v>
      </c>
      <c r="AX116" s="38">
        <f t="shared" si="172"/>
        <v>0</v>
      </c>
      <c r="AY116" s="38">
        <f t="shared" si="172"/>
        <v>0</v>
      </c>
      <c r="AZ116" s="38">
        <f t="shared" si="172"/>
        <v>0</v>
      </c>
      <c r="BA116" s="30"/>
      <c r="BB116" s="38">
        <f t="shared" ref="BB116:CT116" si="173">SUM(BB115:BB115)</f>
        <v>0</v>
      </c>
      <c r="BC116" s="38">
        <f t="shared" si="173"/>
        <v>0</v>
      </c>
      <c r="BD116" s="38">
        <f t="shared" si="173"/>
        <v>0</v>
      </c>
      <c r="BE116" s="38">
        <f t="shared" si="173"/>
        <v>0</v>
      </c>
      <c r="BF116" s="38">
        <f t="shared" si="173"/>
        <v>0</v>
      </c>
      <c r="BG116" s="38">
        <f t="shared" si="173"/>
        <v>0</v>
      </c>
      <c r="BH116" s="38">
        <f t="shared" si="173"/>
        <v>0</v>
      </c>
      <c r="BI116" s="38">
        <f t="shared" si="173"/>
        <v>0</v>
      </c>
      <c r="BJ116" s="38">
        <f t="shared" si="173"/>
        <v>0</v>
      </c>
      <c r="BK116" s="38">
        <f t="shared" si="173"/>
        <v>0</v>
      </c>
      <c r="BL116" s="38">
        <f t="shared" si="173"/>
        <v>0</v>
      </c>
      <c r="BM116" s="38">
        <f t="shared" si="173"/>
        <v>0</v>
      </c>
      <c r="BN116" s="38">
        <f t="shared" si="173"/>
        <v>0</v>
      </c>
      <c r="BO116" s="38">
        <f t="shared" si="173"/>
        <v>0</v>
      </c>
      <c r="BP116" s="38">
        <f t="shared" si="173"/>
        <v>0</v>
      </c>
      <c r="BQ116" s="38">
        <f t="shared" si="173"/>
        <v>0</v>
      </c>
      <c r="BR116" s="38">
        <f t="shared" si="173"/>
        <v>0</v>
      </c>
      <c r="BS116" s="38">
        <f t="shared" si="173"/>
        <v>0</v>
      </c>
      <c r="BT116" s="38">
        <f t="shared" si="173"/>
        <v>0</v>
      </c>
      <c r="BU116" s="38">
        <f t="shared" si="173"/>
        <v>0</v>
      </c>
      <c r="BV116" s="38">
        <f t="shared" si="173"/>
        <v>0</v>
      </c>
      <c r="BW116" s="38">
        <f t="shared" si="173"/>
        <v>0</v>
      </c>
      <c r="BX116" s="38">
        <f t="shared" si="173"/>
        <v>0</v>
      </c>
      <c r="BY116" s="38">
        <f t="shared" si="173"/>
        <v>0</v>
      </c>
      <c r="BZ116" s="38">
        <f t="shared" si="173"/>
        <v>0</v>
      </c>
      <c r="CA116" s="38">
        <f t="shared" si="173"/>
        <v>0</v>
      </c>
      <c r="CB116" s="38">
        <f t="shared" si="173"/>
        <v>0</v>
      </c>
      <c r="CC116" s="38">
        <f t="shared" si="173"/>
        <v>0</v>
      </c>
      <c r="CD116" s="38">
        <f t="shared" si="173"/>
        <v>0</v>
      </c>
      <c r="CE116" s="38">
        <f t="shared" si="173"/>
        <v>0</v>
      </c>
      <c r="CF116" s="38">
        <f t="shared" si="173"/>
        <v>0</v>
      </c>
      <c r="CG116" s="38">
        <f t="shared" si="173"/>
        <v>0</v>
      </c>
      <c r="CH116" s="38">
        <f t="shared" si="173"/>
        <v>0</v>
      </c>
      <c r="CI116" s="38">
        <f t="shared" si="173"/>
        <v>0</v>
      </c>
      <c r="CJ116" s="38">
        <f t="shared" si="173"/>
        <v>0</v>
      </c>
      <c r="CK116" s="38">
        <f t="shared" si="173"/>
        <v>0</v>
      </c>
      <c r="CL116" s="38">
        <f t="shared" si="173"/>
        <v>0</v>
      </c>
      <c r="CM116" s="38">
        <f t="shared" si="173"/>
        <v>0</v>
      </c>
      <c r="CN116" s="38">
        <f t="shared" si="173"/>
        <v>0</v>
      </c>
      <c r="CO116" s="38">
        <f t="shared" si="173"/>
        <v>0</v>
      </c>
      <c r="CP116" s="38">
        <f t="shared" si="173"/>
        <v>0</v>
      </c>
      <c r="CQ116" s="38">
        <f t="shared" si="173"/>
        <v>0</v>
      </c>
      <c r="CR116" s="38">
        <f t="shared" si="173"/>
        <v>0</v>
      </c>
      <c r="CS116" s="38">
        <f t="shared" si="173"/>
        <v>0</v>
      </c>
      <c r="CT116" s="38">
        <f t="shared" si="173"/>
        <v>0</v>
      </c>
      <c r="CU116" s="17">
        <f t="shared" si="90"/>
        <v>1350</v>
      </c>
      <c r="CV116" s="25">
        <f t="shared" si="91"/>
        <v>0</v>
      </c>
    </row>
    <row r="117" spans="1:100" x14ac:dyDescent="0.2">
      <c r="A117" s="2">
        <v>45892</v>
      </c>
      <c r="B117" s="3" t="s">
        <v>817</v>
      </c>
      <c r="C117" s="4" t="s">
        <v>891</v>
      </c>
      <c r="D117" s="5" t="s">
        <v>122</v>
      </c>
      <c r="E117" s="6" t="s">
        <v>821</v>
      </c>
      <c r="F117" s="7" t="s">
        <v>229</v>
      </c>
      <c r="G117" s="8" t="s">
        <v>248</v>
      </c>
      <c r="H117" s="9">
        <v>119611</v>
      </c>
      <c r="I117" s="10" t="s">
        <v>822</v>
      </c>
      <c r="J117" s="11" t="s">
        <v>823</v>
      </c>
      <c r="K117" s="12">
        <v>24</v>
      </c>
      <c r="L117" s="13">
        <v>100</v>
      </c>
      <c r="M117" s="14">
        <f t="shared" ref="M117" si="174">L117*K117</f>
        <v>2400</v>
      </c>
      <c r="N117" s="15"/>
      <c r="O117" s="16" t="s">
        <v>111</v>
      </c>
      <c r="P117" s="17">
        <f>M117/1.12*0.01</f>
        <v>21.428571428571427</v>
      </c>
      <c r="Q117" s="18">
        <f>M117/1.12*0.12</f>
        <v>257.14285714285711</v>
      </c>
      <c r="R117" s="5"/>
      <c r="S117" s="19"/>
      <c r="T117" s="19"/>
      <c r="U117" s="19"/>
      <c r="V117" s="19"/>
      <c r="W117" s="17"/>
      <c r="X117" s="20"/>
      <c r="Y117" s="19"/>
      <c r="Z117" s="19"/>
      <c r="AA117" s="19"/>
      <c r="AB117" s="19"/>
      <c r="AC117" s="19"/>
      <c r="AD117" s="19"/>
      <c r="AE117" s="5"/>
      <c r="AF117" s="19"/>
      <c r="AG117" s="5"/>
      <c r="AH117" s="17"/>
      <c r="AI117" s="19"/>
      <c r="AJ117" s="19"/>
      <c r="AK117" s="19"/>
      <c r="AL117" s="19"/>
      <c r="AM117" s="17"/>
      <c r="AN117" s="5"/>
      <c r="AO117" s="19"/>
      <c r="AP117" s="17">
        <f>M117+P117-Q117</f>
        <v>2164.2857142857147</v>
      </c>
      <c r="AQ117" s="19"/>
      <c r="AR117" s="19"/>
      <c r="AS117" s="21"/>
      <c r="AT117" s="5"/>
      <c r="AU117" s="19"/>
      <c r="AV117" s="5"/>
      <c r="AW117" s="22"/>
      <c r="AX117" s="19"/>
      <c r="AY117" s="5"/>
      <c r="AZ117" s="19"/>
      <c r="BA117" s="5"/>
      <c r="BB117" s="5"/>
      <c r="BC117" s="19"/>
      <c r="BD117" s="19"/>
      <c r="BE117" s="19"/>
      <c r="BF117" s="19"/>
      <c r="BG117" s="19"/>
      <c r="BH117" s="19"/>
      <c r="BI117" s="19"/>
      <c r="BJ117" s="19"/>
      <c r="BK117" s="13"/>
      <c r="BL117" s="5"/>
      <c r="BM117" s="5"/>
      <c r="BN117" s="19"/>
      <c r="BO117" s="17"/>
      <c r="BP117" s="19"/>
      <c r="BQ117" s="17"/>
      <c r="BR117" s="19"/>
      <c r="BS117" s="13"/>
      <c r="BT117" s="5"/>
      <c r="BU117" s="23"/>
      <c r="BV117" s="23"/>
      <c r="BW117" s="24"/>
      <c r="BX117" s="5"/>
      <c r="BY117" s="5"/>
      <c r="BZ117" s="5"/>
      <c r="CA117" s="24"/>
      <c r="CB117" s="24"/>
      <c r="CC117" s="24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>
        <f t="shared" si="90"/>
        <v>2400</v>
      </c>
      <c r="CV117" s="25">
        <f t="shared" si="91"/>
        <v>0</v>
      </c>
    </row>
    <row r="118" spans="1:100" s="205" customFormat="1" x14ac:dyDescent="0.2">
      <c r="A118" s="192"/>
      <c r="B118" s="193"/>
      <c r="C118" s="194"/>
      <c r="D118" s="195"/>
      <c r="E118" s="196"/>
      <c r="F118" s="197"/>
      <c r="G118" s="198"/>
      <c r="H118" s="199"/>
      <c r="I118" s="199"/>
      <c r="J118" s="200"/>
      <c r="K118" s="201"/>
      <c r="L118" s="202"/>
      <c r="M118" s="203">
        <f>SUM(M117:M117)</f>
        <v>2400</v>
      </c>
      <c r="N118" s="203">
        <f>M118+M116</f>
        <v>3750</v>
      </c>
      <c r="O118" s="204" t="s">
        <v>111</v>
      </c>
      <c r="P118" s="203">
        <f>SUM(P117:P117)</f>
        <v>21.428571428571427</v>
      </c>
      <c r="Q118" s="203">
        <f>SUM(Q117:Q117)</f>
        <v>257.14285714285711</v>
      </c>
      <c r="R118" s="195"/>
      <c r="S118" s="203">
        <f t="shared" ref="S118:AD118" si="175">SUM(S117:S117)</f>
        <v>0</v>
      </c>
      <c r="T118" s="203">
        <f t="shared" si="175"/>
        <v>0</v>
      </c>
      <c r="U118" s="203">
        <f t="shared" si="175"/>
        <v>0</v>
      </c>
      <c r="V118" s="203">
        <f t="shared" si="175"/>
        <v>0</v>
      </c>
      <c r="W118" s="203">
        <f t="shared" si="175"/>
        <v>0</v>
      </c>
      <c r="X118" s="203">
        <f t="shared" si="175"/>
        <v>0</v>
      </c>
      <c r="Y118" s="203">
        <f t="shared" si="175"/>
        <v>0</v>
      </c>
      <c r="Z118" s="203">
        <f t="shared" si="175"/>
        <v>0</v>
      </c>
      <c r="AA118" s="203">
        <f t="shared" si="175"/>
        <v>0</v>
      </c>
      <c r="AB118" s="203">
        <f t="shared" si="175"/>
        <v>0</v>
      </c>
      <c r="AC118" s="203">
        <f t="shared" si="175"/>
        <v>0</v>
      </c>
      <c r="AD118" s="203">
        <f t="shared" si="175"/>
        <v>0</v>
      </c>
      <c r="AE118" s="195"/>
      <c r="AF118" s="203">
        <f>SUM(AF117:AF117)</f>
        <v>0</v>
      </c>
      <c r="AG118" s="195"/>
      <c r="AH118" s="203">
        <f t="shared" ref="AH118:AZ118" si="176">SUM(AH117:AH117)</f>
        <v>0</v>
      </c>
      <c r="AI118" s="203">
        <f t="shared" si="176"/>
        <v>0</v>
      </c>
      <c r="AJ118" s="203">
        <f t="shared" si="176"/>
        <v>0</v>
      </c>
      <c r="AK118" s="203">
        <f t="shared" si="176"/>
        <v>0</v>
      </c>
      <c r="AL118" s="203">
        <f t="shared" si="176"/>
        <v>0</v>
      </c>
      <c r="AM118" s="203">
        <f t="shared" si="176"/>
        <v>0</v>
      </c>
      <c r="AN118" s="195"/>
      <c r="AO118" s="203">
        <f t="shared" si="176"/>
        <v>0</v>
      </c>
      <c r="AP118" s="203">
        <f>SUM(AP117:AP117)</f>
        <v>2164.2857142857147</v>
      </c>
      <c r="AQ118" s="203">
        <f t="shared" si="176"/>
        <v>0</v>
      </c>
      <c r="AR118" s="203">
        <f t="shared" si="176"/>
        <v>0</v>
      </c>
      <c r="AS118" s="203">
        <f t="shared" si="176"/>
        <v>0</v>
      </c>
      <c r="AT118" s="203">
        <f t="shared" si="176"/>
        <v>0</v>
      </c>
      <c r="AU118" s="203">
        <f t="shared" si="176"/>
        <v>0</v>
      </c>
      <c r="AV118" s="203">
        <f t="shared" si="176"/>
        <v>0</v>
      </c>
      <c r="AW118" s="203">
        <f t="shared" si="176"/>
        <v>0</v>
      </c>
      <c r="AX118" s="203">
        <f t="shared" si="176"/>
        <v>0</v>
      </c>
      <c r="AY118" s="203">
        <f t="shared" si="176"/>
        <v>0</v>
      </c>
      <c r="AZ118" s="203">
        <f t="shared" si="176"/>
        <v>0</v>
      </c>
      <c r="BA118" s="195"/>
      <c r="BB118" s="203">
        <f t="shared" ref="BB118:CT118" si="177">SUM(BB117:BB117)</f>
        <v>0</v>
      </c>
      <c r="BC118" s="203">
        <f t="shared" si="177"/>
        <v>0</v>
      </c>
      <c r="BD118" s="203">
        <f t="shared" si="177"/>
        <v>0</v>
      </c>
      <c r="BE118" s="203">
        <f t="shared" si="177"/>
        <v>0</v>
      </c>
      <c r="BF118" s="203">
        <f t="shared" si="177"/>
        <v>0</v>
      </c>
      <c r="BG118" s="203">
        <f t="shared" si="177"/>
        <v>0</v>
      </c>
      <c r="BH118" s="203">
        <f t="shared" si="177"/>
        <v>0</v>
      </c>
      <c r="BI118" s="203">
        <f t="shared" si="177"/>
        <v>0</v>
      </c>
      <c r="BJ118" s="203">
        <f t="shared" si="177"/>
        <v>0</v>
      </c>
      <c r="BK118" s="203">
        <f t="shared" si="177"/>
        <v>0</v>
      </c>
      <c r="BL118" s="203">
        <f t="shared" si="177"/>
        <v>0</v>
      </c>
      <c r="BM118" s="203">
        <f t="shared" si="177"/>
        <v>0</v>
      </c>
      <c r="BN118" s="203">
        <f t="shared" si="177"/>
        <v>0</v>
      </c>
      <c r="BO118" s="203">
        <f t="shared" si="177"/>
        <v>0</v>
      </c>
      <c r="BP118" s="203">
        <f t="shared" si="177"/>
        <v>0</v>
      </c>
      <c r="BQ118" s="203">
        <f t="shared" si="177"/>
        <v>0</v>
      </c>
      <c r="BR118" s="203">
        <f t="shared" si="177"/>
        <v>0</v>
      </c>
      <c r="BS118" s="203">
        <f t="shared" si="177"/>
        <v>0</v>
      </c>
      <c r="BT118" s="203">
        <f t="shared" si="177"/>
        <v>0</v>
      </c>
      <c r="BU118" s="203">
        <f t="shared" si="177"/>
        <v>0</v>
      </c>
      <c r="BV118" s="203">
        <f t="shared" si="177"/>
        <v>0</v>
      </c>
      <c r="BW118" s="203">
        <f t="shared" si="177"/>
        <v>0</v>
      </c>
      <c r="BX118" s="203">
        <f t="shared" si="177"/>
        <v>0</v>
      </c>
      <c r="BY118" s="203">
        <f t="shared" si="177"/>
        <v>0</v>
      </c>
      <c r="BZ118" s="203">
        <f t="shared" si="177"/>
        <v>0</v>
      </c>
      <c r="CA118" s="203">
        <f t="shared" si="177"/>
        <v>0</v>
      </c>
      <c r="CB118" s="203">
        <f t="shared" si="177"/>
        <v>0</v>
      </c>
      <c r="CC118" s="203">
        <f t="shared" si="177"/>
        <v>0</v>
      </c>
      <c r="CD118" s="203">
        <f t="shared" si="177"/>
        <v>0</v>
      </c>
      <c r="CE118" s="203">
        <f t="shared" si="177"/>
        <v>0</v>
      </c>
      <c r="CF118" s="203">
        <f t="shared" si="177"/>
        <v>0</v>
      </c>
      <c r="CG118" s="203">
        <f t="shared" si="177"/>
        <v>0</v>
      </c>
      <c r="CH118" s="203">
        <f t="shared" si="177"/>
        <v>0</v>
      </c>
      <c r="CI118" s="203">
        <f t="shared" si="177"/>
        <v>0</v>
      </c>
      <c r="CJ118" s="203">
        <f t="shared" si="177"/>
        <v>0</v>
      </c>
      <c r="CK118" s="203">
        <f t="shared" si="177"/>
        <v>0</v>
      </c>
      <c r="CL118" s="203">
        <f t="shared" si="177"/>
        <v>0</v>
      </c>
      <c r="CM118" s="203">
        <f t="shared" si="177"/>
        <v>0</v>
      </c>
      <c r="CN118" s="203">
        <f t="shared" si="177"/>
        <v>0</v>
      </c>
      <c r="CO118" s="203">
        <f t="shared" si="177"/>
        <v>0</v>
      </c>
      <c r="CP118" s="203">
        <f t="shared" si="177"/>
        <v>0</v>
      </c>
      <c r="CQ118" s="203">
        <f t="shared" si="177"/>
        <v>0</v>
      </c>
      <c r="CR118" s="203">
        <f t="shared" si="177"/>
        <v>0</v>
      </c>
      <c r="CS118" s="203">
        <f t="shared" si="177"/>
        <v>0</v>
      </c>
      <c r="CT118" s="203">
        <f t="shared" si="177"/>
        <v>0</v>
      </c>
      <c r="CU118" s="17">
        <f t="shared" si="90"/>
        <v>2400</v>
      </c>
      <c r="CV118" s="25">
        <f t="shared" si="91"/>
        <v>0</v>
      </c>
    </row>
    <row r="119" spans="1:100" x14ac:dyDescent="0.2">
      <c r="A119" s="2">
        <v>45896</v>
      </c>
      <c r="B119" s="3" t="s">
        <v>824</v>
      </c>
      <c r="C119" s="4" t="s">
        <v>890</v>
      </c>
      <c r="D119" s="5" t="s">
        <v>122</v>
      </c>
      <c r="E119" s="6" t="s">
        <v>825</v>
      </c>
      <c r="F119" s="7" t="s">
        <v>826</v>
      </c>
      <c r="G119" s="8"/>
      <c r="H119" s="9"/>
      <c r="I119" s="10"/>
      <c r="J119" s="11" t="s">
        <v>827</v>
      </c>
      <c r="K119" s="12">
        <v>1</v>
      </c>
      <c r="L119" s="13">
        <v>150</v>
      </c>
      <c r="M119" s="14">
        <f t="shared" ref="M119:M120" si="178">L119*K119</f>
        <v>150</v>
      </c>
      <c r="N119" s="15"/>
      <c r="O119" s="16" t="s">
        <v>137</v>
      </c>
      <c r="P119" s="17"/>
      <c r="Q119" s="18"/>
      <c r="R119" s="17">
        <f>M119+P119-Q119</f>
        <v>150</v>
      </c>
      <c r="S119" s="19"/>
      <c r="T119" s="19"/>
      <c r="U119" s="19"/>
      <c r="V119" s="19"/>
      <c r="W119" s="17"/>
      <c r="X119" s="20"/>
      <c r="Y119" s="19"/>
      <c r="Z119" s="19"/>
      <c r="AA119" s="19"/>
      <c r="AB119" s="19"/>
      <c r="AC119" s="19"/>
      <c r="AD119" s="19"/>
      <c r="AE119" s="5"/>
      <c r="AF119" s="19"/>
      <c r="AG119" s="5"/>
      <c r="AH119" s="17"/>
      <c r="AI119" s="19"/>
      <c r="AJ119" s="19"/>
      <c r="AK119" s="19"/>
      <c r="AL119" s="19"/>
      <c r="AM119" s="17"/>
      <c r="AN119" s="19"/>
      <c r="AO119" s="19"/>
      <c r="AP119" s="19"/>
      <c r="AQ119" s="19"/>
      <c r="AR119" s="19"/>
      <c r="AS119" s="21"/>
      <c r="AT119" s="5"/>
      <c r="AU119" s="19"/>
      <c r="AV119" s="5"/>
      <c r="AW119" s="22"/>
      <c r="AX119" s="19"/>
      <c r="AY119" s="5"/>
      <c r="AZ119" s="19"/>
      <c r="BA119" s="5"/>
      <c r="BB119" s="5"/>
      <c r="BC119" s="19"/>
      <c r="BD119" s="19"/>
      <c r="BE119" s="19"/>
      <c r="BF119" s="19"/>
      <c r="BG119" s="19"/>
      <c r="BH119" s="19"/>
      <c r="BI119" s="19"/>
      <c r="BJ119" s="19"/>
      <c r="BK119" s="13"/>
      <c r="BL119" s="5"/>
      <c r="BM119" s="5"/>
      <c r="BN119" s="19"/>
      <c r="BO119" s="17"/>
      <c r="BP119" s="19"/>
      <c r="BQ119" s="17"/>
      <c r="BR119" s="19"/>
      <c r="BS119" s="13"/>
      <c r="BT119" s="5"/>
      <c r="BU119" s="23"/>
      <c r="BV119" s="23"/>
      <c r="BW119" s="24"/>
      <c r="BX119" s="5"/>
      <c r="BY119" s="5"/>
      <c r="BZ119" s="5"/>
      <c r="CA119" s="24"/>
      <c r="CB119" s="24"/>
      <c r="CC119" s="24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>
        <f t="shared" si="90"/>
        <v>150</v>
      </c>
      <c r="CV119" s="25">
        <f t="shared" si="91"/>
        <v>0</v>
      </c>
    </row>
    <row r="120" spans="1:100" x14ac:dyDescent="0.2">
      <c r="A120" s="2"/>
      <c r="B120" s="3"/>
      <c r="C120" s="4"/>
      <c r="D120" s="5"/>
      <c r="E120" s="6"/>
      <c r="F120" s="7"/>
      <c r="G120" s="8"/>
      <c r="H120" s="9"/>
      <c r="I120" s="10"/>
      <c r="J120" s="11" t="s">
        <v>828</v>
      </c>
      <c r="K120" s="12">
        <v>1</v>
      </c>
      <c r="L120" s="13">
        <v>225</v>
      </c>
      <c r="M120" s="14">
        <f t="shared" si="178"/>
        <v>225</v>
      </c>
      <c r="N120" s="15"/>
      <c r="O120" s="16" t="s">
        <v>137</v>
      </c>
      <c r="P120" s="17"/>
      <c r="Q120" s="18"/>
      <c r="R120" s="17">
        <f t="shared" ref="R120" si="179">M120+P120-Q120</f>
        <v>225</v>
      </c>
      <c r="S120" s="19"/>
      <c r="T120" s="19"/>
      <c r="U120" s="19"/>
      <c r="V120" s="19"/>
      <c r="W120" s="17"/>
      <c r="X120" s="20"/>
      <c r="Y120" s="19"/>
      <c r="Z120" s="19"/>
      <c r="AA120" s="19"/>
      <c r="AB120" s="19"/>
      <c r="AC120" s="19"/>
      <c r="AD120" s="19"/>
      <c r="AE120" s="5"/>
      <c r="AF120" s="19"/>
      <c r="AG120" s="5"/>
      <c r="AH120" s="17"/>
      <c r="AI120" s="19"/>
      <c r="AJ120" s="19"/>
      <c r="AK120" s="19"/>
      <c r="AL120" s="19"/>
      <c r="AM120" s="17"/>
      <c r="AN120" s="19"/>
      <c r="AO120" s="19"/>
      <c r="AP120" s="19"/>
      <c r="AQ120" s="19"/>
      <c r="AR120" s="19"/>
      <c r="AS120" s="21"/>
      <c r="AT120" s="5"/>
      <c r="AU120" s="19"/>
      <c r="AV120" s="5"/>
      <c r="AW120" s="22"/>
      <c r="AX120" s="19"/>
      <c r="AY120" s="5"/>
      <c r="AZ120" s="19"/>
      <c r="BA120" s="5"/>
      <c r="BB120" s="5"/>
      <c r="BC120" s="19"/>
      <c r="BD120" s="19"/>
      <c r="BE120" s="19"/>
      <c r="BF120" s="19"/>
      <c r="BG120" s="19"/>
      <c r="BH120" s="19"/>
      <c r="BI120" s="19"/>
      <c r="BJ120" s="19"/>
      <c r="BK120" s="13"/>
      <c r="BL120" s="5"/>
      <c r="BM120" s="5"/>
      <c r="BN120" s="19"/>
      <c r="BO120" s="17"/>
      <c r="BP120" s="19"/>
      <c r="BQ120" s="17"/>
      <c r="BR120" s="19"/>
      <c r="BS120" s="13"/>
      <c r="BT120" s="5"/>
      <c r="BU120" s="23"/>
      <c r="BV120" s="23"/>
      <c r="BW120" s="24"/>
      <c r="BX120" s="5"/>
      <c r="BY120" s="5"/>
      <c r="BZ120" s="5"/>
      <c r="CA120" s="24"/>
      <c r="CB120" s="24"/>
      <c r="CC120" s="24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>
        <f t="shared" si="90"/>
        <v>225</v>
      </c>
      <c r="CV120" s="25">
        <f t="shared" si="91"/>
        <v>0</v>
      </c>
    </row>
    <row r="121" spans="1:100" x14ac:dyDescent="0.2">
      <c r="A121" s="27"/>
      <c r="B121" s="28"/>
      <c r="C121" s="29"/>
      <c r="D121" s="30"/>
      <c r="E121" s="31"/>
      <c r="F121" s="32"/>
      <c r="G121" s="33"/>
      <c r="H121" s="34"/>
      <c r="I121" s="34"/>
      <c r="J121" s="35"/>
      <c r="K121" s="36"/>
      <c r="L121" s="37"/>
      <c r="M121" s="38">
        <f>SUM(M119:M120)</f>
        <v>375</v>
      </c>
      <c r="N121" s="38"/>
      <c r="O121" s="39" t="s">
        <v>137</v>
      </c>
      <c r="P121" s="38"/>
      <c r="Q121" s="38"/>
      <c r="R121" s="38">
        <f>SUM(R119:R120)</f>
        <v>375</v>
      </c>
      <c r="S121" s="38">
        <f t="shared" ref="S121:AD121" si="180">SUM(S119:S119)</f>
        <v>0</v>
      </c>
      <c r="T121" s="38">
        <f t="shared" si="180"/>
        <v>0</v>
      </c>
      <c r="U121" s="38">
        <f t="shared" si="180"/>
        <v>0</v>
      </c>
      <c r="V121" s="38">
        <f t="shared" si="180"/>
        <v>0</v>
      </c>
      <c r="W121" s="38">
        <f t="shared" si="180"/>
        <v>0</v>
      </c>
      <c r="X121" s="38">
        <f t="shared" si="180"/>
        <v>0</v>
      </c>
      <c r="Y121" s="38">
        <f t="shared" si="180"/>
        <v>0</v>
      </c>
      <c r="Z121" s="38">
        <f t="shared" si="180"/>
        <v>0</v>
      </c>
      <c r="AA121" s="38">
        <f t="shared" si="180"/>
        <v>0</v>
      </c>
      <c r="AB121" s="38">
        <f t="shared" si="180"/>
        <v>0</v>
      </c>
      <c r="AC121" s="38">
        <f t="shared" si="180"/>
        <v>0</v>
      </c>
      <c r="AD121" s="38">
        <f t="shared" si="180"/>
        <v>0</v>
      </c>
      <c r="AE121" s="30"/>
      <c r="AF121" s="38">
        <f>SUM(AF119:AF119)</f>
        <v>0</v>
      </c>
      <c r="AG121" s="30"/>
      <c r="AH121" s="38">
        <f t="shared" ref="AH121:AZ121" si="181">SUM(AH119:AH119)</f>
        <v>0</v>
      </c>
      <c r="AI121" s="38">
        <f t="shared" si="181"/>
        <v>0</v>
      </c>
      <c r="AJ121" s="38">
        <f t="shared" si="181"/>
        <v>0</v>
      </c>
      <c r="AK121" s="38">
        <f t="shared" si="181"/>
        <v>0</v>
      </c>
      <c r="AL121" s="38">
        <f t="shared" si="181"/>
        <v>0</v>
      </c>
      <c r="AM121" s="38">
        <f t="shared" si="181"/>
        <v>0</v>
      </c>
      <c r="AN121" s="38">
        <f t="shared" si="181"/>
        <v>0</v>
      </c>
      <c r="AO121" s="38">
        <f t="shared" si="181"/>
        <v>0</v>
      </c>
      <c r="AP121" s="38">
        <f t="shared" si="181"/>
        <v>0</v>
      </c>
      <c r="AQ121" s="38">
        <f t="shared" si="181"/>
        <v>0</v>
      </c>
      <c r="AR121" s="38">
        <f t="shared" si="181"/>
        <v>0</v>
      </c>
      <c r="AS121" s="38">
        <f t="shared" si="181"/>
        <v>0</v>
      </c>
      <c r="AT121" s="38">
        <f t="shared" si="181"/>
        <v>0</v>
      </c>
      <c r="AU121" s="38">
        <f t="shared" si="181"/>
        <v>0</v>
      </c>
      <c r="AV121" s="38">
        <f t="shared" si="181"/>
        <v>0</v>
      </c>
      <c r="AW121" s="38">
        <f t="shared" si="181"/>
        <v>0</v>
      </c>
      <c r="AX121" s="38">
        <f t="shared" si="181"/>
        <v>0</v>
      </c>
      <c r="AY121" s="38">
        <f t="shared" si="181"/>
        <v>0</v>
      </c>
      <c r="AZ121" s="38">
        <f t="shared" si="181"/>
        <v>0</v>
      </c>
      <c r="BA121" s="30"/>
      <c r="BB121" s="38">
        <f t="shared" ref="BB121:CT121" si="182">SUM(BB119:BB119)</f>
        <v>0</v>
      </c>
      <c r="BC121" s="38">
        <f t="shared" si="182"/>
        <v>0</v>
      </c>
      <c r="BD121" s="38">
        <f t="shared" si="182"/>
        <v>0</v>
      </c>
      <c r="BE121" s="38">
        <f t="shared" si="182"/>
        <v>0</v>
      </c>
      <c r="BF121" s="38">
        <f t="shared" si="182"/>
        <v>0</v>
      </c>
      <c r="BG121" s="38">
        <f t="shared" si="182"/>
        <v>0</v>
      </c>
      <c r="BH121" s="38">
        <f t="shared" si="182"/>
        <v>0</v>
      </c>
      <c r="BI121" s="38">
        <f t="shared" si="182"/>
        <v>0</v>
      </c>
      <c r="BJ121" s="38">
        <f t="shared" si="182"/>
        <v>0</v>
      </c>
      <c r="BK121" s="38">
        <f t="shared" si="182"/>
        <v>0</v>
      </c>
      <c r="BL121" s="38">
        <f t="shared" si="182"/>
        <v>0</v>
      </c>
      <c r="BM121" s="38">
        <f t="shared" si="182"/>
        <v>0</v>
      </c>
      <c r="BN121" s="38">
        <f t="shared" si="182"/>
        <v>0</v>
      </c>
      <c r="BO121" s="38">
        <f t="shared" si="182"/>
        <v>0</v>
      </c>
      <c r="BP121" s="38">
        <f t="shared" si="182"/>
        <v>0</v>
      </c>
      <c r="BQ121" s="38">
        <f t="shared" si="182"/>
        <v>0</v>
      </c>
      <c r="BR121" s="38">
        <f t="shared" si="182"/>
        <v>0</v>
      </c>
      <c r="BS121" s="38">
        <f t="shared" si="182"/>
        <v>0</v>
      </c>
      <c r="BT121" s="38">
        <f t="shared" si="182"/>
        <v>0</v>
      </c>
      <c r="BU121" s="38">
        <f t="shared" si="182"/>
        <v>0</v>
      </c>
      <c r="BV121" s="38">
        <f t="shared" si="182"/>
        <v>0</v>
      </c>
      <c r="BW121" s="38">
        <f t="shared" si="182"/>
        <v>0</v>
      </c>
      <c r="BX121" s="38">
        <f t="shared" si="182"/>
        <v>0</v>
      </c>
      <c r="BY121" s="38">
        <f t="shared" si="182"/>
        <v>0</v>
      </c>
      <c r="BZ121" s="38">
        <f t="shared" si="182"/>
        <v>0</v>
      </c>
      <c r="CA121" s="38">
        <f t="shared" si="182"/>
        <v>0</v>
      </c>
      <c r="CB121" s="38">
        <f t="shared" si="182"/>
        <v>0</v>
      </c>
      <c r="CC121" s="38">
        <f t="shared" si="182"/>
        <v>0</v>
      </c>
      <c r="CD121" s="38">
        <f t="shared" si="182"/>
        <v>0</v>
      </c>
      <c r="CE121" s="38">
        <f t="shared" si="182"/>
        <v>0</v>
      </c>
      <c r="CF121" s="38">
        <f t="shared" si="182"/>
        <v>0</v>
      </c>
      <c r="CG121" s="38">
        <f t="shared" si="182"/>
        <v>0</v>
      </c>
      <c r="CH121" s="38">
        <f t="shared" si="182"/>
        <v>0</v>
      </c>
      <c r="CI121" s="38">
        <f t="shared" si="182"/>
        <v>0</v>
      </c>
      <c r="CJ121" s="38">
        <f t="shared" si="182"/>
        <v>0</v>
      </c>
      <c r="CK121" s="38">
        <f t="shared" si="182"/>
        <v>0</v>
      </c>
      <c r="CL121" s="38">
        <f t="shared" si="182"/>
        <v>0</v>
      </c>
      <c r="CM121" s="38">
        <f t="shared" si="182"/>
        <v>0</v>
      </c>
      <c r="CN121" s="38">
        <f t="shared" si="182"/>
        <v>0</v>
      </c>
      <c r="CO121" s="38">
        <f t="shared" si="182"/>
        <v>0</v>
      </c>
      <c r="CP121" s="38">
        <f t="shared" si="182"/>
        <v>0</v>
      </c>
      <c r="CQ121" s="38">
        <f t="shared" si="182"/>
        <v>0</v>
      </c>
      <c r="CR121" s="38">
        <f t="shared" si="182"/>
        <v>0</v>
      </c>
      <c r="CS121" s="38">
        <f t="shared" si="182"/>
        <v>0</v>
      </c>
      <c r="CT121" s="38">
        <f t="shared" si="182"/>
        <v>0</v>
      </c>
      <c r="CU121" s="17">
        <f t="shared" si="90"/>
        <v>375</v>
      </c>
      <c r="CV121" s="25">
        <f t="shared" si="91"/>
        <v>0</v>
      </c>
    </row>
    <row r="122" spans="1:100" x14ac:dyDescent="0.2">
      <c r="A122" s="2">
        <v>45896</v>
      </c>
      <c r="B122" s="3" t="s">
        <v>824</v>
      </c>
      <c r="C122" s="4" t="s">
        <v>889</v>
      </c>
      <c r="D122" s="5" t="s">
        <v>122</v>
      </c>
      <c r="E122" s="6" t="s">
        <v>266</v>
      </c>
      <c r="F122" s="7"/>
      <c r="G122" s="8"/>
      <c r="H122" s="9"/>
      <c r="I122" s="10"/>
      <c r="J122" s="11" t="s">
        <v>664</v>
      </c>
      <c r="K122" s="12">
        <v>2</v>
      </c>
      <c r="L122" s="13">
        <v>170</v>
      </c>
      <c r="M122" s="14">
        <f t="shared" ref="M122:M124" si="183">L122*K122</f>
        <v>340</v>
      </c>
      <c r="N122" s="15"/>
      <c r="O122" s="16" t="s">
        <v>137</v>
      </c>
      <c r="P122" s="17"/>
      <c r="Q122" s="18"/>
      <c r="R122" s="17">
        <f>M122+P122-Q122</f>
        <v>340</v>
      </c>
      <c r="S122" s="19"/>
      <c r="T122" s="19"/>
      <c r="U122" s="19"/>
      <c r="V122" s="19"/>
      <c r="W122" s="17"/>
      <c r="X122" s="20"/>
      <c r="Y122" s="19"/>
      <c r="Z122" s="19"/>
      <c r="AA122" s="19"/>
      <c r="AB122" s="19"/>
      <c r="AC122" s="19"/>
      <c r="AD122" s="19"/>
      <c r="AE122" s="5"/>
      <c r="AF122" s="19"/>
      <c r="AG122" s="5"/>
      <c r="AH122" s="17"/>
      <c r="AI122" s="19"/>
      <c r="AJ122" s="19"/>
      <c r="AK122" s="19"/>
      <c r="AL122" s="19"/>
      <c r="AM122" s="17"/>
      <c r="AN122" s="19"/>
      <c r="AO122" s="19"/>
      <c r="AP122" s="19"/>
      <c r="AQ122" s="19"/>
      <c r="AR122" s="19"/>
      <c r="AS122" s="21"/>
      <c r="AT122" s="5"/>
      <c r="AU122" s="19"/>
      <c r="AV122" s="5"/>
      <c r="AW122" s="22"/>
      <c r="AX122" s="19"/>
      <c r="AY122" s="5"/>
      <c r="AZ122" s="19"/>
      <c r="BA122" s="5"/>
      <c r="BB122" s="5"/>
      <c r="BC122" s="19"/>
      <c r="BD122" s="19"/>
      <c r="BE122" s="19"/>
      <c r="BF122" s="19"/>
      <c r="BG122" s="19"/>
      <c r="BH122" s="19"/>
      <c r="BI122" s="19"/>
      <c r="BJ122" s="19"/>
      <c r="BK122" s="13"/>
      <c r="BL122" s="5"/>
      <c r="BM122" s="5"/>
      <c r="BN122" s="19"/>
      <c r="BO122" s="17"/>
      <c r="BP122" s="19"/>
      <c r="BQ122" s="17"/>
      <c r="BR122" s="19"/>
      <c r="BS122" s="13"/>
      <c r="BT122" s="5"/>
      <c r="BU122" s="23"/>
      <c r="BV122" s="23"/>
      <c r="BW122" s="24"/>
      <c r="BX122" s="5"/>
      <c r="BY122" s="5"/>
      <c r="BZ122" s="5"/>
      <c r="CA122" s="24"/>
      <c r="CB122" s="24"/>
      <c r="CC122" s="24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>
        <f t="shared" si="90"/>
        <v>340</v>
      </c>
      <c r="CV122" s="25">
        <f t="shared" si="91"/>
        <v>0</v>
      </c>
    </row>
    <row r="123" spans="1:100" x14ac:dyDescent="0.2">
      <c r="A123" s="2"/>
      <c r="B123" s="3"/>
      <c r="C123" s="4"/>
      <c r="D123" s="5"/>
      <c r="E123" s="6"/>
      <c r="F123" s="7"/>
      <c r="G123" s="8"/>
      <c r="H123" s="9"/>
      <c r="I123" s="10"/>
      <c r="J123" s="11" t="s">
        <v>829</v>
      </c>
      <c r="K123" s="12">
        <v>1.5</v>
      </c>
      <c r="L123" s="13">
        <v>120</v>
      </c>
      <c r="M123" s="14">
        <f t="shared" si="183"/>
        <v>180</v>
      </c>
      <c r="N123" s="15"/>
      <c r="O123" s="16" t="s">
        <v>137</v>
      </c>
      <c r="P123" s="17"/>
      <c r="Q123" s="18"/>
      <c r="R123" s="17">
        <f t="shared" ref="R123:R124" si="184">M123+P123-Q123</f>
        <v>180</v>
      </c>
      <c r="S123" s="19"/>
      <c r="T123" s="19"/>
      <c r="U123" s="19"/>
      <c r="V123" s="19"/>
      <c r="W123" s="17"/>
      <c r="X123" s="20"/>
      <c r="Y123" s="19"/>
      <c r="Z123" s="19"/>
      <c r="AA123" s="19"/>
      <c r="AB123" s="19"/>
      <c r="AC123" s="19"/>
      <c r="AD123" s="19"/>
      <c r="AE123" s="5"/>
      <c r="AF123" s="19"/>
      <c r="AG123" s="5"/>
      <c r="AH123" s="17"/>
      <c r="AI123" s="19"/>
      <c r="AJ123" s="19"/>
      <c r="AK123" s="19"/>
      <c r="AL123" s="19"/>
      <c r="AM123" s="17"/>
      <c r="AN123" s="19"/>
      <c r="AO123" s="19"/>
      <c r="AP123" s="19"/>
      <c r="AQ123" s="19"/>
      <c r="AR123" s="19"/>
      <c r="AS123" s="21"/>
      <c r="AT123" s="5"/>
      <c r="AU123" s="19"/>
      <c r="AV123" s="5"/>
      <c r="AW123" s="22"/>
      <c r="AX123" s="19"/>
      <c r="AY123" s="5"/>
      <c r="AZ123" s="19"/>
      <c r="BA123" s="5"/>
      <c r="BB123" s="5"/>
      <c r="BC123" s="19"/>
      <c r="BD123" s="19"/>
      <c r="BE123" s="19"/>
      <c r="BF123" s="19"/>
      <c r="BG123" s="19"/>
      <c r="BH123" s="19"/>
      <c r="BI123" s="19"/>
      <c r="BJ123" s="19"/>
      <c r="BK123" s="13"/>
      <c r="BL123" s="5"/>
      <c r="BM123" s="5"/>
      <c r="BN123" s="19"/>
      <c r="BO123" s="17"/>
      <c r="BP123" s="19"/>
      <c r="BQ123" s="17"/>
      <c r="BR123" s="19"/>
      <c r="BS123" s="13"/>
      <c r="BT123" s="5"/>
      <c r="BU123" s="23"/>
      <c r="BV123" s="23"/>
      <c r="BW123" s="24"/>
      <c r="BX123" s="5"/>
      <c r="BY123" s="5"/>
      <c r="BZ123" s="5"/>
      <c r="CA123" s="24"/>
      <c r="CB123" s="24"/>
      <c r="CC123" s="24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>
        <f t="shared" si="90"/>
        <v>180</v>
      </c>
      <c r="CV123" s="25">
        <f t="shared" si="91"/>
        <v>0</v>
      </c>
    </row>
    <row r="124" spans="1:100" x14ac:dyDescent="0.2">
      <c r="A124" s="2"/>
      <c r="B124" s="3"/>
      <c r="C124" s="4"/>
      <c r="D124" s="5"/>
      <c r="E124" s="6"/>
      <c r="F124" s="7"/>
      <c r="G124" s="8"/>
      <c r="H124" s="9"/>
      <c r="I124" s="10"/>
      <c r="J124" s="11" t="s">
        <v>830</v>
      </c>
      <c r="K124" s="12">
        <v>1.5</v>
      </c>
      <c r="L124" s="13">
        <v>200</v>
      </c>
      <c r="M124" s="14">
        <f t="shared" si="183"/>
        <v>300</v>
      </c>
      <c r="N124" s="15"/>
      <c r="O124" s="16" t="s">
        <v>137</v>
      </c>
      <c r="P124" s="17"/>
      <c r="Q124" s="18"/>
      <c r="R124" s="17">
        <f t="shared" si="184"/>
        <v>300</v>
      </c>
      <c r="S124" s="19"/>
      <c r="T124" s="19"/>
      <c r="U124" s="19"/>
      <c r="V124" s="19"/>
      <c r="W124" s="17"/>
      <c r="X124" s="20"/>
      <c r="Y124" s="19"/>
      <c r="Z124" s="19"/>
      <c r="AA124" s="19"/>
      <c r="AB124" s="19"/>
      <c r="AC124" s="19"/>
      <c r="AD124" s="19"/>
      <c r="AE124" s="5"/>
      <c r="AF124" s="19"/>
      <c r="AG124" s="5"/>
      <c r="AH124" s="17"/>
      <c r="AI124" s="19"/>
      <c r="AJ124" s="19"/>
      <c r="AK124" s="19"/>
      <c r="AL124" s="19"/>
      <c r="AM124" s="17"/>
      <c r="AN124" s="19"/>
      <c r="AO124" s="19"/>
      <c r="AP124" s="19"/>
      <c r="AQ124" s="19"/>
      <c r="AR124" s="19"/>
      <c r="AS124" s="21"/>
      <c r="AT124" s="5"/>
      <c r="AU124" s="19"/>
      <c r="AV124" s="5"/>
      <c r="AW124" s="22"/>
      <c r="AX124" s="19"/>
      <c r="AY124" s="5"/>
      <c r="AZ124" s="19"/>
      <c r="BA124" s="5"/>
      <c r="BB124" s="5"/>
      <c r="BC124" s="19"/>
      <c r="BD124" s="19"/>
      <c r="BE124" s="19"/>
      <c r="BF124" s="19"/>
      <c r="BG124" s="19"/>
      <c r="BH124" s="19"/>
      <c r="BI124" s="19"/>
      <c r="BJ124" s="19"/>
      <c r="BK124" s="13"/>
      <c r="BL124" s="5"/>
      <c r="BM124" s="5"/>
      <c r="BN124" s="19"/>
      <c r="BO124" s="17"/>
      <c r="BP124" s="19"/>
      <c r="BQ124" s="17"/>
      <c r="BR124" s="19"/>
      <c r="BS124" s="13"/>
      <c r="BT124" s="5"/>
      <c r="BU124" s="23"/>
      <c r="BV124" s="23"/>
      <c r="BW124" s="24"/>
      <c r="BX124" s="5"/>
      <c r="BY124" s="5"/>
      <c r="BZ124" s="5"/>
      <c r="CA124" s="24"/>
      <c r="CB124" s="24"/>
      <c r="CC124" s="24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>
        <f t="shared" si="90"/>
        <v>300</v>
      </c>
      <c r="CV124" s="25">
        <f t="shared" si="91"/>
        <v>0</v>
      </c>
    </row>
    <row r="125" spans="1:100" x14ac:dyDescent="0.2">
      <c r="A125" s="27"/>
      <c r="B125" s="28"/>
      <c r="C125" s="29"/>
      <c r="D125" s="30"/>
      <c r="E125" s="31"/>
      <c r="F125" s="32"/>
      <c r="G125" s="33"/>
      <c r="H125" s="34"/>
      <c r="I125" s="34"/>
      <c r="J125" s="35"/>
      <c r="K125" s="36"/>
      <c r="L125" s="37"/>
      <c r="M125" s="38">
        <f>SUM(M122:M124)</f>
        <v>820</v>
      </c>
      <c r="N125" s="38"/>
      <c r="O125" s="39" t="s">
        <v>137</v>
      </c>
      <c r="P125" s="38"/>
      <c r="Q125" s="38"/>
      <c r="R125" s="38">
        <f>SUM(R122:R124)</f>
        <v>820</v>
      </c>
      <c r="S125" s="38">
        <f t="shared" ref="S125:AD125" si="185">SUM(S122:S122)</f>
        <v>0</v>
      </c>
      <c r="T125" s="38">
        <f t="shared" si="185"/>
        <v>0</v>
      </c>
      <c r="U125" s="38">
        <f t="shared" si="185"/>
        <v>0</v>
      </c>
      <c r="V125" s="38">
        <f t="shared" si="185"/>
        <v>0</v>
      </c>
      <c r="W125" s="38">
        <f t="shared" si="185"/>
        <v>0</v>
      </c>
      <c r="X125" s="38">
        <f t="shared" si="185"/>
        <v>0</v>
      </c>
      <c r="Y125" s="38">
        <f t="shared" si="185"/>
        <v>0</v>
      </c>
      <c r="Z125" s="38">
        <f t="shared" si="185"/>
        <v>0</v>
      </c>
      <c r="AA125" s="38">
        <f t="shared" si="185"/>
        <v>0</v>
      </c>
      <c r="AB125" s="38">
        <f t="shared" si="185"/>
        <v>0</v>
      </c>
      <c r="AC125" s="38">
        <f t="shared" si="185"/>
        <v>0</v>
      </c>
      <c r="AD125" s="38">
        <f t="shared" si="185"/>
        <v>0</v>
      </c>
      <c r="AE125" s="30"/>
      <c r="AF125" s="38">
        <f>SUM(AF122:AF122)</f>
        <v>0</v>
      </c>
      <c r="AG125" s="30"/>
      <c r="AH125" s="38">
        <f t="shared" ref="AH125:AZ125" si="186">SUM(AH122:AH122)</f>
        <v>0</v>
      </c>
      <c r="AI125" s="38">
        <f t="shared" si="186"/>
        <v>0</v>
      </c>
      <c r="AJ125" s="38">
        <f t="shared" si="186"/>
        <v>0</v>
      </c>
      <c r="AK125" s="38">
        <f t="shared" si="186"/>
        <v>0</v>
      </c>
      <c r="AL125" s="38">
        <f t="shared" si="186"/>
        <v>0</v>
      </c>
      <c r="AM125" s="38">
        <f t="shared" si="186"/>
        <v>0</v>
      </c>
      <c r="AN125" s="38">
        <f t="shared" si="186"/>
        <v>0</v>
      </c>
      <c r="AO125" s="38">
        <f t="shared" si="186"/>
        <v>0</v>
      </c>
      <c r="AP125" s="38">
        <f t="shared" si="186"/>
        <v>0</v>
      </c>
      <c r="AQ125" s="38">
        <f t="shared" si="186"/>
        <v>0</v>
      </c>
      <c r="AR125" s="38">
        <f t="shared" si="186"/>
        <v>0</v>
      </c>
      <c r="AS125" s="38">
        <f t="shared" si="186"/>
        <v>0</v>
      </c>
      <c r="AT125" s="38">
        <f t="shared" si="186"/>
        <v>0</v>
      </c>
      <c r="AU125" s="38">
        <f t="shared" si="186"/>
        <v>0</v>
      </c>
      <c r="AV125" s="38">
        <f t="shared" si="186"/>
        <v>0</v>
      </c>
      <c r="AW125" s="38">
        <f t="shared" si="186"/>
        <v>0</v>
      </c>
      <c r="AX125" s="38">
        <f t="shared" si="186"/>
        <v>0</v>
      </c>
      <c r="AY125" s="38">
        <f t="shared" si="186"/>
        <v>0</v>
      </c>
      <c r="AZ125" s="38">
        <f t="shared" si="186"/>
        <v>0</v>
      </c>
      <c r="BA125" s="30"/>
      <c r="BB125" s="38">
        <f t="shared" ref="BB125:CT125" si="187">SUM(BB122:BB122)</f>
        <v>0</v>
      </c>
      <c r="BC125" s="38">
        <f t="shared" si="187"/>
        <v>0</v>
      </c>
      <c r="BD125" s="38">
        <f t="shared" si="187"/>
        <v>0</v>
      </c>
      <c r="BE125" s="38">
        <f t="shared" si="187"/>
        <v>0</v>
      </c>
      <c r="BF125" s="38">
        <f t="shared" si="187"/>
        <v>0</v>
      </c>
      <c r="BG125" s="38">
        <f t="shared" si="187"/>
        <v>0</v>
      </c>
      <c r="BH125" s="38">
        <f t="shared" si="187"/>
        <v>0</v>
      </c>
      <c r="BI125" s="38">
        <f t="shared" si="187"/>
        <v>0</v>
      </c>
      <c r="BJ125" s="38">
        <f t="shared" si="187"/>
        <v>0</v>
      </c>
      <c r="BK125" s="38">
        <f t="shared" si="187"/>
        <v>0</v>
      </c>
      <c r="BL125" s="38">
        <f t="shared" si="187"/>
        <v>0</v>
      </c>
      <c r="BM125" s="38">
        <f t="shared" si="187"/>
        <v>0</v>
      </c>
      <c r="BN125" s="38">
        <f t="shared" si="187"/>
        <v>0</v>
      </c>
      <c r="BO125" s="38">
        <f t="shared" si="187"/>
        <v>0</v>
      </c>
      <c r="BP125" s="38">
        <f t="shared" si="187"/>
        <v>0</v>
      </c>
      <c r="BQ125" s="38">
        <f t="shared" si="187"/>
        <v>0</v>
      </c>
      <c r="BR125" s="38">
        <f t="shared" si="187"/>
        <v>0</v>
      </c>
      <c r="BS125" s="38">
        <f t="shared" si="187"/>
        <v>0</v>
      </c>
      <c r="BT125" s="38">
        <f t="shared" si="187"/>
        <v>0</v>
      </c>
      <c r="BU125" s="38">
        <f t="shared" si="187"/>
        <v>0</v>
      </c>
      <c r="BV125" s="38">
        <f t="shared" si="187"/>
        <v>0</v>
      </c>
      <c r="BW125" s="38">
        <f t="shared" si="187"/>
        <v>0</v>
      </c>
      <c r="BX125" s="38">
        <f t="shared" si="187"/>
        <v>0</v>
      </c>
      <c r="BY125" s="38">
        <f t="shared" si="187"/>
        <v>0</v>
      </c>
      <c r="BZ125" s="38">
        <f t="shared" si="187"/>
        <v>0</v>
      </c>
      <c r="CA125" s="38">
        <f t="shared" si="187"/>
        <v>0</v>
      </c>
      <c r="CB125" s="38">
        <f t="shared" si="187"/>
        <v>0</v>
      </c>
      <c r="CC125" s="38">
        <f t="shared" si="187"/>
        <v>0</v>
      </c>
      <c r="CD125" s="38">
        <f t="shared" si="187"/>
        <v>0</v>
      </c>
      <c r="CE125" s="38">
        <f t="shared" si="187"/>
        <v>0</v>
      </c>
      <c r="CF125" s="38">
        <f t="shared" si="187"/>
        <v>0</v>
      </c>
      <c r="CG125" s="38">
        <f t="shared" si="187"/>
        <v>0</v>
      </c>
      <c r="CH125" s="38">
        <f t="shared" si="187"/>
        <v>0</v>
      </c>
      <c r="CI125" s="38">
        <f t="shared" si="187"/>
        <v>0</v>
      </c>
      <c r="CJ125" s="38">
        <f t="shared" si="187"/>
        <v>0</v>
      </c>
      <c r="CK125" s="38">
        <f t="shared" si="187"/>
        <v>0</v>
      </c>
      <c r="CL125" s="38">
        <f t="shared" si="187"/>
        <v>0</v>
      </c>
      <c r="CM125" s="38">
        <f t="shared" si="187"/>
        <v>0</v>
      </c>
      <c r="CN125" s="38">
        <f t="shared" si="187"/>
        <v>0</v>
      </c>
      <c r="CO125" s="38">
        <f t="shared" si="187"/>
        <v>0</v>
      </c>
      <c r="CP125" s="38">
        <f t="shared" si="187"/>
        <v>0</v>
      </c>
      <c r="CQ125" s="38">
        <f t="shared" si="187"/>
        <v>0</v>
      </c>
      <c r="CR125" s="38">
        <f t="shared" si="187"/>
        <v>0</v>
      </c>
      <c r="CS125" s="38">
        <f t="shared" si="187"/>
        <v>0</v>
      </c>
      <c r="CT125" s="38">
        <f t="shared" si="187"/>
        <v>0</v>
      </c>
      <c r="CU125" s="17">
        <f t="shared" si="90"/>
        <v>820</v>
      </c>
      <c r="CV125" s="25">
        <f t="shared" si="91"/>
        <v>0</v>
      </c>
    </row>
    <row r="126" spans="1:100" x14ac:dyDescent="0.2">
      <c r="A126" s="2">
        <v>45896</v>
      </c>
      <c r="B126" s="3" t="s">
        <v>824</v>
      </c>
      <c r="C126" s="4" t="s">
        <v>888</v>
      </c>
      <c r="D126" s="5" t="s">
        <v>122</v>
      </c>
      <c r="E126" s="6" t="s">
        <v>266</v>
      </c>
      <c r="F126" s="7"/>
      <c r="G126" s="8"/>
      <c r="H126" s="9"/>
      <c r="I126" s="10"/>
      <c r="J126" s="11" t="s">
        <v>831</v>
      </c>
      <c r="K126" s="12">
        <v>2.0699999999999998</v>
      </c>
      <c r="L126" s="13">
        <v>380</v>
      </c>
      <c r="M126" s="14">
        <v>786.6</v>
      </c>
      <c r="N126" s="15"/>
      <c r="O126" s="16" t="s">
        <v>137</v>
      </c>
      <c r="P126" s="17"/>
      <c r="Q126" s="18"/>
      <c r="R126" s="17">
        <f>M126+P126-Q126</f>
        <v>786.6</v>
      </c>
      <c r="S126" s="19"/>
      <c r="T126" s="19"/>
      <c r="U126" s="19"/>
      <c r="V126" s="19"/>
      <c r="W126" s="17"/>
      <c r="X126" s="20"/>
      <c r="Y126" s="19"/>
      <c r="Z126" s="19"/>
      <c r="AA126" s="19"/>
      <c r="AB126" s="19"/>
      <c r="AC126" s="19"/>
      <c r="AD126" s="19"/>
      <c r="AE126" s="5"/>
      <c r="AF126" s="19"/>
      <c r="AG126" s="5"/>
      <c r="AH126" s="17"/>
      <c r="AI126" s="19"/>
      <c r="AJ126" s="19"/>
      <c r="AK126" s="19"/>
      <c r="AL126" s="19"/>
      <c r="AM126" s="17"/>
      <c r="AN126" s="19"/>
      <c r="AO126" s="19"/>
      <c r="AP126" s="19"/>
      <c r="AQ126" s="19"/>
      <c r="AR126" s="19"/>
      <c r="AS126" s="21"/>
      <c r="AT126" s="5"/>
      <c r="AU126" s="19"/>
      <c r="AV126" s="5"/>
      <c r="AW126" s="22"/>
      <c r="AX126" s="19"/>
      <c r="AY126" s="5"/>
      <c r="AZ126" s="19"/>
      <c r="BA126" s="5"/>
      <c r="BB126" s="5"/>
      <c r="BC126" s="19"/>
      <c r="BD126" s="19"/>
      <c r="BE126" s="19"/>
      <c r="BF126" s="19"/>
      <c r="BG126" s="19"/>
      <c r="BH126" s="19"/>
      <c r="BI126" s="19"/>
      <c r="BJ126" s="19"/>
      <c r="BK126" s="13"/>
      <c r="BL126" s="5"/>
      <c r="BM126" s="5"/>
      <c r="BN126" s="19"/>
      <c r="BO126" s="17"/>
      <c r="BP126" s="19"/>
      <c r="BQ126" s="17"/>
      <c r="BR126" s="19"/>
      <c r="BS126" s="13"/>
      <c r="BT126" s="5"/>
      <c r="BU126" s="23"/>
      <c r="BV126" s="23"/>
      <c r="BW126" s="24"/>
      <c r="BX126" s="5"/>
      <c r="BY126" s="5"/>
      <c r="BZ126" s="5"/>
      <c r="CA126" s="24"/>
      <c r="CB126" s="24"/>
      <c r="CC126" s="24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>
        <f t="shared" si="90"/>
        <v>786.6</v>
      </c>
      <c r="CV126" s="25">
        <f t="shared" si="91"/>
        <v>0</v>
      </c>
    </row>
    <row r="127" spans="1:100" x14ac:dyDescent="0.2">
      <c r="A127" s="2"/>
      <c r="B127" s="3"/>
      <c r="C127" s="4"/>
      <c r="D127" s="5"/>
      <c r="E127" s="6"/>
      <c r="F127" s="7"/>
      <c r="G127" s="8"/>
      <c r="H127" s="9"/>
      <c r="I127" s="10"/>
      <c r="J127" s="11" t="s">
        <v>832</v>
      </c>
      <c r="K127" s="12">
        <v>2.2200000000000002</v>
      </c>
      <c r="L127" s="13">
        <v>250</v>
      </c>
      <c r="M127" s="14">
        <v>555</v>
      </c>
      <c r="N127" s="15"/>
      <c r="O127" s="16" t="s">
        <v>137</v>
      </c>
      <c r="P127" s="17"/>
      <c r="Q127" s="18"/>
      <c r="R127" s="17">
        <f>M127+P127-Q127</f>
        <v>555</v>
      </c>
      <c r="S127" s="19"/>
      <c r="T127" s="19"/>
      <c r="U127" s="19"/>
      <c r="V127" s="19"/>
      <c r="W127" s="17"/>
      <c r="X127" s="20"/>
      <c r="Y127" s="19"/>
      <c r="Z127" s="19"/>
      <c r="AA127" s="19"/>
      <c r="AB127" s="19"/>
      <c r="AC127" s="19"/>
      <c r="AD127" s="19"/>
      <c r="AE127" s="5"/>
      <c r="AF127" s="19"/>
      <c r="AG127" s="5"/>
      <c r="AH127" s="17"/>
      <c r="AI127" s="19"/>
      <c r="AJ127" s="19"/>
      <c r="AK127" s="19"/>
      <c r="AL127" s="19"/>
      <c r="AM127" s="17"/>
      <c r="AN127" s="19"/>
      <c r="AO127" s="19"/>
      <c r="AP127" s="19"/>
      <c r="AQ127" s="19"/>
      <c r="AR127" s="19"/>
      <c r="AS127" s="21"/>
      <c r="AT127" s="5"/>
      <c r="AU127" s="19"/>
      <c r="AV127" s="5"/>
      <c r="AW127" s="22"/>
      <c r="AX127" s="19"/>
      <c r="AY127" s="5"/>
      <c r="AZ127" s="19"/>
      <c r="BA127" s="5"/>
      <c r="BB127" s="5"/>
      <c r="BC127" s="19"/>
      <c r="BD127" s="19"/>
      <c r="BE127" s="19"/>
      <c r="BF127" s="19"/>
      <c r="BG127" s="19"/>
      <c r="BH127" s="19"/>
      <c r="BI127" s="19"/>
      <c r="BJ127" s="19"/>
      <c r="BK127" s="13"/>
      <c r="BL127" s="5"/>
      <c r="BM127" s="5"/>
      <c r="BN127" s="19"/>
      <c r="BO127" s="17"/>
      <c r="BP127" s="19"/>
      <c r="BQ127" s="17"/>
      <c r="BR127" s="19"/>
      <c r="BS127" s="13"/>
      <c r="BT127" s="5"/>
      <c r="BU127" s="23"/>
      <c r="BV127" s="23"/>
      <c r="BW127" s="24"/>
      <c r="BX127" s="5"/>
      <c r="BY127" s="5"/>
      <c r="BZ127" s="5"/>
      <c r="CA127" s="24"/>
      <c r="CB127" s="24"/>
      <c r="CC127" s="24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>
        <f t="shared" si="90"/>
        <v>555</v>
      </c>
      <c r="CV127" s="25">
        <f t="shared" si="91"/>
        <v>0</v>
      </c>
    </row>
    <row r="128" spans="1:100" s="205" customFormat="1" x14ac:dyDescent="0.2">
      <c r="A128" s="192"/>
      <c r="B128" s="193"/>
      <c r="C128" s="194"/>
      <c r="D128" s="195"/>
      <c r="E128" s="196"/>
      <c r="F128" s="197"/>
      <c r="G128" s="198"/>
      <c r="H128" s="199"/>
      <c r="I128" s="199"/>
      <c r="J128" s="200"/>
      <c r="K128" s="201"/>
      <c r="L128" s="202"/>
      <c r="M128" s="203">
        <f>SUM(M126:M127)</f>
        <v>1341.6</v>
      </c>
      <c r="N128" s="203">
        <f>M128+M125+M121</f>
        <v>2536.6</v>
      </c>
      <c r="O128" s="204" t="s">
        <v>137</v>
      </c>
      <c r="P128" s="203"/>
      <c r="Q128" s="203"/>
      <c r="R128" s="203">
        <f>SUM(R126:R127)</f>
        <v>1341.6</v>
      </c>
      <c r="S128" s="203">
        <f t="shared" ref="S128:AD128" si="188">SUM(S126:S126)</f>
        <v>0</v>
      </c>
      <c r="T128" s="203">
        <f t="shared" si="188"/>
        <v>0</v>
      </c>
      <c r="U128" s="203">
        <f t="shared" si="188"/>
        <v>0</v>
      </c>
      <c r="V128" s="203">
        <f t="shared" si="188"/>
        <v>0</v>
      </c>
      <c r="W128" s="203">
        <f t="shared" si="188"/>
        <v>0</v>
      </c>
      <c r="X128" s="203">
        <f t="shared" si="188"/>
        <v>0</v>
      </c>
      <c r="Y128" s="203">
        <f t="shared" si="188"/>
        <v>0</v>
      </c>
      <c r="Z128" s="203">
        <f t="shared" si="188"/>
        <v>0</v>
      </c>
      <c r="AA128" s="203">
        <f t="shared" si="188"/>
        <v>0</v>
      </c>
      <c r="AB128" s="203">
        <f t="shared" si="188"/>
        <v>0</v>
      </c>
      <c r="AC128" s="203">
        <f t="shared" si="188"/>
        <v>0</v>
      </c>
      <c r="AD128" s="203">
        <f t="shared" si="188"/>
        <v>0</v>
      </c>
      <c r="AE128" s="195"/>
      <c r="AF128" s="203">
        <f>SUM(AF126:AF126)</f>
        <v>0</v>
      </c>
      <c r="AG128" s="195"/>
      <c r="AH128" s="203">
        <f t="shared" ref="AH128:AZ128" si="189">SUM(AH126:AH126)</f>
        <v>0</v>
      </c>
      <c r="AI128" s="203">
        <f t="shared" si="189"/>
        <v>0</v>
      </c>
      <c r="AJ128" s="203">
        <f t="shared" si="189"/>
        <v>0</v>
      </c>
      <c r="AK128" s="203">
        <f t="shared" si="189"/>
        <v>0</v>
      </c>
      <c r="AL128" s="203">
        <f t="shared" si="189"/>
        <v>0</v>
      </c>
      <c r="AM128" s="203">
        <f t="shared" si="189"/>
        <v>0</v>
      </c>
      <c r="AN128" s="203">
        <f t="shared" si="189"/>
        <v>0</v>
      </c>
      <c r="AO128" s="203">
        <f t="shared" si="189"/>
        <v>0</v>
      </c>
      <c r="AP128" s="203">
        <f t="shared" si="189"/>
        <v>0</v>
      </c>
      <c r="AQ128" s="203">
        <f t="shared" si="189"/>
        <v>0</v>
      </c>
      <c r="AR128" s="203">
        <f t="shared" si="189"/>
        <v>0</v>
      </c>
      <c r="AS128" s="203">
        <f t="shared" si="189"/>
        <v>0</v>
      </c>
      <c r="AT128" s="203">
        <f t="shared" si="189"/>
        <v>0</v>
      </c>
      <c r="AU128" s="203">
        <f t="shared" si="189"/>
        <v>0</v>
      </c>
      <c r="AV128" s="203">
        <f t="shared" si="189"/>
        <v>0</v>
      </c>
      <c r="AW128" s="203">
        <f t="shared" si="189"/>
        <v>0</v>
      </c>
      <c r="AX128" s="203">
        <f t="shared" si="189"/>
        <v>0</v>
      </c>
      <c r="AY128" s="203">
        <f t="shared" si="189"/>
        <v>0</v>
      </c>
      <c r="AZ128" s="203">
        <f t="shared" si="189"/>
        <v>0</v>
      </c>
      <c r="BA128" s="195"/>
      <c r="BB128" s="203">
        <f t="shared" ref="BB128:CT128" si="190">SUM(BB126:BB126)</f>
        <v>0</v>
      </c>
      <c r="BC128" s="203">
        <f t="shared" si="190"/>
        <v>0</v>
      </c>
      <c r="BD128" s="203">
        <f t="shared" si="190"/>
        <v>0</v>
      </c>
      <c r="BE128" s="203">
        <f t="shared" si="190"/>
        <v>0</v>
      </c>
      <c r="BF128" s="203">
        <f t="shared" si="190"/>
        <v>0</v>
      </c>
      <c r="BG128" s="203">
        <f t="shared" si="190"/>
        <v>0</v>
      </c>
      <c r="BH128" s="203">
        <f t="shared" si="190"/>
        <v>0</v>
      </c>
      <c r="BI128" s="203">
        <f t="shared" si="190"/>
        <v>0</v>
      </c>
      <c r="BJ128" s="203">
        <f t="shared" si="190"/>
        <v>0</v>
      </c>
      <c r="BK128" s="203">
        <f t="shared" si="190"/>
        <v>0</v>
      </c>
      <c r="BL128" s="203">
        <f t="shared" si="190"/>
        <v>0</v>
      </c>
      <c r="BM128" s="203">
        <f t="shared" si="190"/>
        <v>0</v>
      </c>
      <c r="BN128" s="203">
        <f t="shared" si="190"/>
        <v>0</v>
      </c>
      <c r="BO128" s="203">
        <f t="shared" si="190"/>
        <v>0</v>
      </c>
      <c r="BP128" s="203">
        <f t="shared" si="190"/>
        <v>0</v>
      </c>
      <c r="BQ128" s="203">
        <f t="shared" si="190"/>
        <v>0</v>
      </c>
      <c r="BR128" s="203">
        <f t="shared" si="190"/>
        <v>0</v>
      </c>
      <c r="BS128" s="203">
        <f t="shared" si="190"/>
        <v>0</v>
      </c>
      <c r="BT128" s="203">
        <f t="shared" si="190"/>
        <v>0</v>
      </c>
      <c r="BU128" s="203">
        <f t="shared" si="190"/>
        <v>0</v>
      </c>
      <c r="BV128" s="203">
        <f t="shared" si="190"/>
        <v>0</v>
      </c>
      <c r="BW128" s="203">
        <f t="shared" si="190"/>
        <v>0</v>
      </c>
      <c r="BX128" s="203">
        <f t="shared" si="190"/>
        <v>0</v>
      </c>
      <c r="BY128" s="203">
        <f t="shared" si="190"/>
        <v>0</v>
      </c>
      <c r="BZ128" s="203">
        <f t="shared" si="190"/>
        <v>0</v>
      </c>
      <c r="CA128" s="203">
        <f t="shared" si="190"/>
        <v>0</v>
      </c>
      <c r="CB128" s="203">
        <f t="shared" si="190"/>
        <v>0</v>
      </c>
      <c r="CC128" s="203">
        <f t="shared" si="190"/>
        <v>0</v>
      </c>
      <c r="CD128" s="203">
        <f t="shared" si="190"/>
        <v>0</v>
      </c>
      <c r="CE128" s="203">
        <f t="shared" si="190"/>
        <v>0</v>
      </c>
      <c r="CF128" s="203">
        <f t="shared" si="190"/>
        <v>0</v>
      </c>
      <c r="CG128" s="203">
        <f t="shared" si="190"/>
        <v>0</v>
      </c>
      <c r="CH128" s="203">
        <f t="shared" si="190"/>
        <v>0</v>
      </c>
      <c r="CI128" s="203">
        <f t="shared" si="190"/>
        <v>0</v>
      </c>
      <c r="CJ128" s="203">
        <f t="shared" si="190"/>
        <v>0</v>
      </c>
      <c r="CK128" s="203">
        <f t="shared" si="190"/>
        <v>0</v>
      </c>
      <c r="CL128" s="203">
        <f t="shared" si="190"/>
        <v>0</v>
      </c>
      <c r="CM128" s="203">
        <f t="shared" si="190"/>
        <v>0</v>
      </c>
      <c r="CN128" s="203">
        <f t="shared" si="190"/>
        <v>0</v>
      </c>
      <c r="CO128" s="203">
        <f t="shared" si="190"/>
        <v>0</v>
      </c>
      <c r="CP128" s="203">
        <f t="shared" si="190"/>
        <v>0</v>
      </c>
      <c r="CQ128" s="203">
        <f t="shared" si="190"/>
        <v>0</v>
      </c>
      <c r="CR128" s="203">
        <f t="shared" si="190"/>
        <v>0</v>
      </c>
      <c r="CS128" s="203">
        <f t="shared" si="190"/>
        <v>0</v>
      </c>
      <c r="CT128" s="203">
        <f t="shared" si="190"/>
        <v>0</v>
      </c>
      <c r="CU128" s="17">
        <f t="shared" si="90"/>
        <v>1341.6</v>
      </c>
      <c r="CV128" s="25">
        <f t="shared" si="91"/>
        <v>0</v>
      </c>
    </row>
    <row r="129" spans="1:100" x14ac:dyDescent="0.2">
      <c r="A129" s="2">
        <v>45896</v>
      </c>
      <c r="B129" s="3" t="s">
        <v>841</v>
      </c>
      <c r="C129" s="4" t="s">
        <v>887</v>
      </c>
      <c r="D129" s="5" t="s">
        <v>122</v>
      </c>
      <c r="E129" s="6" t="s">
        <v>370</v>
      </c>
      <c r="F129" s="7" t="s">
        <v>336</v>
      </c>
      <c r="G129" s="8" t="s">
        <v>199</v>
      </c>
      <c r="H129" s="9" t="s">
        <v>833</v>
      </c>
      <c r="I129" s="10"/>
      <c r="J129" s="11" t="s">
        <v>834</v>
      </c>
      <c r="K129" s="12">
        <v>3</v>
      </c>
      <c r="L129" s="13">
        <v>35.5</v>
      </c>
      <c r="M129" s="14">
        <f t="shared" ref="M129:M136" si="191">L129*K129</f>
        <v>106.5</v>
      </c>
      <c r="N129" s="15"/>
      <c r="O129" s="16" t="s">
        <v>111</v>
      </c>
      <c r="P129" s="17">
        <f>M129/1.12*0.01</f>
        <v>0.9508928571428571</v>
      </c>
      <c r="Q129" s="18">
        <f>M129/1.12*0.12</f>
        <v>11.410714285714285</v>
      </c>
      <c r="R129" s="17">
        <f>M129+P129-Q129</f>
        <v>96.040178571428584</v>
      </c>
      <c r="S129" s="19"/>
      <c r="T129" s="19"/>
      <c r="U129" s="19"/>
      <c r="V129" s="19"/>
      <c r="W129" s="17"/>
      <c r="X129" s="20"/>
      <c r="Y129" s="19"/>
      <c r="Z129" s="19"/>
      <c r="AA129" s="19"/>
      <c r="AB129" s="19"/>
      <c r="AC129" s="19"/>
      <c r="AD129" s="19"/>
      <c r="AE129" s="5"/>
      <c r="AF129" s="19"/>
      <c r="AG129" s="5"/>
      <c r="AH129" s="17"/>
      <c r="AI129" s="19"/>
      <c r="AJ129" s="19"/>
      <c r="AK129" s="19"/>
      <c r="AL129" s="19"/>
      <c r="AM129" s="17"/>
      <c r="AN129" s="19"/>
      <c r="AO129" s="19"/>
      <c r="AP129" s="19"/>
      <c r="AQ129" s="19"/>
      <c r="AR129" s="19"/>
      <c r="AS129" s="21"/>
      <c r="AT129" s="5"/>
      <c r="AU129" s="19"/>
      <c r="AV129" s="5"/>
      <c r="AW129" s="22"/>
      <c r="AX129" s="19"/>
      <c r="AY129" s="5"/>
      <c r="AZ129" s="19"/>
      <c r="BA129" s="5"/>
      <c r="BB129" s="5"/>
      <c r="BC129" s="19"/>
      <c r="BD129" s="19"/>
      <c r="BE129" s="19"/>
      <c r="BF129" s="19"/>
      <c r="BG129" s="19"/>
      <c r="BH129" s="19"/>
      <c r="BI129" s="19"/>
      <c r="BJ129" s="19"/>
      <c r="BK129" s="13"/>
      <c r="BL129" s="5"/>
      <c r="BM129" s="5"/>
      <c r="BN129" s="19"/>
      <c r="BO129" s="17"/>
      <c r="BP129" s="19"/>
      <c r="BQ129" s="17"/>
      <c r="BR129" s="19"/>
      <c r="BS129" s="13"/>
      <c r="BT129" s="5"/>
      <c r="BU129" s="23"/>
      <c r="BV129" s="23"/>
      <c r="BW129" s="24"/>
      <c r="BX129" s="5"/>
      <c r="BY129" s="5"/>
      <c r="BZ129" s="5"/>
      <c r="CA129" s="24"/>
      <c r="CB129" s="24"/>
      <c r="CC129" s="24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>
        <f t="shared" si="90"/>
        <v>106.5</v>
      </c>
      <c r="CV129" s="25">
        <f t="shared" si="91"/>
        <v>0</v>
      </c>
    </row>
    <row r="130" spans="1:100" x14ac:dyDescent="0.2">
      <c r="A130" s="2"/>
      <c r="B130" s="3"/>
      <c r="C130" s="4"/>
      <c r="D130" s="5"/>
      <c r="E130" s="6"/>
      <c r="F130" s="7"/>
      <c r="G130" s="8"/>
      <c r="H130" s="9"/>
      <c r="I130" s="10"/>
      <c r="J130" s="11" t="s">
        <v>835</v>
      </c>
      <c r="K130" s="12">
        <v>1</v>
      </c>
      <c r="L130" s="13">
        <v>54.5</v>
      </c>
      <c r="M130" s="14">
        <f t="shared" si="191"/>
        <v>54.5</v>
      </c>
      <c r="N130" s="15"/>
      <c r="O130" s="16" t="s">
        <v>111</v>
      </c>
      <c r="P130" s="17">
        <f t="shared" ref="P130:P135" si="192">M130/1.12*0.01</f>
        <v>0.48660714285714279</v>
      </c>
      <c r="Q130" s="18">
        <f t="shared" ref="Q130:Q135" si="193">M130/1.12*0.12</f>
        <v>5.8392857142857135</v>
      </c>
      <c r="R130" s="17">
        <f t="shared" ref="R130:R135" si="194">M130+P130-Q130</f>
        <v>49.147321428571431</v>
      </c>
      <c r="S130" s="19"/>
      <c r="T130" s="19"/>
      <c r="U130" s="19"/>
      <c r="V130" s="19"/>
      <c r="W130" s="17"/>
      <c r="X130" s="20"/>
      <c r="Y130" s="19"/>
      <c r="Z130" s="19"/>
      <c r="AA130" s="19"/>
      <c r="AB130" s="19"/>
      <c r="AC130" s="19"/>
      <c r="AD130" s="19"/>
      <c r="AE130" s="5"/>
      <c r="AF130" s="19"/>
      <c r="AG130" s="5"/>
      <c r="AH130" s="17"/>
      <c r="AI130" s="19"/>
      <c r="AJ130" s="19"/>
      <c r="AK130" s="19"/>
      <c r="AL130" s="19"/>
      <c r="AM130" s="17"/>
      <c r="AN130" s="19"/>
      <c r="AO130" s="19"/>
      <c r="AP130" s="19"/>
      <c r="AQ130" s="19"/>
      <c r="AR130" s="19"/>
      <c r="AS130" s="21"/>
      <c r="AT130" s="5"/>
      <c r="AU130" s="19"/>
      <c r="AV130" s="5"/>
      <c r="AW130" s="22"/>
      <c r="AX130" s="19"/>
      <c r="AY130" s="5"/>
      <c r="AZ130" s="19"/>
      <c r="BA130" s="5"/>
      <c r="BB130" s="5"/>
      <c r="BC130" s="19"/>
      <c r="BD130" s="19"/>
      <c r="BE130" s="19"/>
      <c r="BF130" s="19"/>
      <c r="BG130" s="19"/>
      <c r="BH130" s="19"/>
      <c r="BI130" s="19"/>
      <c r="BJ130" s="19"/>
      <c r="BK130" s="13"/>
      <c r="BL130" s="5"/>
      <c r="BM130" s="5"/>
      <c r="BN130" s="19"/>
      <c r="BO130" s="17"/>
      <c r="BP130" s="19"/>
      <c r="BQ130" s="17"/>
      <c r="BR130" s="19"/>
      <c r="BS130" s="13"/>
      <c r="BT130" s="5"/>
      <c r="BU130" s="23"/>
      <c r="BV130" s="23"/>
      <c r="BW130" s="24"/>
      <c r="BX130" s="5"/>
      <c r="BY130" s="5"/>
      <c r="BZ130" s="5"/>
      <c r="CA130" s="24"/>
      <c r="CB130" s="24"/>
      <c r="CC130" s="24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>
        <f t="shared" si="90"/>
        <v>54.5</v>
      </c>
      <c r="CV130" s="25">
        <f t="shared" si="91"/>
        <v>0</v>
      </c>
    </row>
    <row r="131" spans="1:100" x14ac:dyDescent="0.2">
      <c r="A131" s="2"/>
      <c r="B131" s="3"/>
      <c r="C131" s="4"/>
      <c r="D131" s="5"/>
      <c r="E131" s="6"/>
      <c r="F131" s="7"/>
      <c r="G131" s="8"/>
      <c r="H131" s="9"/>
      <c r="I131" s="10"/>
      <c r="J131" s="11" t="s">
        <v>836</v>
      </c>
      <c r="K131" s="12">
        <v>1</v>
      </c>
      <c r="L131" s="13">
        <v>61.5</v>
      </c>
      <c r="M131" s="14">
        <f t="shared" si="191"/>
        <v>61.5</v>
      </c>
      <c r="N131" s="15"/>
      <c r="O131" s="16" t="s">
        <v>111</v>
      </c>
      <c r="P131" s="17">
        <f t="shared" si="192"/>
        <v>0.54910714285714279</v>
      </c>
      <c r="Q131" s="18">
        <f t="shared" si="193"/>
        <v>6.5892857142857126</v>
      </c>
      <c r="R131" s="17">
        <f t="shared" si="194"/>
        <v>55.459821428571431</v>
      </c>
      <c r="S131" s="19"/>
      <c r="T131" s="19"/>
      <c r="U131" s="19"/>
      <c r="V131" s="19"/>
      <c r="W131" s="17"/>
      <c r="X131" s="20"/>
      <c r="Y131" s="19"/>
      <c r="Z131" s="19"/>
      <c r="AA131" s="19"/>
      <c r="AB131" s="19"/>
      <c r="AC131" s="19"/>
      <c r="AD131" s="19"/>
      <c r="AE131" s="5"/>
      <c r="AF131" s="19"/>
      <c r="AG131" s="5"/>
      <c r="AH131" s="17"/>
      <c r="AI131" s="19"/>
      <c r="AJ131" s="19"/>
      <c r="AK131" s="19"/>
      <c r="AL131" s="19"/>
      <c r="AM131" s="17"/>
      <c r="AN131" s="19"/>
      <c r="AO131" s="19"/>
      <c r="AP131" s="19"/>
      <c r="AQ131" s="19"/>
      <c r="AR131" s="19"/>
      <c r="AS131" s="21"/>
      <c r="AT131" s="5"/>
      <c r="AU131" s="19"/>
      <c r="AV131" s="5"/>
      <c r="AW131" s="22"/>
      <c r="AX131" s="19"/>
      <c r="AY131" s="5"/>
      <c r="AZ131" s="19"/>
      <c r="BA131" s="5"/>
      <c r="BB131" s="5"/>
      <c r="BC131" s="19"/>
      <c r="BD131" s="19"/>
      <c r="BE131" s="19"/>
      <c r="BF131" s="19"/>
      <c r="BG131" s="19"/>
      <c r="BH131" s="19"/>
      <c r="BI131" s="19"/>
      <c r="BJ131" s="19"/>
      <c r="BK131" s="13"/>
      <c r="BL131" s="5"/>
      <c r="BM131" s="5"/>
      <c r="BN131" s="19"/>
      <c r="BO131" s="17"/>
      <c r="BP131" s="19"/>
      <c r="BQ131" s="17"/>
      <c r="BR131" s="19"/>
      <c r="BS131" s="13"/>
      <c r="BT131" s="5"/>
      <c r="BU131" s="23"/>
      <c r="BV131" s="23"/>
      <c r="BW131" s="24"/>
      <c r="BX131" s="5"/>
      <c r="BY131" s="5"/>
      <c r="BZ131" s="5"/>
      <c r="CA131" s="24"/>
      <c r="CB131" s="24"/>
      <c r="CC131" s="24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>
        <f t="shared" si="90"/>
        <v>61.5</v>
      </c>
      <c r="CV131" s="25">
        <f t="shared" si="91"/>
        <v>0</v>
      </c>
    </row>
    <row r="132" spans="1:100" x14ac:dyDescent="0.2">
      <c r="A132" s="2"/>
      <c r="B132" s="3"/>
      <c r="C132" s="4"/>
      <c r="D132" s="5"/>
      <c r="E132" s="6"/>
      <c r="F132" s="7"/>
      <c r="G132" s="8"/>
      <c r="H132" s="9"/>
      <c r="I132" s="10"/>
      <c r="J132" s="11" t="s">
        <v>837</v>
      </c>
      <c r="K132" s="12">
        <v>4</v>
      </c>
      <c r="L132" s="13">
        <v>107</v>
      </c>
      <c r="M132" s="14">
        <f t="shared" si="191"/>
        <v>428</v>
      </c>
      <c r="N132" s="15"/>
      <c r="O132" s="16" t="s">
        <v>111</v>
      </c>
      <c r="P132" s="17">
        <f t="shared" si="192"/>
        <v>3.8214285714285712</v>
      </c>
      <c r="Q132" s="18">
        <f t="shared" si="193"/>
        <v>45.857142857142854</v>
      </c>
      <c r="R132" s="17">
        <f t="shared" si="194"/>
        <v>385.96428571428572</v>
      </c>
      <c r="S132" s="19"/>
      <c r="T132" s="19"/>
      <c r="U132" s="19"/>
      <c r="V132" s="19"/>
      <c r="W132" s="17"/>
      <c r="X132" s="20"/>
      <c r="Y132" s="19"/>
      <c r="Z132" s="19"/>
      <c r="AA132" s="19"/>
      <c r="AB132" s="19"/>
      <c r="AC132" s="19"/>
      <c r="AD132" s="19"/>
      <c r="AE132" s="5"/>
      <c r="AF132" s="19"/>
      <c r="AG132" s="5"/>
      <c r="AH132" s="17"/>
      <c r="AI132" s="19"/>
      <c r="AJ132" s="19"/>
      <c r="AK132" s="19"/>
      <c r="AL132" s="19"/>
      <c r="AM132" s="17"/>
      <c r="AN132" s="19"/>
      <c r="AO132" s="19"/>
      <c r="AP132" s="19"/>
      <c r="AQ132" s="19"/>
      <c r="AR132" s="19"/>
      <c r="AS132" s="21"/>
      <c r="AT132" s="5"/>
      <c r="AU132" s="19"/>
      <c r="AV132" s="5"/>
      <c r="AW132" s="22"/>
      <c r="AX132" s="19"/>
      <c r="AY132" s="5"/>
      <c r="AZ132" s="19"/>
      <c r="BA132" s="5"/>
      <c r="BB132" s="5"/>
      <c r="BC132" s="19"/>
      <c r="BD132" s="19"/>
      <c r="BE132" s="19"/>
      <c r="BF132" s="19"/>
      <c r="BG132" s="19"/>
      <c r="BH132" s="19"/>
      <c r="BI132" s="19"/>
      <c r="BJ132" s="19"/>
      <c r="BK132" s="13"/>
      <c r="BL132" s="5"/>
      <c r="BM132" s="5"/>
      <c r="BN132" s="19"/>
      <c r="BO132" s="17"/>
      <c r="BP132" s="19"/>
      <c r="BQ132" s="17"/>
      <c r="BR132" s="19"/>
      <c r="BS132" s="13"/>
      <c r="BT132" s="5"/>
      <c r="BU132" s="23"/>
      <c r="BV132" s="23"/>
      <c r="BW132" s="24"/>
      <c r="BX132" s="5"/>
      <c r="BY132" s="5"/>
      <c r="BZ132" s="5"/>
      <c r="CA132" s="24"/>
      <c r="CB132" s="24"/>
      <c r="CC132" s="24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>
        <f t="shared" si="90"/>
        <v>428</v>
      </c>
      <c r="CV132" s="25">
        <f t="shared" si="91"/>
        <v>0</v>
      </c>
    </row>
    <row r="133" spans="1:100" x14ac:dyDescent="0.2">
      <c r="A133" s="2"/>
      <c r="B133" s="3"/>
      <c r="C133" s="4"/>
      <c r="D133" s="5"/>
      <c r="E133" s="6"/>
      <c r="F133" s="7"/>
      <c r="G133" s="8"/>
      <c r="H133" s="9"/>
      <c r="I133" s="10"/>
      <c r="J133" s="11" t="s">
        <v>838</v>
      </c>
      <c r="K133" s="12">
        <v>1</v>
      </c>
      <c r="L133" s="13">
        <v>119</v>
      </c>
      <c r="M133" s="14">
        <f t="shared" si="191"/>
        <v>119</v>
      </c>
      <c r="N133" s="15"/>
      <c r="O133" s="16" t="s">
        <v>111</v>
      </c>
      <c r="P133" s="17">
        <f t="shared" si="192"/>
        <v>1.0624999999999998</v>
      </c>
      <c r="Q133" s="18">
        <f t="shared" si="193"/>
        <v>12.749999999999998</v>
      </c>
      <c r="R133" s="17">
        <f t="shared" si="194"/>
        <v>107.3125</v>
      </c>
      <c r="S133" s="19"/>
      <c r="T133" s="19"/>
      <c r="U133" s="19"/>
      <c r="V133" s="19"/>
      <c r="W133" s="17"/>
      <c r="X133" s="20"/>
      <c r="Y133" s="19"/>
      <c r="Z133" s="19"/>
      <c r="AA133" s="19"/>
      <c r="AB133" s="19"/>
      <c r="AC133" s="19"/>
      <c r="AD133" s="19"/>
      <c r="AE133" s="5"/>
      <c r="AF133" s="19"/>
      <c r="AG133" s="5"/>
      <c r="AH133" s="17"/>
      <c r="AI133" s="19"/>
      <c r="AJ133" s="19"/>
      <c r="AK133" s="19"/>
      <c r="AL133" s="19"/>
      <c r="AM133" s="17"/>
      <c r="AN133" s="19"/>
      <c r="AO133" s="19"/>
      <c r="AP133" s="19"/>
      <c r="AQ133" s="19"/>
      <c r="AR133" s="19"/>
      <c r="AS133" s="21"/>
      <c r="AT133" s="5"/>
      <c r="AU133" s="19"/>
      <c r="AV133" s="5"/>
      <c r="AW133" s="22"/>
      <c r="AX133" s="19"/>
      <c r="AY133" s="5"/>
      <c r="AZ133" s="19"/>
      <c r="BA133" s="5"/>
      <c r="BB133" s="5"/>
      <c r="BC133" s="19"/>
      <c r="BD133" s="19"/>
      <c r="BE133" s="19"/>
      <c r="BF133" s="19"/>
      <c r="BG133" s="19"/>
      <c r="BH133" s="19"/>
      <c r="BI133" s="19"/>
      <c r="BJ133" s="19"/>
      <c r="BK133" s="13"/>
      <c r="BL133" s="5"/>
      <c r="BM133" s="5"/>
      <c r="BN133" s="19"/>
      <c r="BO133" s="17"/>
      <c r="BP133" s="19"/>
      <c r="BQ133" s="17"/>
      <c r="BR133" s="19"/>
      <c r="BS133" s="13"/>
      <c r="BT133" s="5"/>
      <c r="BU133" s="23"/>
      <c r="BV133" s="23"/>
      <c r="BW133" s="24"/>
      <c r="BX133" s="5"/>
      <c r="BY133" s="5"/>
      <c r="BZ133" s="5"/>
      <c r="CA133" s="24"/>
      <c r="CB133" s="24"/>
      <c r="CC133" s="24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>
        <f t="shared" si="90"/>
        <v>119</v>
      </c>
      <c r="CV133" s="25">
        <f t="shared" si="91"/>
        <v>0</v>
      </c>
    </row>
    <row r="134" spans="1:100" x14ac:dyDescent="0.2">
      <c r="A134" s="2"/>
      <c r="B134" s="3"/>
      <c r="C134" s="4"/>
      <c r="D134" s="5"/>
      <c r="E134" s="6"/>
      <c r="F134" s="7"/>
      <c r="G134" s="8"/>
      <c r="H134" s="9"/>
      <c r="I134" s="10"/>
      <c r="J134" s="11" t="s">
        <v>839</v>
      </c>
      <c r="K134" s="12">
        <v>1</v>
      </c>
      <c r="L134" s="13">
        <v>79.5</v>
      </c>
      <c r="M134" s="14">
        <f t="shared" si="191"/>
        <v>79.5</v>
      </c>
      <c r="N134" s="15"/>
      <c r="O134" s="16" t="s">
        <v>111</v>
      </c>
      <c r="P134" s="17">
        <f t="shared" si="192"/>
        <v>0.70982142857142849</v>
      </c>
      <c r="Q134" s="18">
        <f t="shared" si="193"/>
        <v>8.5178571428571406</v>
      </c>
      <c r="R134" s="17">
        <f t="shared" si="194"/>
        <v>71.691964285714292</v>
      </c>
      <c r="S134" s="19"/>
      <c r="T134" s="19"/>
      <c r="U134" s="19"/>
      <c r="V134" s="19"/>
      <c r="W134" s="17"/>
      <c r="X134" s="20"/>
      <c r="Y134" s="19"/>
      <c r="Z134" s="19"/>
      <c r="AA134" s="19"/>
      <c r="AB134" s="19"/>
      <c r="AC134" s="19"/>
      <c r="AD134" s="19"/>
      <c r="AE134" s="5"/>
      <c r="AF134" s="19"/>
      <c r="AG134" s="5"/>
      <c r="AH134" s="17"/>
      <c r="AI134" s="19"/>
      <c r="AJ134" s="19"/>
      <c r="AK134" s="19"/>
      <c r="AL134" s="19"/>
      <c r="AM134" s="17"/>
      <c r="AN134" s="19"/>
      <c r="AO134" s="19"/>
      <c r="AP134" s="19"/>
      <c r="AQ134" s="19"/>
      <c r="AR134" s="19"/>
      <c r="AS134" s="21"/>
      <c r="AT134" s="5"/>
      <c r="AU134" s="19"/>
      <c r="AV134" s="5"/>
      <c r="AW134" s="22"/>
      <c r="AX134" s="19"/>
      <c r="AY134" s="5"/>
      <c r="AZ134" s="19"/>
      <c r="BA134" s="5"/>
      <c r="BB134" s="5"/>
      <c r="BC134" s="19"/>
      <c r="BD134" s="19"/>
      <c r="BE134" s="19"/>
      <c r="BF134" s="19"/>
      <c r="BG134" s="19"/>
      <c r="BH134" s="19"/>
      <c r="BI134" s="19"/>
      <c r="BJ134" s="19"/>
      <c r="BK134" s="13"/>
      <c r="BL134" s="5"/>
      <c r="BM134" s="5"/>
      <c r="BN134" s="19"/>
      <c r="BO134" s="17"/>
      <c r="BP134" s="19"/>
      <c r="BQ134" s="17"/>
      <c r="BR134" s="19"/>
      <c r="BS134" s="13"/>
      <c r="BT134" s="5"/>
      <c r="BU134" s="23"/>
      <c r="BV134" s="23"/>
      <c r="BW134" s="24"/>
      <c r="BX134" s="5"/>
      <c r="BY134" s="5"/>
      <c r="BZ134" s="5"/>
      <c r="CA134" s="24"/>
      <c r="CB134" s="24"/>
      <c r="CC134" s="24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>
        <f t="shared" si="90"/>
        <v>79.5</v>
      </c>
      <c r="CV134" s="25">
        <f t="shared" si="91"/>
        <v>0</v>
      </c>
    </row>
    <row r="135" spans="1:100" x14ac:dyDescent="0.2">
      <c r="A135" s="2"/>
      <c r="B135" s="3"/>
      <c r="C135" s="4"/>
      <c r="D135" s="5"/>
      <c r="E135" s="6"/>
      <c r="F135" s="7"/>
      <c r="G135" s="8"/>
      <c r="H135" s="9"/>
      <c r="I135" s="10"/>
      <c r="J135" s="11" t="s">
        <v>840</v>
      </c>
      <c r="K135" s="12">
        <v>1</v>
      </c>
      <c r="L135" s="13">
        <v>106.5</v>
      </c>
      <c r="M135" s="14">
        <f t="shared" si="191"/>
        <v>106.5</v>
      </c>
      <c r="N135" s="15"/>
      <c r="O135" s="16" t="s">
        <v>111</v>
      </c>
      <c r="P135" s="17">
        <f t="shared" si="192"/>
        <v>0.9508928571428571</v>
      </c>
      <c r="Q135" s="18">
        <f t="shared" si="193"/>
        <v>11.410714285714285</v>
      </c>
      <c r="R135" s="17">
        <f t="shared" si="194"/>
        <v>96.040178571428584</v>
      </c>
      <c r="S135" s="19"/>
      <c r="T135" s="19"/>
      <c r="U135" s="19"/>
      <c r="V135" s="19"/>
      <c r="W135" s="17"/>
      <c r="X135" s="20"/>
      <c r="Y135" s="19"/>
      <c r="Z135" s="19"/>
      <c r="AA135" s="19"/>
      <c r="AB135" s="19"/>
      <c r="AC135" s="19"/>
      <c r="AD135" s="19"/>
      <c r="AE135" s="5"/>
      <c r="AF135" s="19"/>
      <c r="AG135" s="5"/>
      <c r="AH135" s="17"/>
      <c r="AI135" s="19"/>
      <c r="AJ135" s="19"/>
      <c r="AK135" s="19"/>
      <c r="AL135" s="19"/>
      <c r="AM135" s="17"/>
      <c r="AN135" s="19"/>
      <c r="AO135" s="19"/>
      <c r="AP135" s="19"/>
      <c r="AQ135" s="19"/>
      <c r="AR135" s="19"/>
      <c r="AS135" s="21"/>
      <c r="AT135" s="5"/>
      <c r="AU135" s="19"/>
      <c r="AV135" s="5"/>
      <c r="AW135" s="22"/>
      <c r="AX135" s="19"/>
      <c r="AY135" s="5"/>
      <c r="AZ135" s="19"/>
      <c r="BA135" s="5"/>
      <c r="BB135" s="5"/>
      <c r="BC135" s="19"/>
      <c r="BD135" s="19"/>
      <c r="BE135" s="19"/>
      <c r="BF135" s="19"/>
      <c r="BG135" s="19"/>
      <c r="BH135" s="19"/>
      <c r="BI135" s="19"/>
      <c r="BJ135" s="19"/>
      <c r="BK135" s="13"/>
      <c r="BL135" s="5"/>
      <c r="BM135" s="5"/>
      <c r="BN135" s="19"/>
      <c r="BO135" s="17"/>
      <c r="BP135" s="19"/>
      <c r="BQ135" s="17"/>
      <c r="BR135" s="19"/>
      <c r="BS135" s="13"/>
      <c r="BT135" s="5"/>
      <c r="BU135" s="23"/>
      <c r="BV135" s="23"/>
      <c r="BW135" s="24"/>
      <c r="BX135" s="5"/>
      <c r="BY135" s="5"/>
      <c r="BZ135" s="5"/>
      <c r="CA135" s="24"/>
      <c r="CB135" s="24"/>
      <c r="CC135" s="24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>
        <f t="shared" ref="CU135:CU148" si="195">SUM(Q135:CT135)-P135</f>
        <v>106.5</v>
      </c>
      <c r="CV135" s="25">
        <f t="shared" ref="CV135:CV148" si="196">CU135-M135</f>
        <v>0</v>
      </c>
    </row>
    <row r="136" spans="1:100" x14ac:dyDescent="0.2">
      <c r="A136" s="2">
        <v>45893</v>
      </c>
      <c r="B136" s="3" t="s">
        <v>841</v>
      </c>
      <c r="C136" s="4" t="s">
        <v>886</v>
      </c>
      <c r="D136" s="5" t="s">
        <v>133</v>
      </c>
      <c r="E136" s="6" t="s">
        <v>266</v>
      </c>
      <c r="F136" s="7"/>
      <c r="G136" s="8"/>
      <c r="H136" s="9"/>
      <c r="I136" s="10"/>
      <c r="J136" s="11" t="s">
        <v>842</v>
      </c>
      <c r="K136" s="12">
        <v>1.9</v>
      </c>
      <c r="L136" s="13">
        <v>60</v>
      </c>
      <c r="M136" s="14">
        <f t="shared" si="191"/>
        <v>114</v>
      </c>
      <c r="N136" s="15"/>
      <c r="O136" s="16" t="s">
        <v>137</v>
      </c>
      <c r="P136" s="17"/>
      <c r="Q136" s="18"/>
      <c r="R136" s="17">
        <f>M136+P136-Q136</f>
        <v>114</v>
      </c>
      <c r="S136" s="19"/>
      <c r="T136" s="19"/>
      <c r="U136" s="19"/>
      <c r="V136" s="19"/>
      <c r="W136" s="17"/>
      <c r="X136" s="20"/>
      <c r="Y136" s="19"/>
      <c r="Z136" s="19"/>
      <c r="AA136" s="19"/>
      <c r="AB136" s="19"/>
      <c r="AC136" s="19"/>
      <c r="AD136" s="19"/>
      <c r="AE136" s="5"/>
      <c r="AF136" s="19"/>
      <c r="AG136" s="5"/>
      <c r="AH136" s="17"/>
      <c r="AI136" s="19"/>
      <c r="AJ136" s="19"/>
      <c r="AK136" s="19"/>
      <c r="AL136" s="19"/>
      <c r="AM136" s="17"/>
      <c r="AN136" s="19"/>
      <c r="AO136" s="19"/>
      <c r="AP136" s="19"/>
      <c r="AQ136" s="19"/>
      <c r="AR136" s="19"/>
      <c r="AS136" s="21"/>
      <c r="AT136" s="5"/>
      <c r="AU136" s="19"/>
      <c r="AV136" s="5"/>
      <c r="AW136" s="22"/>
      <c r="AX136" s="19"/>
      <c r="AY136" s="5"/>
      <c r="AZ136" s="19"/>
      <c r="BA136" s="5"/>
      <c r="BB136" s="5"/>
      <c r="BC136" s="19"/>
      <c r="BD136" s="19"/>
      <c r="BE136" s="19"/>
      <c r="BF136" s="19"/>
      <c r="BG136" s="19"/>
      <c r="BH136" s="19"/>
      <c r="BI136" s="19"/>
      <c r="BJ136" s="19"/>
      <c r="BK136" s="13"/>
      <c r="BL136" s="5"/>
      <c r="BM136" s="5"/>
      <c r="BN136" s="19"/>
      <c r="BO136" s="17"/>
      <c r="BP136" s="19"/>
      <c r="BQ136" s="17"/>
      <c r="BR136" s="19"/>
      <c r="BS136" s="13"/>
      <c r="BT136" s="5"/>
      <c r="BU136" s="23"/>
      <c r="BV136" s="23"/>
      <c r="BW136" s="24"/>
      <c r="BX136" s="5"/>
      <c r="BY136" s="5"/>
      <c r="BZ136" s="5"/>
      <c r="CA136" s="24"/>
      <c r="CB136" s="24"/>
      <c r="CC136" s="24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>
        <f t="shared" si="195"/>
        <v>114</v>
      </c>
      <c r="CV136" s="25">
        <f t="shared" si="196"/>
        <v>0</v>
      </c>
    </row>
    <row r="137" spans="1:100" x14ac:dyDescent="0.2">
      <c r="A137" s="27"/>
      <c r="B137" s="28"/>
      <c r="C137" s="29"/>
      <c r="D137" s="30"/>
      <c r="E137" s="31"/>
      <c r="F137" s="32"/>
      <c r="G137" s="33"/>
      <c r="H137" s="34"/>
      <c r="I137" s="34"/>
      <c r="J137" s="35"/>
      <c r="K137" s="36"/>
      <c r="L137" s="37"/>
      <c r="M137" s="38">
        <f>SUM(M136:M136)</f>
        <v>114</v>
      </c>
      <c r="N137" s="38"/>
      <c r="O137" s="39" t="s">
        <v>137</v>
      </c>
      <c r="P137" s="38"/>
      <c r="Q137" s="38"/>
      <c r="R137" s="38">
        <f>SUM(R136:R136)</f>
        <v>114</v>
      </c>
      <c r="S137" s="38">
        <f t="shared" ref="S137:AD137" si="197">SUM(S136:S136)</f>
        <v>0</v>
      </c>
      <c r="T137" s="38">
        <f t="shared" si="197"/>
        <v>0</v>
      </c>
      <c r="U137" s="38">
        <f t="shared" si="197"/>
        <v>0</v>
      </c>
      <c r="V137" s="38">
        <f t="shared" si="197"/>
        <v>0</v>
      </c>
      <c r="W137" s="38">
        <f t="shared" si="197"/>
        <v>0</v>
      </c>
      <c r="X137" s="38">
        <f t="shared" si="197"/>
        <v>0</v>
      </c>
      <c r="Y137" s="38">
        <f t="shared" si="197"/>
        <v>0</v>
      </c>
      <c r="Z137" s="38">
        <f t="shared" si="197"/>
        <v>0</v>
      </c>
      <c r="AA137" s="38">
        <f t="shared" si="197"/>
        <v>0</v>
      </c>
      <c r="AB137" s="38">
        <f t="shared" si="197"/>
        <v>0</v>
      </c>
      <c r="AC137" s="38">
        <f t="shared" si="197"/>
        <v>0</v>
      </c>
      <c r="AD137" s="38">
        <f t="shared" si="197"/>
        <v>0</v>
      </c>
      <c r="AE137" s="30"/>
      <c r="AF137" s="38">
        <f>SUM(AF136:AF136)</f>
        <v>0</v>
      </c>
      <c r="AG137" s="30"/>
      <c r="AH137" s="38">
        <f t="shared" ref="AH137:AZ137" si="198">SUM(AH136:AH136)</f>
        <v>0</v>
      </c>
      <c r="AI137" s="38">
        <f t="shared" si="198"/>
        <v>0</v>
      </c>
      <c r="AJ137" s="38">
        <f t="shared" si="198"/>
        <v>0</v>
      </c>
      <c r="AK137" s="38">
        <f t="shared" si="198"/>
        <v>0</v>
      </c>
      <c r="AL137" s="38">
        <f t="shared" si="198"/>
        <v>0</v>
      </c>
      <c r="AM137" s="38">
        <f t="shared" si="198"/>
        <v>0</v>
      </c>
      <c r="AN137" s="38">
        <f t="shared" si="198"/>
        <v>0</v>
      </c>
      <c r="AO137" s="38">
        <f t="shared" si="198"/>
        <v>0</v>
      </c>
      <c r="AP137" s="38">
        <f t="shared" si="198"/>
        <v>0</v>
      </c>
      <c r="AQ137" s="38">
        <f t="shared" si="198"/>
        <v>0</v>
      </c>
      <c r="AR137" s="38">
        <f t="shared" si="198"/>
        <v>0</v>
      </c>
      <c r="AS137" s="38">
        <f t="shared" si="198"/>
        <v>0</v>
      </c>
      <c r="AT137" s="38">
        <f t="shared" si="198"/>
        <v>0</v>
      </c>
      <c r="AU137" s="38">
        <f t="shared" si="198"/>
        <v>0</v>
      </c>
      <c r="AV137" s="38">
        <f t="shared" si="198"/>
        <v>0</v>
      </c>
      <c r="AW137" s="38">
        <f t="shared" si="198"/>
        <v>0</v>
      </c>
      <c r="AX137" s="38">
        <f t="shared" si="198"/>
        <v>0</v>
      </c>
      <c r="AY137" s="38">
        <f t="shared" si="198"/>
        <v>0</v>
      </c>
      <c r="AZ137" s="38">
        <f t="shared" si="198"/>
        <v>0</v>
      </c>
      <c r="BA137" s="30"/>
      <c r="BB137" s="38">
        <f t="shared" ref="BB137:CT137" si="199">SUM(BB136:BB136)</f>
        <v>0</v>
      </c>
      <c r="BC137" s="38">
        <f t="shared" si="199"/>
        <v>0</v>
      </c>
      <c r="BD137" s="38">
        <f t="shared" si="199"/>
        <v>0</v>
      </c>
      <c r="BE137" s="38">
        <f t="shared" si="199"/>
        <v>0</v>
      </c>
      <c r="BF137" s="38">
        <f t="shared" si="199"/>
        <v>0</v>
      </c>
      <c r="BG137" s="38">
        <f t="shared" si="199"/>
        <v>0</v>
      </c>
      <c r="BH137" s="38">
        <f t="shared" si="199"/>
        <v>0</v>
      </c>
      <c r="BI137" s="38">
        <f t="shared" si="199"/>
        <v>0</v>
      </c>
      <c r="BJ137" s="38">
        <f t="shared" si="199"/>
        <v>0</v>
      </c>
      <c r="BK137" s="38">
        <f t="shared" si="199"/>
        <v>0</v>
      </c>
      <c r="BL137" s="38">
        <f t="shared" si="199"/>
        <v>0</v>
      </c>
      <c r="BM137" s="38">
        <f t="shared" si="199"/>
        <v>0</v>
      </c>
      <c r="BN137" s="38">
        <f t="shared" si="199"/>
        <v>0</v>
      </c>
      <c r="BO137" s="38">
        <f t="shared" si="199"/>
        <v>0</v>
      </c>
      <c r="BP137" s="38">
        <f t="shared" si="199"/>
        <v>0</v>
      </c>
      <c r="BQ137" s="38">
        <f t="shared" si="199"/>
        <v>0</v>
      </c>
      <c r="BR137" s="38">
        <f t="shared" si="199"/>
        <v>0</v>
      </c>
      <c r="BS137" s="38">
        <f t="shared" si="199"/>
        <v>0</v>
      </c>
      <c r="BT137" s="38">
        <f t="shared" si="199"/>
        <v>0</v>
      </c>
      <c r="BU137" s="38">
        <f t="shared" si="199"/>
        <v>0</v>
      </c>
      <c r="BV137" s="38">
        <f t="shared" si="199"/>
        <v>0</v>
      </c>
      <c r="BW137" s="38">
        <f t="shared" si="199"/>
        <v>0</v>
      </c>
      <c r="BX137" s="38">
        <f t="shared" si="199"/>
        <v>0</v>
      </c>
      <c r="BY137" s="38">
        <f t="shared" si="199"/>
        <v>0</v>
      </c>
      <c r="BZ137" s="38">
        <f t="shared" si="199"/>
        <v>0</v>
      </c>
      <c r="CA137" s="38">
        <f t="shared" si="199"/>
        <v>0</v>
      </c>
      <c r="CB137" s="38">
        <f t="shared" si="199"/>
        <v>0</v>
      </c>
      <c r="CC137" s="38">
        <f t="shared" si="199"/>
        <v>0</v>
      </c>
      <c r="CD137" s="38">
        <f t="shared" si="199"/>
        <v>0</v>
      </c>
      <c r="CE137" s="38">
        <f t="shared" si="199"/>
        <v>0</v>
      </c>
      <c r="CF137" s="38">
        <f t="shared" si="199"/>
        <v>0</v>
      </c>
      <c r="CG137" s="38">
        <f t="shared" si="199"/>
        <v>0</v>
      </c>
      <c r="CH137" s="38">
        <f t="shared" si="199"/>
        <v>0</v>
      </c>
      <c r="CI137" s="38">
        <f t="shared" si="199"/>
        <v>0</v>
      </c>
      <c r="CJ137" s="38">
        <f t="shared" si="199"/>
        <v>0</v>
      </c>
      <c r="CK137" s="38">
        <f t="shared" si="199"/>
        <v>0</v>
      </c>
      <c r="CL137" s="38">
        <f t="shared" si="199"/>
        <v>0</v>
      </c>
      <c r="CM137" s="38">
        <f t="shared" si="199"/>
        <v>0</v>
      </c>
      <c r="CN137" s="38">
        <f t="shared" si="199"/>
        <v>0</v>
      </c>
      <c r="CO137" s="38">
        <f t="shared" si="199"/>
        <v>0</v>
      </c>
      <c r="CP137" s="38">
        <f t="shared" si="199"/>
        <v>0</v>
      </c>
      <c r="CQ137" s="38">
        <f t="shared" si="199"/>
        <v>0</v>
      </c>
      <c r="CR137" s="38">
        <f t="shared" si="199"/>
        <v>0</v>
      </c>
      <c r="CS137" s="38">
        <f t="shared" si="199"/>
        <v>0</v>
      </c>
      <c r="CT137" s="38">
        <f t="shared" si="199"/>
        <v>0</v>
      </c>
      <c r="CU137" s="17">
        <f t="shared" si="195"/>
        <v>114</v>
      </c>
      <c r="CV137" s="25">
        <f t="shared" si="196"/>
        <v>0</v>
      </c>
    </row>
    <row r="138" spans="1:100" x14ac:dyDescent="0.2">
      <c r="A138" s="2">
        <v>45862</v>
      </c>
      <c r="B138" s="3" t="s">
        <v>841</v>
      </c>
      <c r="C138" s="4" t="s">
        <v>885</v>
      </c>
      <c r="D138" s="5" t="s">
        <v>133</v>
      </c>
      <c r="E138" s="6" t="s">
        <v>266</v>
      </c>
      <c r="F138" s="7"/>
      <c r="G138" s="8"/>
      <c r="H138" s="9"/>
      <c r="I138" s="10"/>
      <c r="J138" s="11" t="s">
        <v>342</v>
      </c>
      <c r="K138" s="12">
        <f>M138/L138</f>
        <v>7.1428571428571432</v>
      </c>
      <c r="L138" s="13">
        <v>70</v>
      </c>
      <c r="M138" s="14">
        <v>500</v>
      </c>
      <c r="N138" s="15"/>
      <c r="O138" s="16" t="s">
        <v>137</v>
      </c>
      <c r="P138" s="17"/>
      <c r="Q138" s="18"/>
      <c r="R138" s="17">
        <f>M138+P138-Q138</f>
        <v>500</v>
      </c>
      <c r="S138" s="19"/>
      <c r="T138" s="19"/>
      <c r="U138" s="19"/>
      <c r="V138" s="19"/>
      <c r="W138" s="17"/>
      <c r="X138" s="20"/>
      <c r="Y138" s="19"/>
      <c r="Z138" s="19"/>
      <c r="AA138" s="19"/>
      <c r="AB138" s="19"/>
      <c r="AC138" s="19"/>
      <c r="AD138" s="19"/>
      <c r="AE138" s="5"/>
      <c r="AF138" s="19"/>
      <c r="AG138" s="5"/>
      <c r="AH138" s="17"/>
      <c r="AI138" s="19"/>
      <c r="AJ138" s="19"/>
      <c r="AK138" s="19"/>
      <c r="AL138" s="19"/>
      <c r="AM138" s="17"/>
      <c r="AN138" s="19"/>
      <c r="AO138" s="19"/>
      <c r="AP138" s="19"/>
      <c r="AQ138" s="19"/>
      <c r="AR138" s="19"/>
      <c r="AS138" s="21"/>
      <c r="AT138" s="5"/>
      <c r="AU138" s="19"/>
      <c r="AV138" s="5"/>
      <c r="AW138" s="22"/>
      <c r="AX138" s="19"/>
      <c r="AY138" s="5"/>
      <c r="AZ138" s="19"/>
      <c r="BA138" s="5"/>
      <c r="BB138" s="5"/>
      <c r="BC138" s="19"/>
      <c r="BD138" s="19"/>
      <c r="BE138" s="19"/>
      <c r="BF138" s="19"/>
      <c r="BG138" s="19"/>
      <c r="BH138" s="19"/>
      <c r="BI138" s="19"/>
      <c r="BJ138" s="19"/>
      <c r="BK138" s="13"/>
      <c r="BL138" s="5"/>
      <c r="BM138" s="5"/>
      <c r="BN138" s="19"/>
      <c r="BO138" s="17"/>
      <c r="BP138" s="19"/>
      <c r="BQ138" s="17"/>
      <c r="BR138" s="19"/>
      <c r="BS138" s="13"/>
      <c r="BT138" s="5"/>
      <c r="BU138" s="23"/>
      <c r="BV138" s="23"/>
      <c r="BW138" s="24"/>
      <c r="BX138" s="5"/>
      <c r="BY138" s="5"/>
      <c r="BZ138" s="5"/>
      <c r="CA138" s="24"/>
      <c r="CB138" s="24"/>
      <c r="CC138" s="24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>
        <f t="shared" si="195"/>
        <v>500</v>
      </c>
      <c r="CV138" s="25">
        <f t="shared" si="196"/>
        <v>0</v>
      </c>
    </row>
    <row r="139" spans="1:100" x14ac:dyDescent="0.2">
      <c r="A139" s="2"/>
      <c r="B139" s="3"/>
      <c r="C139" s="4"/>
      <c r="D139" s="5"/>
      <c r="E139" s="6"/>
      <c r="F139" s="7"/>
      <c r="G139" s="8"/>
      <c r="H139" s="9"/>
      <c r="I139" s="10"/>
      <c r="J139" s="11" t="s">
        <v>337</v>
      </c>
      <c r="K139" s="12">
        <f>M139/L139</f>
        <v>10.78</v>
      </c>
      <c r="L139" s="13">
        <v>50</v>
      </c>
      <c r="M139" s="14">
        <v>539</v>
      </c>
      <c r="N139" s="15"/>
      <c r="O139" s="16" t="s">
        <v>137</v>
      </c>
      <c r="P139" s="17"/>
      <c r="Q139" s="18"/>
      <c r="R139" s="17">
        <f t="shared" ref="R139" si="200">M139+P139-Q139</f>
        <v>539</v>
      </c>
      <c r="S139" s="19"/>
      <c r="T139" s="19"/>
      <c r="U139" s="19"/>
      <c r="V139" s="19"/>
      <c r="W139" s="17"/>
      <c r="X139" s="20"/>
      <c r="Y139" s="19"/>
      <c r="Z139" s="19"/>
      <c r="AA139" s="19"/>
      <c r="AB139" s="19"/>
      <c r="AC139" s="19"/>
      <c r="AD139" s="19"/>
      <c r="AE139" s="5"/>
      <c r="AF139" s="19"/>
      <c r="AG139" s="5"/>
      <c r="AH139" s="17"/>
      <c r="AI139" s="19"/>
      <c r="AJ139" s="19"/>
      <c r="AK139" s="19"/>
      <c r="AL139" s="19"/>
      <c r="AM139" s="17"/>
      <c r="AN139" s="19"/>
      <c r="AO139" s="19"/>
      <c r="AP139" s="19"/>
      <c r="AQ139" s="19"/>
      <c r="AR139" s="19"/>
      <c r="AS139" s="21"/>
      <c r="AT139" s="5"/>
      <c r="AU139" s="19"/>
      <c r="AV139" s="5"/>
      <c r="AW139" s="22"/>
      <c r="AX139" s="19"/>
      <c r="AY139" s="5"/>
      <c r="AZ139" s="19"/>
      <c r="BA139" s="5"/>
      <c r="BB139" s="5"/>
      <c r="BC139" s="19"/>
      <c r="BD139" s="19"/>
      <c r="BE139" s="19"/>
      <c r="BF139" s="19"/>
      <c r="BG139" s="19"/>
      <c r="BH139" s="19"/>
      <c r="BI139" s="19"/>
      <c r="BJ139" s="19"/>
      <c r="BK139" s="13"/>
      <c r="BL139" s="5"/>
      <c r="BM139" s="5"/>
      <c r="BN139" s="19"/>
      <c r="BO139" s="17"/>
      <c r="BP139" s="19"/>
      <c r="BQ139" s="17"/>
      <c r="BR139" s="19"/>
      <c r="BS139" s="13"/>
      <c r="BT139" s="5"/>
      <c r="BU139" s="23"/>
      <c r="BV139" s="23"/>
      <c r="BW139" s="24"/>
      <c r="BX139" s="5"/>
      <c r="BY139" s="5"/>
      <c r="BZ139" s="5"/>
      <c r="CA139" s="24"/>
      <c r="CB139" s="24"/>
      <c r="CC139" s="24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>
        <f t="shared" si="195"/>
        <v>539</v>
      </c>
      <c r="CV139" s="25">
        <f t="shared" si="196"/>
        <v>0</v>
      </c>
    </row>
    <row r="140" spans="1:100" x14ac:dyDescent="0.2">
      <c r="A140" s="27"/>
      <c r="B140" s="28"/>
      <c r="C140" s="29"/>
      <c r="D140" s="30"/>
      <c r="E140" s="31"/>
      <c r="F140" s="32"/>
      <c r="G140" s="33"/>
      <c r="H140" s="34"/>
      <c r="I140" s="34"/>
      <c r="J140" s="35"/>
      <c r="K140" s="36"/>
      <c r="L140" s="37"/>
      <c r="M140" s="38">
        <f>SUM(M138:M139)</f>
        <v>1039</v>
      </c>
      <c r="N140" s="38"/>
      <c r="O140" s="39" t="s">
        <v>844</v>
      </c>
      <c r="P140" s="38"/>
      <c r="Q140" s="38"/>
      <c r="R140" s="38">
        <f>SUM(R138:R139)</f>
        <v>1039</v>
      </c>
      <c r="S140" s="38">
        <f t="shared" ref="S140:AD140" si="201">SUM(S138:S138)</f>
        <v>0</v>
      </c>
      <c r="T140" s="38">
        <f t="shared" si="201"/>
        <v>0</v>
      </c>
      <c r="U140" s="38">
        <f t="shared" si="201"/>
        <v>0</v>
      </c>
      <c r="V140" s="38">
        <f t="shared" si="201"/>
        <v>0</v>
      </c>
      <c r="W140" s="38">
        <f t="shared" si="201"/>
        <v>0</v>
      </c>
      <c r="X140" s="38">
        <f t="shared" si="201"/>
        <v>0</v>
      </c>
      <c r="Y140" s="38">
        <f t="shared" si="201"/>
        <v>0</v>
      </c>
      <c r="Z140" s="38">
        <f t="shared" si="201"/>
        <v>0</v>
      </c>
      <c r="AA140" s="38">
        <f t="shared" si="201"/>
        <v>0</v>
      </c>
      <c r="AB140" s="38">
        <f t="shared" si="201"/>
        <v>0</v>
      </c>
      <c r="AC140" s="38">
        <f t="shared" si="201"/>
        <v>0</v>
      </c>
      <c r="AD140" s="38">
        <f t="shared" si="201"/>
        <v>0</v>
      </c>
      <c r="AE140" s="30"/>
      <c r="AF140" s="38">
        <f>SUM(AF138:AF138)</f>
        <v>0</v>
      </c>
      <c r="AG140" s="30"/>
      <c r="AH140" s="38">
        <f t="shared" ref="AH140:AZ140" si="202">SUM(AH138:AH138)</f>
        <v>0</v>
      </c>
      <c r="AI140" s="38">
        <f t="shared" si="202"/>
        <v>0</v>
      </c>
      <c r="AJ140" s="38">
        <f t="shared" si="202"/>
        <v>0</v>
      </c>
      <c r="AK140" s="38">
        <f t="shared" si="202"/>
        <v>0</v>
      </c>
      <c r="AL140" s="38">
        <f t="shared" si="202"/>
        <v>0</v>
      </c>
      <c r="AM140" s="38">
        <f t="shared" si="202"/>
        <v>0</v>
      </c>
      <c r="AN140" s="38">
        <f t="shared" si="202"/>
        <v>0</v>
      </c>
      <c r="AO140" s="38">
        <f t="shared" si="202"/>
        <v>0</v>
      </c>
      <c r="AP140" s="38">
        <f t="shared" si="202"/>
        <v>0</v>
      </c>
      <c r="AQ140" s="38">
        <f t="shared" si="202"/>
        <v>0</v>
      </c>
      <c r="AR140" s="38">
        <f t="shared" si="202"/>
        <v>0</v>
      </c>
      <c r="AS140" s="38">
        <f t="shared" si="202"/>
        <v>0</v>
      </c>
      <c r="AT140" s="38">
        <f t="shared" si="202"/>
        <v>0</v>
      </c>
      <c r="AU140" s="38">
        <f t="shared" si="202"/>
        <v>0</v>
      </c>
      <c r="AV140" s="38">
        <f t="shared" si="202"/>
        <v>0</v>
      </c>
      <c r="AW140" s="38">
        <f t="shared" si="202"/>
        <v>0</v>
      </c>
      <c r="AX140" s="38">
        <f t="shared" si="202"/>
        <v>0</v>
      </c>
      <c r="AY140" s="38">
        <f t="shared" si="202"/>
        <v>0</v>
      </c>
      <c r="AZ140" s="38">
        <f t="shared" si="202"/>
        <v>0</v>
      </c>
      <c r="BA140" s="30"/>
      <c r="BB140" s="38">
        <f t="shared" ref="BB140:CT140" si="203">SUM(BB138:BB138)</f>
        <v>0</v>
      </c>
      <c r="BC140" s="38">
        <f t="shared" si="203"/>
        <v>0</v>
      </c>
      <c r="BD140" s="38">
        <f t="shared" si="203"/>
        <v>0</v>
      </c>
      <c r="BE140" s="38">
        <f t="shared" si="203"/>
        <v>0</v>
      </c>
      <c r="BF140" s="38">
        <f t="shared" si="203"/>
        <v>0</v>
      </c>
      <c r="BG140" s="38">
        <f t="shared" si="203"/>
        <v>0</v>
      </c>
      <c r="BH140" s="38">
        <f t="shared" si="203"/>
        <v>0</v>
      </c>
      <c r="BI140" s="38">
        <f t="shared" si="203"/>
        <v>0</v>
      </c>
      <c r="BJ140" s="38">
        <f t="shared" si="203"/>
        <v>0</v>
      </c>
      <c r="BK140" s="38">
        <f t="shared" si="203"/>
        <v>0</v>
      </c>
      <c r="BL140" s="38">
        <f t="shared" si="203"/>
        <v>0</v>
      </c>
      <c r="BM140" s="38">
        <f t="shared" si="203"/>
        <v>0</v>
      </c>
      <c r="BN140" s="38">
        <f t="shared" si="203"/>
        <v>0</v>
      </c>
      <c r="BO140" s="38">
        <f t="shared" si="203"/>
        <v>0</v>
      </c>
      <c r="BP140" s="38">
        <f t="shared" si="203"/>
        <v>0</v>
      </c>
      <c r="BQ140" s="38">
        <f t="shared" si="203"/>
        <v>0</v>
      </c>
      <c r="BR140" s="38">
        <f t="shared" si="203"/>
        <v>0</v>
      </c>
      <c r="BS140" s="38">
        <f t="shared" si="203"/>
        <v>0</v>
      </c>
      <c r="BT140" s="38">
        <f t="shared" si="203"/>
        <v>0</v>
      </c>
      <c r="BU140" s="38">
        <f t="shared" si="203"/>
        <v>0</v>
      </c>
      <c r="BV140" s="38">
        <f t="shared" si="203"/>
        <v>0</v>
      </c>
      <c r="BW140" s="38">
        <f t="shared" si="203"/>
        <v>0</v>
      </c>
      <c r="BX140" s="38">
        <f t="shared" si="203"/>
        <v>0</v>
      </c>
      <c r="BY140" s="38">
        <f t="shared" si="203"/>
        <v>0</v>
      </c>
      <c r="BZ140" s="38">
        <f t="shared" si="203"/>
        <v>0</v>
      </c>
      <c r="CA140" s="38">
        <f t="shared" si="203"/>
        <v>0</v>
      </c>
      <c r="CB140" s="38">
        <f t="shared" si="203"/>
        <v>0</v>
      </c>
      <c r="CC140" s="38">
        <f t="shared" si="203"/>
        <v>0</v>
      </c>
      <c r="CD140" s="38">
        <f t="shared" si="203"/>
        <v>0</v>
      </c>
      <c r="CE140" s="38">
        <f t="shared" si="203"/>
        <v>0</v>
      </c>
      <c r="CF140" s="38">
        <f t="shared" si="203"/>
        <v>0</v>
      </c>
      <c r="CG140" s="38">
        <f t="shared" si="203"/>
        <v>0</v>
      </c>
      <c r="CH140" s="38">
        <f t="shared" si="203"/>
        <v>0</v>
      </c>
      <c r="CI140" s="38">
        <f t="shared" si="203"/>
        <v>0</v>
      </c>
      <c r="CJ140" s="38">
        <f t="shared" si="203"/>
        <v>0</v>
      </c>
      <c r="CK140" s="38">
        <f t="shared" si="203"/>
        <v>0</v>
      </c>
      <c r="CL140" s="38">
        <f t="shared" si="203"/>
        <v>0</v>
      </c>
      <c r="CM140" s="38">
        <f t="shared" si="203"/>
        <v>0</v>
      </c>
      <c r="CN140" s="38">
        <f t="shared" si="203"/>
        <v>0</v>
      </c>
      <c r="CO140" s="38">
        <f t="shared" si="203"/>
        <v>0</v>
      </c>
      <c r="CP140" s="38">
        <f t="shared" si="203"/>
        <v>0</v>
      </c>
      <c r="CQ140" s="38">
        <f t="shared" si="203"/>
        <v>0</v>
      </c>
      <c r="CR140" s="38">
        <f t="shared" si="203"/>
        <v>0</v>
      </c>
      <c r="CS140" s="38">
        <f t="shared" si="203"/>
        <v>0</v>
      </c>
      <c r="CT140" s="38">
        <f t="shared" si="203"/>
        <v>0</v>
      </c>
      <c r="CU140" s="17">
        <f t="shared" si="195"/>
        <v>1039</v>
      </c>
      <c r="CV140" s="25">
        <f t="shared" si="196"/>
        <v>0</v>
      </c>
    </row>
    <row r="141" spans="1:100" x14ac:dyDescent="0.2">
      <c r="A141" s="2">
        <v>45893</v>
      </c>
      <c r="B141" s="3" t="s">
        <v>841</v>
      </c>
      <c r="C141" s="4" t="s">
        <v>884</v>
      </c>
      <c r="D141" s="5" t="s">
        <v>133</v>
      </c>
      <c r="E141" s="6" t="s">
        <v>266</v>
      </c>
      <c r="F141" s="7"/>
      <c r="G141" s="8"/>
      <c r="H141" s="9"/>
      <c r="I141" s="10"/>
      <c r="J141" s="11" t="s">
        <v>663</v>
      </c>
      <c r="K141" s="12">
        <v>2</v>
      </c>
      <c r="L141" s="13">
        <v>100</v>
      </c>
      <c r="M141" s="14">
        <f t="shared" ref="M141:M143" si="204">L141*K141</f>
        <v>200</v>
      </c>
      <c r="N141" s="15"/>
      <c r="O141" s="16" t="s">
        <v>137</v>
      </c>
      <c r="P141" s="17"/>
      <c r="Q141" s="18"/>
      <c r="R141" s="17">
        <f>M141+P141-Q141</f>
        <v>200</v>
      </c>
      <c r="S141" s="19"/>
      <c r="T141" s="19"/>
      <c r="U141" s="19"/>
      <c r="V141" s="19"/>
      <c r="W141" s="17"/>
      <c r="X141" s="20"/>
      <c r="Y141" s="19"/>
      <c r="Z141" s="19"/>
      <c r="AA141" s="19"/>
      <c r="AB141" s="19"/>
      <c r="AC141" s="19"/>
      <c r="AD141" s="19"/>
      <c r="AE141" s="5"/>
      <c r="AF141" s="19"/>
      <c r="AG141" s="5"/>
      <c r="AH141" s="17"/>
      <c r="AI141" s="19"/>
      <c r="AJ141" s="19"/>
      <c r="AK141" s="19"/>
      <c r="AL141" s="19"/>
      <c r="AM141" s="17"/>
      <c r="AN141" s="19"/>
      <c r="AO141" s="19"/>
      <c r="AP141" s="19"/>
      <c r="AQ141" s="19"/>
      <c r="AR141" s="19"/>
      <c r="AS141" s="21"/>
      <c r="AT141" s="5"/>
      <c r="AU141" s="19"/>
      <c r="AV141" s="5"/>
      <c r="AW141" s="22"/>
      <c r="AX141" s="19"/>
      <c r="AY141" s="5"/>
      <c r="AZ141" s="19"/>
      <c r="BA141" s="5"/>
      <c r="BB141" s="5"/>
      <c r="BC141" s="19"/>
      <c r="BD141" s="19"/>
      <c r="BE141" s="19"/>
      <c r="BF141" s="19"/>
      <c r="BG141" s="19"/>
      <c r="BH141" s="19"/>
      <c r="BI141" s="19"/>
      <c r="BJ141" s="19"/>
      <c r="BK141" s="13"/>
      <c r="BL141" s="5"/>
      <c r="BM141" s="5"/>
      <c r="BN141" s="19"/>
      <c r="BO141" s="17"/>
      <c r="BP141" s="19"/>
      <c r="BQ141" s="17"/>
      <c r="BR141" s="19"/>
      <c r="BS141" s="13"/>
      <c r="BT141" s="5"/>
      <c r="BU141" s="23"/>
      <c r="BV141" s="23"/>
      <c r="BW141" s="24"/>
      <c r="BX141" s="5"/>
      <c r="BY141" s="5"/>
      <c r="BZ141" s="5"/>
      <c r="CA141" s="24"/>
      <c r="CB141" s="24"/>
      <c r="CC141" s="24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>
        <f t="shared" si="195"/>
        <v>200</v>
      </c>
      <c r="CV141" s="25">
        <f t="shared" si="196"/>
        <v>0</v>
      </c>
    </row>
    <row r="142" spans="1:100" x14ac:dyDescent="0.2">
      <c r="A142" s="2"/>
      <c r="B142" s="3"/>
      <c r="C142" s="4"/>
      <c r="D142" s="5"/>
      <c r="E142" s="6"/>
      <c r="F142" s="7"/>
      <c r="G142" s="8"/>
      <c r="H142" s="9"/>
      <c r="I142" s="10"/>
      <c r="J142" s="11" t="s">
        <v>664</v>
      </c>
      <c r="K142" s="12">
        <v>1</v>
      </c>
      <c r="L142" s="13">
        <v>150</v>
      </c>
      <c r="M142" s="14">
        <f t="shared" si="204"/>
        <v>150</v>
      </c>
      <c r="N142" s="15"/>
      <c r="O142" s="16" t="s">
        <v>137</v>
      </c>
      <c r="P142" s="17"/>
      <c r="Q142" s="18"/>
      <c r="R142" s="17">
        <f t="shared" ref="R142:R143" si="205">M142+P142-Q142</f>
        <v>150</v>
      </c>
      <c r="S142" s="19"/>
      <c r="T142" s="19"/>
      <c r="U142" s="19"/>
      <c r="V142" s="19"/>
      <c r="W142" s="17"/>
      <c r="X142" s="20"/>
      <c r="Y142" s="19"/>
      <c r="Z142" s="19"/>
      <c r="AA142" s="19"/>
      <c r="AB142" s="19"/>
      <c r="AC142" s="19"/>
      <c r="AD142" s="19"/>
      <c r="AE142" s="5"/>
      <c r="AF142" s="19"/>
      <c r="AG142" s="5"/>
      <c r="AH142" s="17"/>
      <c r="AI142" s="19"/>
      <c r="AJ142" s="19"/>
      <c r="AK142" s="19"/>
      <c r="AL142" s="19"/>
      <c r="AM142" s="17"/>
      <c r="AN142" s="19"/>
      <c r="AO142" s="19"/>
      <c r="AP142" s="19"/>
      <c r="AQ142" s="19"/>
      <c r="AR142" s="19"/>
      <c r="AS142" s="21"/>
      <c r="AT142" s="5"/>
      <c r="AU142" s="19"/>
      <c r="AV142" s="5"/>
      <c r="AW142" s="22"/>
      <c r="AX142" s="19"/>
      <c r="AY142" s="5"/>
      <c r="AZ142" s="19"/>
      <c r="BA142" s="5"/>
      <c r="BB142" s="5"/>
      <c r="BC142" s="19"/>
      <c r="BD142" s="19"/>
      <c r="BE142" s="19"/>
      <c r="BF142" s="19"/>
      <c r="BG142" s="19"/>
      <c r="BH142" s="19"/>
      <c r="BI142" s="19"/>
      <c r="BJ142" s="19"/>
      <c r="BK142" s="13"/>
      <c r="BL142" s="5"/>
      <c r="BM142" s="5"/>
      <c r="BN142" s="19"/>
      <c r="BO142" s="17"/>
      <c r="BP142" s="19"/>
      <c r="BQ142" s="17"/>
      <c r="BR142" s="19"/>
      <c r="BS142" s="13"/>
      <c r="BT142" s="5"/>
      <c r="BU142" s="23"/>
      <c r="BV142" s="23"/>
      <c r="BW142" s="24"/>
      <c r="BX142" s="5"/>
      <c r="BY142" s="5"/>
      <c r="BZ142" s="5"/>
      <c r="CA142" s="24"/>
      <c r="CB142" s="24"/>
      <c r="CC142" s="24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>
        <f t="shared" si="195"/>
        <v>150</v>
      </c>
      <c r="CV142" s="25">
        <f t="shared" si="196"/>
        <v>0</v>
      </c>
    </row>
    <row r="143" spans="1:100" x14ac:dyDescent="0.2">
      <c r="A143" s="2"/>
      <c r="B143" s="3"/>
      <c r="C143" s="4"/>
      <c r="D143" s="5"/>
      <c r="E143" s="6"/>
      <c r="F143" s="7"/>
      <c r="G143" s="8"/>
      <c r="H143" s="9"/>
      <c r="I143" s="10"/>
      <c r="J143" s="11" t="s">
        <v>843</v>
      </c>
      <c r="K143" s="12">
        <v>1</v>
      </c>
      <c r="L143" s="13">
        <v>90</v>
      </c>
      <c r="M143" s="14">
        <f t="shared" si="204"/>
        <v>90</v>
      </c>
      <c r="N143" s="15"/>
      <c r="O143" s="16" t="s">
        <v>137</v>
      </c>
      <c r="P143" s="17"/>
      <c r="Q143" s="18"/>
      <c r="R143" s="17">
        <f t="shared" si="205"/>
        <v>90</v>
      </c>
      <c r="S143" s="19"/>
      <c r="T143" s="19"/>
      <c r="U143" s="19"/>
      <c r="V143" s="19"/>
      <c r="W143" s="17"/>
      <c r="X143" s="20"/>
      <c r="Y143" s="19"/>
      <c r="Z143" s="19"/>
      <c r="AA143" s="19"/>
      <c r="AB143" s="19"/>
      <c r="AC143" s="19"/>
      <c r="AD143" s="19"/>
      <c r="AE143" s="5"/>
      <c r="AF143" s="19"/>
      <c r="AG143" s="5"/>
      <c r="AH143" s="17"/>
      <c r="AI143" s="19"/>
      <c r="AJ143" s="19"/>
      <c r="AK143" s="19"/>
      <c r="AL143" s="19"/>
      <c r="AM143" s="17"/>
      <c r="AN143" s="19"/>
      <c r="AO143" s="19"/>
      <c r="AP143" s="19"/>
      <c r="AQ143" s="19"/>
      <c r="AR143" s="19"/>
      <c r="AS143" s="21"/>
      <c r="AT143" s="5"/>
      <c r="AU143" s="19"/>
      <c r="AV143" s="5"/>
      <c r="AW143" s="22"/>
      <c r="AX143" s="19"/>
      <c r="AY143" s="5"/>
      <c r="AZ143" s="19"/>
      <c r="BA143" s="5"/>
      <c r="BB143" s="5"/>
      <c r="BC143" s="19"/>
      <c r="BD143" s="19"/>
      <c r="BE143" s="19"/>
      <c r="BF143" s="19"/>
      <c r="BG143" s="19"/>
      <c r="BH143" s="19"/>
      <c r="BI143" s="19"/>
      <c r="BJ143" s="19"/>
      <c r="BK143" s="13"/>
      <c r="BL143" s="5"/>
      <c r="BM143" s="5"/>
      <c r="BN143" s="19"/>
      <c r="BO143" s="17"/>
      <c r="BP143" s="19"/>
      <c r="BQ143" s="17"/>
      <c r="BR143" s="19"/>
      <c r="BS143" s="13"/>
      <c r="BT143" s="5"/>
      <c r="BU143" s="23"/>
      <c r="BV143" s="23"/>
      <c r="BW143" s="24"/>
      <c r="BX143" s="5"/>
      <c r="BY143" s="5"/>
      <c r="BZ143" s="5"/>
      <c r="CA143" s="24"/>
      <c r="CB143" s="24"/>
      <c r="CC143" s="24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>
        <f t="shared" si="195"/>
        <v>90</v>
      </c>
      <c r="CV143" s="25">
        <f t="shared" si="196"/>
        <v>0</v>
      </c>
    </row>
    <row r="144" spans="1:100" s="205" customFormat="1" x14ac:dyDescent="0.2">
      <c r="A144" s="192"/>
      <c r="B144" s="193"/>
      <c r="C144" s="194"/>
      <c r="D144" s="195"/>
      <c r="E144" s="196"/>
      <c r="F144" s="197"/>
      <c r="G144" s="198"/>
      <c r="H144" s="199"/>
      <c r="I144" s="199"/>
      <c r="J144" s="200"/>
      <c r="K144" s="201"/>
      <c r="L144" s="202"/>
      <c r="M144" s="203">
        <f>SUM(M141:M143)</f>
        <v>440</v>
      </c>
      <c r="N144" s="203">
        <f>M144+M140+M137</f>
        <v>1593</v>
      </c>
      <c r="O144" s="204" t="s">
        <v>137</v>
      </c>
      <c r="P144" s="203"/>
      <c r="Q144" s="203"/>
      <c r="R144" s="203">
        <f>SUM(R141:R143)</f>
        <v>440</v>
      </c>
      <c r="S144" s="203">
        <f t="shared" ref="S144:AD144" si="206">SUM(S141:S141)</f>
        <v>0</v>
      </c>
      <c r="T144" s="203">
        <f t="shared" si="206"/>
        <v>0</v>
      </c>
      <c r="U144" s="203">
        <f t="shared" si="206"/>
        <v>0</v>
      </c>
      <c r="V144" s="203">
        <f t="shared" si="206"/>
        <v>0</v>
      </c>
      <c r="W144" s="203">
        <f t="shared" si="206"/>
        <v>0</v>
      </c>
      <c r="X144" s="203">
        <f t="shared" si="206"/>
        <v>0</v>
      </c>
      <c r="Y144" s="203">
        <f t="shared" si="206"/>
        <v>0</v>
      </c>
      <c r="Z144" s="203">
        <f t="shared" si="206"/>
        <v>0</v>
      </c>
      <c r="AA144" s="203">
        <f t="shared" si="206"/>
        <v>0</v>
      </c>
      <c r="AB144" s="203">
        <f t="shared" si="206"/>
        <v>0</v>
      </c>
      <c r="AC144" s="203">
        <f t="shared" si="206"/>
        <v>0</v>
      </c>
      <c r="AD144" s="203">
        <f t="shared" si="206"/>
        <v>0</v>
      </c>
      <c r="AE144" s="195"/>
      <c r="AF144" s="203">
        <f>SUM(AF141:AF141)</f>
        <v>0</v>
      </c>
      <c r="AG144" s="195"/>
      <c r="AH144" s="203">
        <f t="shared" ref="AH144:AZ144" si="207">SUM(AH141:AH141)</f>
        <v>0</v>
      </c>
      <c r="AI144" s="203">
        <f t="shared" si="207"/>
        <v>0</v>
      </c>
      <c r="AJ144" s="203">
        <f t="shared" si="207"/>
        <v>0</v>
      </c>
      <c r="AK144" s="203">
        <f t="shared" si="207"/>
        <v>0</v>
      </c>
      <c r="AL144" s="203">
        <f t="shared" si="207"/>
        <v>0</v>
      </c>
      <c r="AM144" s="203">
        <f t="shared" si="207"/>
        <v>0</v>
      </c>
      <c r="AN144" s="203">
        <f t="shared" si="207"/>
        <v>0</v>
      </c>
      <c r="AO144" s="203">
        <f t="shared" si="207"/>
        <v>0</v>
      </c>
      <c r="AP144" s="203">
        <f t="shared" si="207"/>
        <v>0</v>
      </c>
      <c r="AQ144" s="203">
        <f t="shared" si="207"/>
        <v>0</v>
      </c>
      <c r="AR144" s="203">
        <f t="shared" si="207"/>
        <v>0</v>
      </c>
      <c r="AS144" s="203">
        <f t="shared" si="207"/>
        <v>0</v>
      </c>
      <c r="AT144" s="203">
        <f t="shared" si="207"/>
        <v>0</v>
      </c>
      <c r="AU144" s="203">
        <f t="shared" si="207"/>
        <v>0</v>
      </c>
      <c r="AV144" s="203">
        <f t="shared" si="207"/>
        <v>0</v>
      </c>
      <c r="AW144" s="203">
        <f t="shared" si="207"/>
        <v>0</v>
      </c>
      <c r="AX144" s="203">
        <f t="shared" si="207"/>
        <v>0</v>
      </c>
      <c r="AY144" s="203">
        <f t="shared" si="207"/>
        <v>0</v>
      </c>
      <c r="AZ144" s="203">
        <f t="shared" si="207"/>
        <v>0</v>
      </c>
      <c r="BA144" s="195"/>
      <c r="BB144" s="203">
        <f t="shared" ref="BB144:CT144" si="208">SUM(BB141:BB141)</f>
        <v>0</v>
      </c>
      <c r="BC144" s="203">
        <f t="shared" si="208"/>
        <v>0</v>
      </c>
      <c r="BD144" s="203">
        <f t="shared" si="208"/>
        <v>0</v>
      </c>
      <c r="BE144" s="203">
        <f t="shared" si="208"/>
        <v>0</v>
      </c>
      <c r="BF144" s="203">
        <f t="shared" si="208"/>
        <v>0</v>
      </c>
      <c r="BG144" s="203">
        <f t="shared" si="208"/>
        <v>0</v>
      </c>
      <c r="BH144" s="203">
        <f t="shared" si="208"/>
        <v>0</v>
      </c>
      <c r="BI144" s="203">
        <f t="shared" si="208"/>
        <v>0</v>
      </c>
      <c r="BJ144" s="203">
        <f t="shared" si="208"/>
        <v>0</v>
      </c>
      <c r="BK144" s="203">
        <f t="shared" si="208"/>
        <v>0</v>
      </c>
      <c r="BL144" s="203">
        <f t="shared" si="208"/>
        <v>0</v>
      </c>
      <c r="BM144" s="203">
        <f t="shared" si="208"/>
        <v>0</v>
      </c>
      <c r="BN144" s="203">
        <f t="shared" si="208"/>
        <v>0</v>
      </c>
      <c r="BO144" s="203">
        <f t="shared" si="208"/>
        <v>0</v>
      </c>
      <c r="BP144" s="203">
        <f t="shared" si="208"/>
        <v>0</v>
      </c>
      <c r="BQ144" s="203">
        <f t="shared" si="208"/>
        <v>0</v>
      </c>
      <c r="BR144" s="203">
        <f t="shared" si="208"/>
        <v>0</v>
      </c>
      <c r="BS144" s="203">
        <f t="shared" si="208"/>
        <v>0</v>
      </c>
      <c r="BT144" s="203">
        <f t="shared" si="208"/>
        <v>0</v>
      </c>
      <c r="BU144" s="203">
        <f t="shared" si="208"/>
        <v>0</v>
      </c>
      <c r="BV144" s="203">
        <f t="shared" si="208"/>
        <v>0</v>
      </c>
      <c r="BW144" s="203">
        <f t="shared" si="208"/>
        <v>0</v>
      </c>
      <c r="BX144" s="203">
        <f t="shared" si="208"/>
        <v>0</v>
      </c>
      <c r="BY144" s="203">
        <f t="shared" si="208"/>
        <v>0</v>
      </c>
      <c r="BZ144" s="203">
        <f t="shared" si="208"/>
        <v>0</v>
      </c>
      <c r="CA144" s="203">
        <f t="shared" si="208"/>
        <v>0</v>
      </c>
      <c r="CB144" s="203">
        <f t="shared" si="208"/>
        <v>0</v>
      </c>
      <c r="CC144" s="203">
        <f t="shared" si="208"/>
        <v>0</v>
      </c>
      <c r="CD144" s="203">
        <f t="shared" si="208"/>
        <v>0</v>
      </c>
      <c r="CE144" s="203">
        <f t="shared" si="208"/>
        <v>0</v>
      </c>
      <c r="CF144" s="203">
        <f t="shared" si="208"/>
        <v>0</v>
      </c>
      <c r="CG144" s="203">
        <f t="shared" si="208"/>
        <v>0</v>
      </c>
      <c r="CH144" s="203">
        <f t="shared" si="208"/>
        <v>0</v>
      </c>
      <c r="CI144" s="203">
        <f t="shared" si="208"/>
        <v>0</v>
      </c>
      <c r="CJ144" s="203">
        <f t="shared" si="208"/>
        <v>0</v>
      </c>
      <c r="CK144" s="203">
        <f t="shared" si="208"/>
        <v>0</v>
      </c>
      <c r="CL144" s="203">
        <f t="shared" si="208"/>
        <v>0</v>
      </c>
      <c r="CM144" s="203">
        <f t="shared" si="208"/>
        <v>0</v>
      </c>
      <c r="CN144" s="203">
        <f t="shared" si="208"/>
        <v>0</v>
      </c>
      <c r="CO144" s="203">
        <f t="shared" si="208"/>
        <v>0</v>
      </c>
      <c r="CP144" s="203">
        <f t="shared" si="208"/>
        <v>0</v>
      </c>
      <c r="CQ144" s="203">
        <f t="shared" si="208"/>
        <v>0</v>
      </c>
      <c r="CR144" s="203">
        <f t="shared" si="208"/>
        <v>0</v>
      </c>
      <c r="CS144" s="203">
        <f t="shared" si="208"/>
        <v>0</v>
      </c>
      <c r="CT144" s="203">
        <f t="shared" si="208"/>
        <v>0</v>
      </c>
      <c r="CU144" s="17">
        <f t="shared" si="195"/>
        <v>440</v>
      </c>
      <c r="CV144" s="25">
        <f t="shared" si="196"/>
        <v>0</v>
      </c>
    </row>
    <row r="145" spans="1:100" x14ac:dyDescent="0.2">
      <c r="A145" s="2">
        <v>45895</v>
      </c>
      <c r="B145" s="3" t="s">
        <v>845</v>
      </c>
      <c r="C145" s="4" t="s">
        <v>899</v>
      </c>
      <c r="D145" s="5" t="s">
        <v>122</v>
      </c>
      <c r="E145" s="6" t="s">
        <v>846</v>
      </c>
      <c r="F145" s="7" t="s">
        <v>229</v>
      </c>
      <c r="G145" s="8" t="s">
        <v>847</v>
      </c>
      <c r="H145" s="9">
        <v>39960</v>
      </c>
      <c r="I145" s="10"/>
      <c r="J145" s="11" t="s">
        <v>848</v>
      </c>
      <c r="K145" s="12">
        <v>5</v>
      </c>
      <c r="L145" s="13">
        <v>150</v>
      </c>
      <c r="M145" s="14">
        <f t="shared" ref="M145" si="209">L145*K145</f>
        <v>750</v>
      </c>
      <c r="N145" s="15"/>
      <c r="O145" s="16" t="s">
        <v>111</v>
      </c>
      <c r="P145" s="17">
        <f>M145/1.12*0.01</f>
        <v>6.6964285714285712</v>
      </c>
      <c r="Q145" s="18">
        <f>M145/1.12*0.12</f>
        <v>80.357142857142847</v>
      </c>
      <c r="R145" s="17">
        <f>M145+P145-Q145</f>
        <v>676.33928571428567</v>
      </c>
      <c r="S145" s="19"/>
      <c r="T145" s="19"/>
      <c r="U145" s="19"/>
      <c r="V145" s="19"/>
      <c r="W145" s="17"/>
      <c r="X145" s="20"/>
      <c r="Y145" s="19"/>
      <c r="Z145" s="19"/>
      <c r="AA145" s="19"/>
      <c r="AB145" s="19"/>
      <c r="AC145" s="19"/>
      <c r="AD145" s="19"/>
      <c r="AE145" s="5"/>
      <c r="AF145" s="19"/>
      <c r="AG145" s="5"/>
      <c r="AH145" s="17"/>
      <c r="AI145" s="19"/>
      <c r="AJ145" s="19"/>
      <c r="AK145" s="19"/>
      <c r="AL145" s="19"/>
      <c r="AM145" s="17"/>
      <c r="AN145" s="19"/>
      <c r="AO145" s="19"/>
      <c r="AP145" s="19"/>
      <c r="AQ145" s="19"/>
      <c r="AR145" s="19"/>
      <c r="AS145" s="21"/>
      <c r="AT145" s="5"/>
      <c r="AU145" s="19"/>
      <c r="AV145" s="5"/>
      <c r="AW145" s="22"/>
      <c r="AX145" s="19"/>
      <c r="AY145" s="5"/>
      <c r="AZ145" s="19"/>
      <c r="BA145" s="5"/>
      <c r="BB145" s="5"/>
      <c r="BC145" s="19"/>
      <c r="BD145" s="19"/>
      <c r="BE145" s="19"/>
      <c r="BF145" s="19"/>
      <c r="BG145" s="19"/>
      <c r="BH145" s="19"/>
      <c r="BI145" s="19"/>
      <c r="BJ145" s="19"/>
      <c r="BK145" s="13"/>
      <c r="BL145" s="5"/>
      <c r="BM145" s="5"/>
      <c r="BN145" s="19"/>
      <c r="BO145" s="17"/>
      <c r="BP145" s="19"/>
      <c r="BQ145" s="17"/>
      <c r="BR145" s="19"/>
      <c r="BS145" s="13"/>
      <c r="BT145" s="5"/>
      <c r="BU145" s="23"/>
      <c r="BV145" s="23"/>
      <c r="BW145" s="24"/>
      <c r="BX145" s="5"/>
      <c r="BY145" s="5"/>
      <c r="BZ145" s="5"/>
      <c r="CA145" s="24"/>
      <c r="CB145" s="24"/>
      <c r="CC145" s="24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>
        <f t="shared" si="195"/>
        <v>750</v>
      </c>
      <c r="CV145" s="25">
        <f t="shared" si="196"/>
        <v>0</v>
      </c>
    </row>
    <row r="146" spans="1:100" x14ac:dyDescent="0.2">
      <c r="A146" s="27"/>
      <c r="B146" s="28"/>
      <c r="C146" s="29"/>
      <c r="D146" s="30"/>
      <c r="E146" s="31"/>
      <c r="F146" s="32"/>
      <c r="G146" s="33"/>
      <c r="H146" s="34"/>
      <c r="I146" s="34"/>
      <c r="J146" s="35"/>
      <c r="K146" s="36"/>
      <c r="L146" s="37"/>
      <c r="M146" s="38">
        <f>SUM(M145:M145)</f>
        <v>750</v>
      </c>
      <c r="N146" s="38"/>
      <c r="O146" s="39" t="s">
        <v>111</v>
      </c>
      <c r="P146" s="38">
        <f>SUM(P145:P145)</f>
        <v>6.6964285714285712</v>
      </c>
      <c r="Q146" s="38">
        <f>SUM(Q145:Q145)</f>
        <v>80.357142857142847</v>
      </c>
      <c r="R146" s="38">
        <f>SUM(R145:R145)</f>
        <v>676.33928571428567</v>
      </c>
      <c r="S146" s="38">
        <f t="shared" ref="S146:AD146" si="210">SUM(S145:S145)</f>
        <v>0</v>
      </c>
      <c r="T146" s="38">
        <f t="shared" si="210"/>
        <v>0</v>
      </c>
      <c r="U146" s="38">
        <f t="shared" si="210"/>
        <v>0</v>
      </c>
      <c r="V146" s="38">
        <f t="shared" si="210"/>
        <v>0</v>
      </c>
      <c r="W146" s="38">
        <f t="shared" si="210"/>
        <v>0</v>
      </c>
      <c r="X146" s="38">
        <f t="shared" si="210"/>
        <v>0</v>
      </c>
      <c r="Y146" s="38">
        <f t="shared" si="210"/>
        <v>0</v>
      </c>
      <c r="Z146" s="38">
        <f t="shared" si="210"/>
        <v>0</v>
      </c>
      <c r="AA146" s="38">
        <f t="shared" si="210"/>
        <v>0</v>
      </c>
      <c r="AB146" s="38">
        <f t="shared" si="210"/>
        <v>0</v>
      </c>
      <c r="AC146" s="38">
        <f t="shared" si="210"/>
        <v>0</v>
      </c>
      <c r="AD146" s="38">
        <f t="shared" si="210"/>
        <v>0</v>
      </c>
      <c r="AE146" s="30"/>
      <c r="AF146" s="38">
        <f>SUM(AF145:AF145)</f>
        <v>0</v>
      </c>
      <c r="AG146" s="30"/>
      <c r="AH146" s="38">
        <f t="shared" ref="AH146:AZ146" si="211">SUM(AH145:AH145)</f>
        <v>0</v>
      </c>
      <c r="AI146" s="38">
        <f t="shared" si="211"/>
        <v>0</v>
      </c>
      <c r="AJ146" s="38">
        <f t="shared" si="211"/>
        <v>0</v>
      </c>
      <c r="AK146" s="38">
        <f t="shared" si="211"/>
        <v>0</v>
      </c>
      <c r="AL146" s="38">
        <f t="shared" si="211"/>
        <v>0</v>
      </c>
      <c r="AM146" s="38">
        <f t="shared" si="211"/>
        <v>0</v>
      </c>
      <c r="AN146" s="38">
        <f t="shared" si="211"/>
        <v>0</v>
      </c>
      <c r="AO146" s="38">
        <f t="shared" si="211"/>
        <v>0</v>
      </c>
      <c r="AP146" s="38">
        <f t="shared" si="211"/>
        <v>0</v>
      </c>
      <c r="AQ146" s="38">
        <f t="shared" si="211"/>
        <v>0</v>
      </c>
      <c r="AR146" s="38">
        <f t="shared" si="211"/>
        <v>0</v>
      </c>
      <c r="AS146" s="38">
        <f t="shared" si="211"/>
        <v>0</v>
      </c>
      <c r="AT146" s="38">
        <f t="shared" si="211"/>
        <v>0</v>
      </c>
      <c r="AU146" s="38">
        <f t="shared" si="211"/>
        <v>0</v>
      </c>
      <c r="AV146" s="38">
        <f t="shared" si="211"/>
        <v>0</v>
      </c>
      <c r="AW146" s="38">
        <f t="shared" si="211"/>
        <v>0</v>
      </c>
      <c r="AX146" s="38">
        <f t="shared" si="211"/>
        <v>0</v>
      </c>
      <c r="AY146" s="38">
        <f t="shared" si="211"/>
        <v>0</v>
      </c>
      <c r="AZ146" s="38">
        <f t="shared" si="211"/>
        <v>0</v>
      </c>
      <c r="BA146" s="30"/>
      <c r="BB146" s="38">
        <f t="shared" ref="BB146:CT146" si="212">SUM(BB145:BB145)</f>
        <v>0</v>
      </c>
      <c r="BC146" s="38">
        <f t="shared" si="212"/>
        <v>0</v>
      </c>
      <c r="BD146" s="38">
        <f t="shared" si="212"/>
        <v>0</v>
      </c>
      <c r="BE146" s="38">
        <f t="shared" si="212"/>
        <v>0</v>
      </c>
      <c r="BF146" s="38">
        <f t="shared" si="212"/>
        <v>0</v>
      </c>
      <c r="BG146" s="38">
        <f t="shared" si="212"/>
        <v>0</v>
      </c>
      <c r="BH146" s="38">
        <f t="shared" si="212"/>
        <v>0</v>
      </c>
      <c r="BI146" s="38">
        <f t="shared" si="212"/>
        <v>0</v>
      </c>
      <c r="BJ146" s="38">
        <f t="shared" si="212"/>
        <v>0</v>
      </c>
      <c r="BK146" s="38">
        <f t="shared" si="212"/>
        <v>0</v>
      </c>
      <c r="BL146" s="38">
        <f t="shared" si="212"/>
        <v>0</v>
      </c>
      <c r="BM146" s="38">
        <f t="shared" si="212"/>
        <v>0</v>
      </c>
      <c r="BN146" s="38">
        <f t="shared" si="212"/>
        <v>0</v>
      </c>
      <c r="BO146" s="38">
        <f t="shared" si="212"/>
        <v>0</v>
      </c>
      <c r="BP146" s="38">
        <f t="shared" si="212"/>
        <v>0</v>
      </c>
      <c r="BQ146" s="38">
        <f t="shared" si="212"/>
        <v>0</v>
      </c>
      <c r="BR146" s="38">
        <f t="shared" si="212"/>
        <v>0</v>
      </c>
      <c r="BS146" s="38">
        <f t="shared" si="212"/>
        <v>0</v>
      </c>
      <c r="BT146" s="38">
        <f t="shared" si="212"/>
        <v>0</v>
      </c>
      <c r="BU146" s="38">
        <f t="shared" si="212"/>
        <v>0</v>
      </c>
      <c r="BV146" s="38">
        <f t="shared" si="212"/>
        <v>0</v>
      </c>
      <c r="BW146" s="38">
        <f t="shared" si="212"/>
        <v>0</v>
      </c>
      <c r="BX146" s="38">
        <f t="shared" si="212"/>
        <v>0</v>
      </c>
      <c r="BY146" s="38">
        <f t="shared" si="212"/>
        <v>0</v>
      </c>
      <c r="BZ146" s="38">
        <f t="shared" si="212"/>
        <v>0</v>
      </c>
      <c r="CA146" s="38">
        <f t="shared" si="212"/>
        <v>0</v>
      </c>
      <c r="CB146" s="38">
        <f t="shared" si="212"/>
        <v>0</v>
      </c>
      <c r="CC146" s="38">
        <f t="shared" si="212"/>
        <v>0</v>
      </c>
      <c r="CD146" s="38">
        <f t="shared" si="212"/>
        <v>0</v>
      </c>
      <c r="CE146" s="38">
        <f t="shared" si="212"/>
        <v>0</v>
      </c>
      <c r="CF146" s="38">
        <f t="shared" si="212"/>
        <v>0</v>
      </c>
      <c r="CG146" s="38">
        <f t="shared" si="212"/>
        <v>0</v>
      </c>
      <c r="CH146" s="38">
        <f t="shared" si="212"/>
        <v>0</v>
      </c>
      <c r="CI146" s="38">
        <f t="shared" si="212"/>
        <v>0</v>
      </c>
      <c r="CJ146" s="38">
        <f t="shared" si="212"/>
        <v>0</v>
      </c>
      <c r="CK146" s="38">
        <f t="shared" si="212"/>
        <v>0</v>
      </c>
      <c r="CL146" s="38">
        <f t="shared" si="212"/>
        <v>0</v>
      </c>
      <c r="CM146" s="38">
        <f t="shared" si="212"/>
        <v>0</v>
      </c>
      <c r="CN146" s="38">
        <f t="shared" si="212"/>
        <v>0</v>
      </c>
      <c r="CO146" s="38">
        <f t="shared" si="212"/>
        <v>0</v>
      </c>
      <c r="CP146" s="38">
        <f t="shared" si="212"/>
        <v>0</v>
      </c>
      <c r="CQ146" s="38">
        <f t="shared" si="212"/>
        <v>0</v>
      </c>
      <c r="CR146" s="38">
        <f t="shared" si="212"/>
        <v>0</v>
      </c>
      <c r="CS146" s="38">
        <f t="shared" si="212"/>
        <v>0</v>
      </c>
      <c r="CT146" s="38">
        <f t="shared" si="212"/>
        <v>0</v>
      </c>
      <c r="CU146" s="17">
        <f t="shared" si="195"/>
        <v>750</v>
      </c>
      <c r="CV146" s="25">
        <f t="shared" si="196"/>
        <v>0</v>
      </c>
    </row>
    <row r="147" spans="1:100" x14ac:dyDescent="0.2">
      <c r="A147" s="2">
        <v>45895</v>
      </c>
      <c r="B147" s="3" t="s">
        <v>845</v>
      </c>
      <c r="C147" s="4" t="s">
        <v>883</v>
      </c>
      <c r="D147" s="5" t="s">
        <v>122</v>
      </c>
      <c r="E147" s="6" t="s">
        <v>846</v>
      </c>
      <c r="F147" s="7" t="s">
        <v>229</v>
      </c>
      <c r="G147" s="8" t="s">
        <v>847</v>
      </c>
      <c r="H147" s="9">
        <v>39960</v>
      </c>
      <c r="I147" s="10"/>
      <c r="J147" s="11" t="s">
        <v>848</v>
      </c>
      <c r="K147" s="12">
        <v>5</v>
      </c>
      <c r="L147" s="13">
        <v>150</v>
      </c>
      <c r="M147" s="14">
        <f t="shared" ref="M147" si="213">L147*K147</f>
        <v>750</v>
      </c>
      <c r="N147" s="15"/>
      <c r="O147" s="16" t="s">
        <v>111</v>
      </c>
      <c r="P147" s="17">
        <f>M147/1.12*0.01</f>
        <v>6.6964285714285712</v>
      </c>
      <c r="Q147" s="18">
        <f>M147/1.12*0.12</f>
        <v>80.357142857142847</v>
      </c>
      <c r="R147" s="17">
        <f>M147+P147-Q147</f>
        <v>676.33928571428567</v>
      </c>
      <c r="S147" s="19"/>
      <c r="T147" s="19"/>
      <c r="U147" s="19"/>
      <c r="V147" s="19"/>
      <c r="W147" s="17"/>
      <c r="X147" s="20"/>
      <c r="Y147" s="19"/>
      <c r="Z147" s="19"/>
      <c r="AA147" s="19"/>
      <c r="AB147" s="19"/>
      <c r="AC147" s="19"/>
      <c r="AD147" s="19"/>
      <c r="AE147" s="5"/>
      <c r="AF147" s="19"/>
      <c r="AG147" s="5"/>
      <c r="AH147" s="17"/>
      <c r="AI147" s="19"/>
      <c r="AJ147" s="19"/>
      <c r="AK147" s="19"/>
      <c r="AL147" s="19"/>
      <c r="AM147" s="17"/>
      <c r="AN147" s="19"/>
      <c r="AO147" s="19"/>
      <c r="AP147" s="19"/>
      <c r="AQ147" s="19"/>
      <c r="AR147" s="19"/>
      <c r="AS147" s="21"/>
      <c r="AT147" s="5"/>
      <c r="AU147" s="19"/>
      <c r="AV147" s="5"/>
      <c r="AW147" s="22"/>
      <c r="AX147" s="19"/>
      <c r="AY147" s="5"/>
      <c r="AZ147" s="19"/>
      <c r="BA147" s="5"/>
      <c r="BB147" s="5"/>
      <c r="BC147" s="19"/>
      <c r="BD147" s="19"/>
      <c r="BE147" s="19"/>
      <c r="BF147" s="19"/>
      <c r="BG147" s="19"/>
      <c r="BH147" s="19"/>
      <c r="BI147" s="19"/>
      <c r="BJ147" s="19"/>
      <c r="BK147" s="13"/>
      <c r="BL147" s="5"/>
      <c r="BM147" s="5"/>
      <c r="BN147" s="19"/>
      <c r="BO147" s="17"/>
      <c r="BP147" s="19"/>
      <c r="BQ147" s="17"/>
      <c r="BR147" s="19"/>
      <c r="BS147" s="13"/>
      <c r="BT147" s="5"/>
      <c r="BU147" s="23"/>
      <c r="BV147" s="23"/>
      <c r="BW147" s="24"/>
      <c r="BX147" s="5"/>
      <c r="BY147" s="5"/>
      <c r="BZ147" s="5"/>
      <c r="CA147" s="24"/>
      <c r="CB147" s="24"/>
      <c r="CC147" s="24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>
        <f t="shared" si="195"/>
        <v>750</v>
      </c>
      <c r="CV147" s="25">
        <f t="shared" si="196"/>
        <v>0</v>
      </c>
    </row>
    <row r="148" spans="1:100" s="205" customFormat="1" x14ac:dyDescent="0.2">
      <c r="A148" s="192"/>
      <c r="B148" s="193"/>
      <c r="C148" s="194"/>
      <c r="D148" s="195"/>
      <c r="E148" s="196"/>
      <c r="F148" s="197"/>
      <c r="G148" s="198"/>
      <c r="H148" s="199"/>
      <c r="I148" s="199"/>
      <c r="J148" s="200"/>
      <c r="K148" s="201"/>
      <c r="L148" s="202"/>
      <c r="M148" s="203">
        <f>SUM(M147:M147)</f>
        <v>750</v>
      </c>
      <c r="N148" s="203">
        <f>M148+M147</f>
        <v>1500</v>
      </c>
      <c r="O148" s="204" t="s">
        <v>111</v>
      </c>
      <c r="P148" s="203">
        <f>SUM(P147:P147)</f>
        <v>6.6964285714285712</v>
      </c>
      <c r="Q148" s="203">
        <f>SUM(Q147:Q147)</f>
        <v>80.357142857142847</v>
      </c>
      <c r="R148" s="203">
        <f>SUM(R147:R147)</f>
        <v>676.33928571428567</v>
      </c>
      <c r="S148" s="203">
        <f t="shared" ref="S148:AD148" si="214">SUM(S147:S147)</f>
        <v>0</v>
      </c>
      <c r="T148" s="203">
        <f t="shared" si="214"/>
        <v>0</v>
      </c>
      <c r="U148" s="203">
        <f t="shared" si="214"/>
        <v>0</v>
      </c>
      <c r="V148" s="203">
        <f t="shared" si="214"/>
        <v>0</v>
      </c>
      <c r="W148" s="203">
        <f t="shared" si="214"/>
        <v>0</v>
      </c>
      <c r="X148" s="203">
        <f t="shared" si="214"/>
        <v>0</v>
      </c>
      <c r="Y148" s="203">
        <f t="shared" si="214"/>
        <v>0</v>
      </c>
      <c r="Z148" s="203">
        <f t="shared" si="214"/>
        <v>0</v>
      </c>
      <c r="AA148" s="203">
        <f t="shared" si="214"/>
        <v>0</v>
      </c>
      <c r="AB148" s="203">
        <f t="shared" si="214"/>
        <v>0</v>
      </c>
      <c r="AC148" s="203">
        <f t="shared" si="214"/>
        <v>0</v>
      </c>
      <c r="AD148" s="203">
        <f t="shared" si="214"/>
        <v>0</v>
      </c>
      <c r="AE148" s="195"/>
      <c r="AF148" s="203">
        <f>SUM(AF147:AF147)</f>
        <v>0</v>
      </c>
      <c r="AG148" s="195"/>
      <c r="AH148" s="203">
        <f t="shared" ref="AH148:AZ148" si="215">SUM(AH147:AH147)</f>
        <v>0</v>
      </c>
      <c r="AI148" s="203">
        <f t="shared" si="215"/>
        <v>0</v>
      </c>
      <c r="AJ148" s="203">
        <f t="shared" si="215"/>
        <v>0</v>
      </c>
      <c r="AK148" s="203">
        <f t="shared" si="215"/>
        <v>0</v>
      </c>
      <c r="AL148" s="203">
        <f t="shared" si="215"/>
        <v>0</v>
      </c>
      <c r="AM148" s="203">
        <f t="shared" si="215"/>
        <v>0</v>
      </c>
      <c r="AN148" s="203">
        <f t="shared" si="215"/>
        <v>0</v>
      </c>
      <c r="AO148" s="203">
        <f t="shared" si="215"/>
        <v>0</v>
      </c>
      <c r="AP148" s="203">
        <f t="shared" si="215"/>
        <v>0</v>
      </c>
      <c r="AQ148" s="203">
        <f t="shared" si="215"/>
        <v>0</v>
      </c>
      <c r="AR148" s="203">
        <f t="shared" si="215"/>
        <v>0</v>
      </c>
      <c r="AS148" s="203">
        <f t="shared" si="215"/>
        <v>0</v>
      </c>
      <c r="AT148" s="203">
        <f t="shared" si="215"/>
        <v>0</v>
      </c>
      <c r="AU148" s="203">
        <f t="shared" si="215"/>
        <v>0</v>
      </c>
      <c r="AV148" s="203">
        <f t="shared" si="215"/>
        <v>0</v>
      </c>
      <c r="AW148" s="203">
        <f t="shared" si="215"/>
        <v>0</v>
      </c>
      <c r="AX148" s="203">
        <f t="shared" si="215"/>
        <v>0</v>
      </c>
      <c r="AY148" s="203">
        <f t="shared" si="215"/>
        <v>0</v>
      </c>
      <c r="AZ148" s="203">
        <f t="shared" si="215"/>
        <v>0</v>
      </c>
      <c r="BA148" s="195"/>
      <c r="BB148" s="203">
        <f t="shared" ref="BB148:CT148" si="216">SUM(BB147:BB147)</f>
        <v>0</v>
      </c>
      <c r="BC148" s="203">
        <f t="shared" si="216"/>
        <v>0</v>
      </c>
      <c r="BD148" s="203">
        <f t="shared" si="216"/>
        <v>0</v>
      </c>
      <c r="BE148" s="203">
        <f t="shared" si="216"/>
        <v>0</v>
      </c>
      <c r="BF148" s="203">
        <f t="shared" si="216"/>
        <v>0</v>
      </c>
      <c r="BG148" s="203">
        <f t="shared" si="216"/>
        <v>0</v>
      </c>
      <c r="BH148" s="203">
        <f t="shared" si="216"/>
        <v>0</v>
      </c>
      <c r="BI148" s="203">
        <f t="shared" si="216"/>
        <v>0</v>
      </c>
      <c r="BJ148" s="203">
        <f t="shared" si="216"/>
        <v>0</v>
      </c>
      <c r="BK148" s="203">
        <f t="shared" si="216"/>
        <v>0</v>
      </c>
      <c r="BL148" s="203">
        <f t="shared" si="216"/>
        <v>0</v>
      </c>
      <c r="BM148" s="203">
        <f t="shared" si="216"/>
        <v>0</v>
      </c>
      <c r="BN148" s="203">
        <f t="shared" si="216"/>
        <v>0</v>
      </c>
      <c r="BO148" s="203">
        <f t="shared" si="216"/>
        <v>0</v>
      </c>
      <c r="BP148" s="203">
        <f t="shared" si="216"/>
        <v>0</v>
      </c>
      <c r="BQ148" s="203">
        <f t="shared" si="216"/>
        <v>0</v>
      </c>
      <c r="BR148" s="203">
        <f t="shared" si="216"/>
        <v>0</v>
      </c>
      <c r="BS148" s="203">
        <f t="shared" si="216"/>
        <v>0</v>
      </c>
      <c r="BT148" s="203">
        <f t="shared" si="216"/>
        <v>0</v>
      </c>
      <c r="BU148" s="203">
        <f t="shared" si="216"/>
        <v>0</v>
      </c>
      <c r="BV148" s="203">
        <f t="shared" si="216"/>
        <v>0</v>
      </c>
      <c r="BW148" s="203">
        <f t="shared" si="216"/>
        <v>0</v>
      </c>
      <c r="BX148" s="203">
        <f t="shared" si="216"/>
        <v>0</v>
      </c>
      <c r="BY148" s="203">
        <f t="shared" si="216"/>
        <v>0</v>
      </c>
      <c r="BZ148" s="203">
        <f t="shared" si="216"/>
        <v>0</v>
      </c>
      <c r="CA148" s="203">
        <f t="shared" si="216"/>
        <v>0</v>
      </c>
      <c r="CB148" s="203">
        <f t="shared" si="216"/>
        <v>0</v>
      </c>
      <c r="CC148" s="203">
        <f t="shared" si="216"/>
        <v>0</v>
      </c>
      <c r="CD148" s="203">
        <f t="shared" si="216"/>
        <v>0</v>
      </c>
      <c r="CE148" s="203">
        <f t="shared" si="216"/>
        <v>0</v>
      </c>
      <c r="CF148" s="203">
        <f t="shared" si="216"/>
        <v>0</v>
      </c>
      <c r="CG148" s="203">
        <f t="shared" si="216"/>
        <v>0</v>
      </c>
      <c r="CH148" s="203">
        <f t="shared" si="216"/>
        <v>0</v>
      </c>
      <c r="CI148" s="203">
        <f t="shared" si="216"/>
        <v>0</v>
      </c>
      <c r="CJ148" s="203">
        <f t="shared" si="216"/>
        <v>0</v>
      </c>
      <c r="CK148" s="203">
        <f t="shared" si="216"/>
        <v>0</v>
      </c>
      <c r="CL148" s="203">
        <f t="shared" si="216"/>
        <v>0</v>
      </c>
      <c r="CM148" s="203">
        <f t="shared" si="216"/>
        <v>0</v>
      </c>
      <c r="CN148" s="203">
        <f t="shared" si="216"/>
        <v>0</v>
      </c>
      <c r="CO148" s="203">
        <f t="shared" si="216"/>
        <v>0</v>
      </c>
      <c r="CP148" s="203">
        <f t="shared" si="216"/>
        <v>0</v>
      </c>
      <c r="CQ148" s="203">
        <f t="shared" si="216"/>
        <v>0</v>
      </c>
      <c r="CR148" s="203">
        <f t="shared" si="216"/>
        <v>0</v>
      </c>
      <c r="CS148" s="203">
        <f t="shared" si="216"/>
        <v>0</v>
      </c>
      <c r="CT148" s="203">
        <f t="shared" si="216"/>
        <v>0</v>
      </c>
      <c r="CU148" s="17">
        <f t="shared" si="195"/>
        <v>750</v>
      </c>
      <c r="CV148" s="25">
        <f t="shared" si="196"/>
        <v>0</v>
      </c>
    </row>
    <row r="149" spans="1:100" s="160" customFormat="1" ht="25.5" customHeight="1" x14ac:dyDescent="0.3">
      <c r="A149" s="184"/>
      <c r="B149" s="184"/>
      <c r="C149" s="184"/>
      <c r="D149" s="184"/>
      <c r="E149" s="184"/>
      <c r="F149" s="184"/>
      <c r="G149" s="184"/>
      <c r="H149" s="184"/>
      <c r="I149" s="184"/>
      <c r="J149" s="184"/>
      <c r="K149" s="184"/>
      <c r="L149" s="184"/>
      <c r="M149" s="184"/>
      <c r="N149" s="175">
        <f>N148+N144+N128+N118+N114+N112+N98+N96+N94+N85+N66+N44+N29</f>
        <v>70921.625</v>
      </c>
      <c r="O149" s="184"/>
      <c r="P149" s="185">
        <f>P148+P146+P144+P140+P137+P128+P125+P121+P118+P116+P114+P112+P110+P108+P105+P101+P98+P96+P94+P92+P88+P85+P83+P76+P72+P70+P68+P66+P44+P42+P40+P33+P31+P29+P27+P25+P23+P21+P19+P17+P15+P13+P11+P9+P7</f>
        <v>609.74304999999993</v>
      </c>
      <c r="Q149" s="185">
        <f t="shared" ref="Q149:CB149" si="217">Q148+Q146+Q144+Q140+Q137+Q128+Q125+Q121+Q118+Q116+Q114+Q112+Q110+Q108+Q105+Q101+Q98+Q96+Q94+Q92+Q88+Q85+Q83+Q76+Q72+Q70+Q68+Q66+Q44+Q42+Q40+Q33+Q31+Q29+Q27+Q25+Q23+Q21+Q19+Q17+Q15+Q13+Q11+Q9+Q7</f>
        <v>5400.7467857142874</v>
      </c>
      <c r="R149" s="185">
        <f t="shared" si="217"/>
        <v>34233.728407142851</v>
      </c>
      <c r="S149" s="185">
        <f t="shared" si="217"/>
        <v>0</v>
      </c>
      <c r="T149" s="185">
        <f t="shared" si="217"/>
        <v>0</v>
      </c>
      <c r="U149" s="185">
        <f t="shared" si="217"/>
        <v>0</v>
      </c>
      <c r="V149" s="185">
        <f t="shared" si="217"/>
        <v>125</v>
      </c>
      <c r="W149" s="185">
        <f t="shared" si="217"/>
        <v>1082.1428571428573</v>
      </c>
      <c r="X149" s="185">
        <f t="shared" si="217"/>
        <v>0</v>
      </c>
      <c r="Y149" s="185">
        <f t="shared" si="217"/>
        <v>0</v>
      </c>
      <c r="Z149" s="185">
        <f t="shared" si="217"/>
        <v>0</v>
      </c>
      <c r="AA149" s="185">
        <f t="shared" si="217"/>
        <v>0</v>
      </c>
      <c r="AB149" s="185">
        <f t="shared" si="217"/>
        <v>0</v>
      </c>
      <c r="AC149" s="185">
        <f t="shared" si="217"/>
        <v>0</v>
      </c>
      <c r="AD149" s="185">
        <f t="shared" si="217"/>
        <v>0</v>
      </c>
      <c r="AE149" s="185">
        <f t="shared" si="217"/>
        <v>0</v>
      </c>
      <c r="AF149" s="185">
        <f t="shared" si="217"/>
        <v>0</v>
      </c>
      <c r="AG149" s="185">
        <f t="shared" si="217"/>
        <v>0</v>
      </c>
      <c r="AH149" s="185">
        <f t="shared" si="217"/>
        <v>21372.321428571428</v>
      </c>
      <c r="AI149" s="185">
        <f t="shared" si="217"/>
        <v>0</v>
      </c>
      <c r="AJ149" s="185">
        <f t="shared" si="217"/>
        <v>0</v>
      </c>
      <c r="AK149" s="185">
        <f t="shared" si="217"/>
        <v>0</v>
      </c>
      <c r="AL149" s="185">
        <f t="shared" si="217"/>
        <v>0</v>
      </c>
      <c r="AM149" s="185">
        <f t="shared" si="217"/>
        <v>0</v>
      </c>
      <c r="AN149" s="185">
        <f t="shared" si="217"/>
        <v>0</v>
      </c>
      <c r="AO149" s="185">
        <f t="shared" si="217"/>
        <v>0</v>
      </c>
      <c r="AP149" s="185">
        <f t="shared" si="217"/>
        <v>2164.2857142857147</v>
      </c>
      <c r="AQ149" s="185">
        <f t="shared" si="217"/>
        <v>0</v>
      </c>
      <c r="AR149" s="185">
        <f t="shared" si="217"/>
        <v>0</v>
      </c>
      <c r="AS149" s="185">
        <f t="shared" si="217"/>
        <v>0</v>
      </c>
      <c r="AT149" s="185">
        <f t="shared" si="217"/>
        <v>0</v>
      </c>
      <c r="AU149" s="185">
        <f t="shared" si="217"/>
        <v>0</v>
      </c>
      <c r="AV149" s="185">
        <f t="shared" si="217"/>
        <v>0</v>
      </c>
      <c r="AW149" s="185">
        <f t="shared" si="217"/>
        <v>6732</v>
      </c>
      <c r="AX149" s="185">
        <f t="shared" si="217"/>
        <v>0</v>
      </c>
      <c r="AY149" s="185">
        <f t="shared" si="217"/>
        <v>0</v>
      </c>
      <c r="AZ149" s="185">
        <f t="shared" si="217"/>
        <v>0</v>
      </c>
      <c r="BA149" s="185">
        <f t="shared" si="217"/>
        <v>0</v>
      </c>
      <c r="BB149" s="185">
        <f t="shared" si="217"/>
        <v>0</v>
      </c>
      <c r="BC149" s="185">
        <f t="shared" si="217"/>
        <v>237</v>
      </c>
      <c r="BD149" s="185">
        <f t="shared" si="217"/>
        <v>0</v>
      </c>
      <c r="BE149" s="185">
        <f t="shared" si="217"/>
        <v>0</v>
      </c>
      <c r="BF149" s="185">
        <f t="shared" si="217"/>
        <v>0</v>
      </c>
      <c r="BG149" s="185">
        <f t="shared" si="217"/>
        <v>0</v>
      </c>
      <c r="BH149" s="185">
        <f t="shared" si="217"/>
        <v>0</v>
      </c>
      <c r="BI149" s="185">
        <f t="shared" si="217"/>
        <v>0</v>
      </c>
      <c r="BJ149" s="185">
        <f t="shared" si="217"/>
        <v>0</v>
      </c>
      <c r="BK149" s="185">
        <f t="shared" si="217"/>
        <v>0</v>
      </c>
      <c r="BL149" s="185">
        <f t="shared" si="217"/>
        <v>0</v>
      </c>
      <c r="BM149" s="185">
        <f t="shared" si="217"/>
        <v>0</v>
      </c>
      <c r="BN149" s="185">
        <f t="shared" si="217"/>
        <v>0</v>
      </c>
      <c r="BO149" s="185">
        <f t="shared" si="217"/>
        <v>184.14285714285717</v>
      </c>
      <c r="BP149" s="185">
        <f t="shared" si="217"/>
        <v>0</v>
      </c>
      <c r="BQ149" s="185">
        <f t="shared" si="217"/>
        <v>0</v>
      </c>
      <c r="BR149" s="185">
        <f t="shared" si="217"/>
        <v>0</v>
      </c>
      <c r="BS149" s="185">
        <f t="shared" si="217"/>
        <v>0</v>
      </c>
      <c r="BT149" s="185">
        <f t="shared" si="217"/>
        <v>0</v>
      </c>
      <c r="BU149" s="185">
        <f t="shared" si="217"/>
        <v>0</v>
      </c>
      <c r="BV149" s="185">
        <f t="shared" si="217"/>
        <v>0</v>
      </c>
      <c r="BW149" s="185">
        <f t="shared" si="217"/>
        <v>0</v>
      </c>
      <c r="BX149" s="185">
        <f t="shared" si="217"/>
        <v>0</v>
      </c>
      <c r="BY149" s="185">
        <f t="shared" si="217"/>
        <v>0</v>
      </c>
      <c r="BZ149" s="185">
        <f t="shared" si="217"/>
        <v>0</v>
      </c>
      <c r="CA149" s="185">
        <f t="shared" si="217"/>
        <v>0</v>
      </c>
      <c r="CB149" s="185">
        <f t="shared" si="217"/>
        <v>0</v>
      </c>
      <c r="CC149" s="185">
        <f t="shared" ref="CC149:CV149" si="218">CC148+CC146+CC144+CC140+CC137+CC128+CC125+CC121+CC118+CC116+CC114+CC112+CC110+CC108+CC105+CC101+CC98+CC96+CC94+CC92+CC88+CC85+CC83+CC76+CC72+CC70+CC68+CC66+CC44+CC42+CC40+CC33+CC31+CC29+CC27+CC25+CC23+CC21+CC19+CC17+CC15+CC13+CC11+CC9+CC7</f>
        <v>0</v>
      </c>
      <c r="CD149" s="185">
        <f t="shared" si="218"/>
        <v>0</v>
      </c>
      <c r="CE149" s="185">
        <f t="shared" si="218"/>
        <v>0</v>
      </c>
      <c r="CF149" s="185">
        <f t="shared" si="218"/>
        <v>0</v>
      </c>
      <c r="CG149" s="185">
        <f t="shared" si="218"/>
        <v>0</v>
      </c>
      <c r="CH149" s="185">
        <f t="shared" si="218"/>
        <v>0</v>
      </c>
      <c r="CI149" s="185">
        <f t="shared" si="218"/>
        <v>0</v>
      </c>
      <c r="CJ149" s="185">
        <f t="shared" si="218"/>
        <v>0</v>
      </c>
      <c r="CK149" s="185">
        <f t="shared" si="218"/>
        <v>0</v>
      </c>
      <c r="CL149" s="185">
        <f t="shared" si="218"/>
        <v>0</v>
      </c>
      <c r="CM149" s="185">
        <f t="shared" si="218"/>
        <v>0</v>
      </c>
      <c r="CN149" s="185">
        <f t="shared" si="218"/>
        <v>0</v>
      </c>
      <c r="CO149" s="185">
        <f t="shared" si="218"/>
        <v>0</v>
      </c>
      <c r="CP149" s="185">
        <f t="shared" si="218"/>
        <v>0</v>
      </c>
      <c r="CQ149" s="185">
        <f t="shared" si="218"/>
        <v>0</v>
      </c>
      <c r="CR149" s="185">
        <f t="shared" si="218"/>
        <v>0</v>
      </c>
      <c r="CS149" s="185">
        <f t="shared" si="218"/>
        <v>0</v>
      </c>
      <c r="CT149" s="185">
        <f t="shared" si="218"/>
        <v>0</v>
      </c>
      <c r="CU149" s="175">
        <f t="shared" si="218"/>
        <v>70921.625</v>
      </c>
      <c r="CV149" s="185">
        <f t="shared" si="218"/>
        <v>0</v>
      </c>
    </row>
  </sheetData>
  <mergeCells count="48">
    <mergeCell ref="BZ4:BZ5"/>
    <mergeCell ref="CA4:CA5"/>
    <mergeCell ref="CB4:CB5"/>
    <mergeCell ref="CE4:CE5"/>
    <mergeCell ref="CF4:CF5"/>
    <mergeCell ref="BU4:BU5"/>
    <mergeCell ref="BV4:BV5"/>
    <mergeCell ref="BW4:BW5"/>
    <mergeCell ref="BX4:BX5"/>
    <mergeCell ref="BY4:BY5"/>
    <mergeCell ref="R4:Z4"/>
    <mergeCell ref="AA4:AF4"/>
    <mergeCell ref="AG4:AG5"/>
    <mergeCell ref="AH4:AQ4"/>
    <mergeCell ref="AR4:AV4"/>
    <mergeCell ref="M4:M5"/>
    <mergeCell ref="N4:N5"/>
    <mergeCell ref="O4:O5"/>
    <mergeCell ref="P4:P5"/>
    <mergeCell ref="Q4:Q5"/>
    <mergeCell ref="L4:L5"/>
    <mergeCell ref="A4:A5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CG4:CP4"/>
    <mergeCell ref="CR4:CS4"/>
    <mergeCell ref="CT4:CT5"/>
    <mergeCell ref="CU4:CU5"/>
    <mergeCell ref="AX4:AY4"/>
    <mergeCell ref="AZ4:BA4"/>
    <mergeCell ref="BB4:BC4"/>
    <mergeCell ref="BE4:BE5"/>
    <mergeCell ref="BF4:BG4"/>
    <mergeCell ref="BT4:BT5"/>
    <mergeCell ref="BP4:BP5"/>
    <mergeCell ref="BQ4:BQ5"/>
    <mergeCell ref="BR4:BR5"/>
    <mergeCell ref="BS4:BS5"/>
    <mergeCell ref="BK4:BM4"/>
    <mergeCell ref="BN4:BO4"/>
  </mergeCells>
  <pageMargins left="0.25" right="0.25" top="0.75" bottom="0.75" header="0.3" footer="0.3"/>
  <pageSetup paperSize="9" scale="94" fitToHeight="0" orientation="landscape" horizontalDpi="0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C27E7-32A1-4177-860F-BC6198B288C4}">
  <sheetPr>
    <tabColor rgb="FFFFC000"/>
  </sheetPr>
  <dimension ref="A1:CY15"/>
  <sheetViews>
    <sheetView topLeftCell="B1" workbookViewId="0">
      <selection activeCell="L15" sqref="L15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ht="12" x14ac:dyDescent="0.2">
      <c r="A5" s="2">
        <v>45870</v>
      </c>
      <c r="B5" s="3" t="s">
        <v>343</v>
      </c>
      <c r="C5" s="4" t="s">
        <v>505</v>
      </c>
      <c r="D5" s="5" t="s">
        <v>122</v>
      </c>
      <c r="E5" s="6" t="s">
        <v>298</v>
      </c>
      <c r="F5" s="7" t="s">
        <v>229</v>
      </c>
      <c r="G5" s="8" t="s">
        <v>344</v>
      </c>
      <c r="H5" s="8">
        <v>281682</v>
      </c>
      <c r="I5" s="10" t="s">
        <v>394</v>
      </c>
      <c r="J5" s="11" t="s">
        <v>345</v>
      </c>
      <c r="K5" s="12">
        <v>2</v>
      </c>
      <c r="L5" s="13">
        <v>229</v>
      </c>
      <c r="M5" s="14">
        <f t="shared" ref="M5" si="0">L5*K5</f>
        <v>458</v>
      </c>
      <c r="N5" s="15"/>
      <c r="O5" s="16" t="s">
        <v>111</v>
      </c>
      <c r="P5" s="17">
        <f>M5/1.12*0.01</f>
        <v>4.0892857142857135</v>
      </c>
      <c r="Q5" s="18">
        <f>M5/1.12*0.12</f>
        <v>49.071428571428562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>
        <f>M5+P5-Q5</f>
        <v>413.01785714285717</v>
      </c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458</v>
      </c>
      <c r="N6" s="38">
        <f>M6</f>
        <v>458</v>
      </c>
      <c r="O6" s="39" t="s">
        <v>111</v>
      </c>
      <c r="P6" s="38">
        <f>SUM(P5:P5)</f>
        <v>4.0892857142857135</v>
      </c>
      <c r="Q6" s="38">
        <f>SUM(Q5:Q5)</f>
        <v>49.071428571428562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>SUM(AH5:AH5)</f>
        <v>413.01785714285717</v>
      </c>
      <c r="AI6" s="38">
        <f t="shared" ref="AI6:AZ6" si="2">SUM(AI5:AI5)</f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MR DIY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346</v>
      </c>
      <c r="B10" s="71"/>
      <c r="C10" s="72"/>
      <c r="D10" s="73">
        <f>AH6</f>
        <v>413.01785714285717</v>
      </c>
      <c r="E10" s="74"/>
      <c r="F10" s="75" t="str">
        <f>"In payment for 2 pcs of angle valve for room 508 valve replacement using housefund received on " &amp; TEXT(A5, "mmmm dd, yyyy") &amp; " with SI#281682 PR#29994 RR#50141" &amp; " CPO#" &amp;B5</f>
        <v>In payment for 2 pcs of angle valve for room 508 valve replacement using housefund received on August 01, 2025 with SI#281682 PR#29994 RR#50141 CPO#18952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49.071428571428562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01,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4.0892857142857135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01,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458</v>
      </c>
      <c r="F13" s="89" t="str">
        <f>"Recording house fund expenses for replenishment on " &amp; TEXT(A5, "mmmm dd, yyyy")</f>
        <v>Recording house fund expenses for replenishment on August 01,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462.08928571428572</v>
      </c>
      <c r="E14" s="88">
        <f>SUM(E10:E13)</f>
        <v>462.08928571428572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01, 2025 with PCV#20843</v>
      </c>
      <c r="C15" s="97"/>
      <c r="D15" s="98"/>
      <c r="E15" s="98"/>
      <c r="F15" s="155"/>
      <c r="G15" s="92"/>
      <c r="H15" s="93"/>
      <c r="I15" s="94" t="s">
        <v>512</v>
      </c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9A1CC-F429-466E-8728-6450A0855256}">
  <sheetPr>
    <tabColor rgb="FFFFC0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710937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ht="12" x14ac:dyDescent="0.2">
      <c r="A5" s="2">
        <v>45870</v>
      </c>
      <c r="B5" s="3" t="s">
        <v>343</v>
      </c>
      <c r="C5" s="4" t="s">
        <v>506</v>
      </c>
      <c r="D5" s="5" t="s">
        <v>122</v>
      </c>
      <c r="E5" s="6" t="s">
        <v>347</v>
      </c>
      <c r="F5" s="7" t="s">
        <v>224</v>
      </c>
      <c r="G5" s="8" t="s">
        <v>244</v>
      </c>
      <c r="H5" s="8">
        <v>6472</v>
      </c>
      <c r="I5" s="10" t="s">
        <v>393</v>
      </c>
      <c r="J5" s="11" t="s">
        <v>348</v>
      </c>
      <c r="K5" s="12">
        <v>1</v>
      </c>
      <c r="L5" s="13">
        <v>6080</v>
      </c>
      <c r="M5" s="14">
        <f t="shared" ref="M5" si="0">L5*K5</f>
        <v>6080</v>
      </c>
      <c r="N5" s="15"/>
      <c r="O5" s="16" t="s">
        <v>111</v>
      </c>
      <c r="P5" s="17">
        <f>M5/1.12*0.01</f>
        <v>54.285714285714285</v>
      </c>
      <c r="Q5" s="18">
        <f>M5/1.12*0.12</f>
        <v>651.42857142857144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J5" s="19"/>
      <c r="AK5" s="19"/>
      <c r="AL5" s="17">
        <f>M5+P5-Q5</f>
        <v>5482.8571428571431</v>
      </c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6080</v>
      </c>
      <c r="N6" s="38">
        <f>M6</f>
        <v>6080</v>
      </c>
      <c r="O6" s="39" t="s">
        <v>111</v>
      </c>
      <c r="P6" s="38">
        <f>SUM(P5:P5)</f>
        <v>54.285714285714285</v>
      </c>
      <c r="Q6" s="38">
        <f>SUM(Q5:Q5)</f>
        <v>651.42857142857144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J6" s="38">
        <f t="shared" ref="AJ6:AZ6" si="2">SUM(AJ5:AJ5)</f>
        <v>0</v>
      </c>
      <c r="AK6" s="38">
        <f t="shared" si="2"/>
        <v>0</v>
      </c>
      <c r="AL6" s="38">
        <f>SUM(AL5:AL5)</f>
        <v>5482.8571428571431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ROTARY TRADING CORPORATION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349</v>
      </c>
      <c r="B10" s="71"/>
      <c r="C10" s="72"/>
      <c r="D10" s="73">
        <f>AL6</f>
        <v>5482.8571428571431</v>
      </c>
      <c r="E10" s="74"/>
      <c r="F10" s="75" t="str">
        <f>"In payment for 1 tank of freon R32 (MZZ556) for room airconditioning using housefund received on " &amp; TEXT(A5, "mmmm dd, yyyy") &amp; " with SI#6472 PR#29994 RR#50142" &amp; " CPO#" &amp;B5</f>
        <v>In payment for 1 tank of freon R32 (MZZ556) for room airconditioning using housefund received on August 01, 2025 with SI#6472 PR#29994 RR#50142 CPO#18952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651.42857142857144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01,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54.285714285714285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01,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6080</v>
      </c>
      <c r="F13" s="89" t="str">
        <f>"Recording house fund expenses for replenishment on " &amp; TEXT(A5, "mmmm dd, yyyy")</f>
        <v>Recording house fund expenses for replenishment on August 01,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6134.2857142857147</v>
      </c>
      <c r="E14" s="88">
        <f>SUM(E10:E13)</f>
        <v>6134.2857142857147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01, 2025 with PCV#20844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161D1-AB5A-4782-B5E5-4E1C45421FED}">
  <sheetPr>
    <tabColor rgb="FFFFC000"/>
  </sheetPr>
  <dimension ref="A1:CY16"/>
  <sheetViews>
    <sheetView workbookViewId="0">
      <selection activeCell="A5" sqref="A5:XFD7"/>
    </sheetView>
  </sheetViews>
  <sheetFormatPr defaultRowHeight="12.75" x14ac:dyDescent="0.2"/>
  <cols>
    <col min="1" max="1" width="9.140625" style="155"/>
    <col min="2" max="2" width="12.140625" style="155" customWidth="1"/>
    <col min="3" max="3" width="11.710937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ht="12" x14ac:dyDescent="0.2">
      <c r="A5" s="2">
        <v>45871</v>
      </c>
      <c r="B5" s="3" t="s">
        <v>350</v>
      </c>
      <c r="C5" s="4" t="s">
        <v>507</v>
      </c>
      <c r="D5" s="5" t="s">
        <v>133</v>
      </c>
      <c r="E5" s="6" t="s">
        <v>266</v>
      </c>
      <c r="F5" s="7"/>
      <c r="G5" s="8"/>
      <c r="H5" s="8"/>
      <c r="I5" s="10" t="s">
        <v>395</v>
      </c>
      <c r="J5" s="11" t="s">
        <v>337</v>
      </c>
      <c r="K5" s="12">
        <v>10</v>
      </c>
      <c r="L5" s="13">
        <v>45</v>
      </c>
      <c r="M5" s="14">
        <f t="shared" ref="M5:M6" si="0">L5*K5</f>
        <v>450</v>
      </c>
      <c r="N5" s="15"/>
      <c r="O5" s="16" t="s">
        <v>137</v>
      </c>
      <c r="P5" s="17"/>
      <c r="Q5" s="18"/>
      <c r="R5" s="17">
        <f>M5+P5-Q5</f>
        <v>450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J5" s="19"/>
      <c r="AK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ht="12" x14ac:dyDescent="0.2">
      <c r="A6" s="2"/>
      <c r="B6" s="3"/>
      <c r="C6" s="4"/>
      <c r="E6" s="6"/>
      <c r="F6" s="7"/>
      <c r="G6" s="8"/>
      <c r="H6" s="8"/>
      <c r="I6" s="10"/>
      <c r="J6" s="11" t="s">
        <v>342</v>
      </c>
      <c r="K6" s="12">
        <v>5</v>
      </c>
      <c r="L6" s="13">
        <v>87</v>
      </c>
      <c r="M6" s="14">
        <f t="shared" si="0"/>
        <v>435</v>
      </c>
      <c r="N6" s="15"/>
      <c r="O6" s="16" t="s">
        <v>137</v>
      </c>
      <c r="P6" s="17"/>
      <c r="Q6" s="18"/>
      <c r="R6" s="17">
        <f>M6+P6-Q6</f>
        <v>435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J6" s="19"/>
      <c r="AK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30" customFormat="1" ht="11.25" x14ac:dyDescent="0.2">
      <c r="A7" s="27"/>
      <c r="B7" s="28"/>
      <c r="C7" s="29"/>
      <c r="E7" s="31"/>
      <c r="F7" s="32"/>
      <c r="G7" s="33"/>
      <c r="H7" s="34"/>
      <c r="I7" s="34"/>
      <c r="J7" s="35"/>
      <c r="K7" s="36"/>
      <c r="L7" s="37"/>
      <c r="M7" s="38">
        <f>SUM(M5:M6)</f>
        <v>885</v>
      </c>
      <c r="N7" s="38">
        <f>M7</f>
        <v>885</v>
      </c>
      <c r="O7" s="39" t="s">
        <v>137</v>
      </c>
      <c r="P7" s="38"/>
      <c r="Q7" s="38"/>
      <c r="R7" s="38">
        <f>SUM(R5:R6)</f>
        <v>885</v>
      </c>
      <c r="S7" s="38">
        <f t="shared" ref="S7:AD7" si="1">SUM(S5:S5)</f>
        <v>0</v>
      </c>
      <c r="T7" s="38">
        <f t="shared" si="1"/>
        <v>0</v>
      </c>
      <c r="U7" s="38">
        <f t="shared" si="1"/>
        <v>0</v>
      </c>
      <c r="V7" s="38">
        <f t="shared" si="1"/>
        <v>0</v>
      </c>
      <c r="W7" s="38">
        <f t="shared" si="1"/>
        <v>0</v>
      </c>
      <c r="X7" s="38">
        <f t="shared" si="1"/>
        <v>0</v>
      </c>
      <c r="Y7" s="38">
        <f t="shared" si="1"/>
        <v>0</v>
      </c>
      <c r="Z7" s="38">
        <f t="shared" si="1"/>
        <v>0</v>
      </c>
      <c r="AA7" s="38">
        <f t="shared" si="1"/>
        <v>0</v>
      </c>
      <c r="AB7" s="38">
        <f t="shared" si="1"/>
        <v>0</v>
      </c>
      <c r="AC7" s="38">
        <f t="shared" si="1"/>
        <v>0</v>
      </c>
      <c r="AD7" s="38">
        <f t="shared" si="1"/>
        <v>0</v>
      </c>
      <c r="AF7" s="38">
        <f>SUM(AF5:AF5)</f>
        <v>0</v>
      </c>
      <c r="AJ7" s="38">
        <f t="shared" ref="AJ7:AZ7" si="2">SUM(AJ5:AJ5)</f>
        <v>0</v>
      </c>
      <c r="AK7" s="38">
        <f t="shared" si="2"/>
        <v>0</v>
      </c>
      <c r="AM7" s="38">
        <f t="shared" si="2"/>
        <v>0</v>
      </c>
      <c r="AN7" s="38">
        <f t="shared" si="2"/>
        <v>0</v>
      </c>
      <c r="AO7" s="38">
        <f t="shared" si="2"/>
        <v>0</v>
      </c>
      <c r="AP7" s="38">
        <f t="shared" si="2"/>
        <v>0</v>
      </c>
      <c r="AQ7" s="38">
        <f t="shared" si="2"/>
        <v>0</v>
      </c>
      <c r="AR7" s="38">
        <f t="shared" si="2"/>
        <v>0</v>
      </c>
      <c r="AS7" s="38">
        <f t="shared" si="2"/>
        <v>0</v>
      </c>
      <c r="AT7" s="38">
        <f t="shared" si="2"/>
        <v>0</v>
      </c>
      <c r="AU7" s="38">
        <f t="shared" si="2"/>
        <v>0</v>
      </c>
      <c r="AV7" s="38">
        <f t="shared" si="2"/>
        <v>0</v>
      </c>
      <c r="AW7" s="38">
        <f t="shared" si="2"/>
        <v>0</v>
      </c>
      <c r="AX7" s="38">
        <f t="shared" si="2"/>
        <v>0</v>
      </c>
      <c r="AY7" s="38">
        <f t="shared" si="2"/>
        <v>0</v>
      </c>
      <c r="AZ7" s="38">
        <f t="shared" si="2"/>
        <v>0</v>
      </c>
      <c r="BB7" s="38">
        <f t="shared" ref="BB7:CV7" si="3">SUM(BB5:BB5)</f>
        <v>0</v>
      </c>
      <c r="BC7" s="38">
        <f t="shared" si="3"/>
        <v>0</v>
      </c>
      <c r="BD7" s="38">
        <f t="shared" si="3"/>
        <v>0</v>
      </c>
      <c r="BE7" s="38">
        <f t="shared" si="3"/>
        <v>0</v>
      </c>
      <c r="BF7" s="38">
        <f t="shared" si="3"/>
        <v>0</v>
      </c>
      <c r="BG7" s="38">
        <f t="shared" si="3"/>
        <v>0</v>
      </c>
      <c r="BH7" s="38">
        <f t="shared" si="3"/>
        <v>0</v>
      </c>
      <c r="BI7" s="38">
        <f t="shared" si="3"/>
        <v>0</v>
      </c>
      <c r="BJ7" s="38">
        <f t="shared" si="3"/>
        <v>0</v>
      </c>
      <c r="BK7" s="38">
        <f t="shared" si="3"/>
        <v>0</v>
      </c>
      <c r="BL7" s="38">
        <f t="shared" si="3"/>
        <v>0</v>
      </c>
      <c r="BM7" s="38">
        <f t="shared" si="3"/>
        <v>0</v>
      </c>
      <c r="BN7" s="38">
        <f t="shared" si="3"/>
        <v>0</v>
      </c>
      <c r="BO7" s="38">
        <f t="shared" si="3"/>
        <v>0</v>
      </c>
      <c r="BP7" s="38">
        <f t="shared" si="3"/>
        <v>0</v>
      </c>
      <c r="BQ7" s="38">
        <f t="shared" si="3"/>
        <v>0</v>
      </c>
      <c r="BR7" s="38">
        <f t="shared" si="3"/>
        <v>0</v>
      </c>
      <c r="BS7" s="38">
        <f t="shared" si="3"/>
        <v>0</v>
      </c>
      <c r="BT7" s="38">
        <f t="shared" si="3"/>
        <v>0</v>
      </c>
      <c r="BU7" s="38">
        <f t="shared" si="3"/>
        <v>0</v>
      </c>
      <c r="BV7" s="38">
        <f t="shared" si="3"/>
        <v>0</v>
      </c>
      <c r="BW7" s="38">
        <f t="shared" si="3"/>
        <v>0</v>
      </c>
      <c r="BX7" s="38">
        <f t="shared" si="3"/>
        <v>0</v>
      </c>
      <c r="BY7" s="38">
        <f t="shared" si="3"/>
        <v>0</v>
      </c>
      <c r="BZ7" s="38">
        <f t="shared" si="3"/>
        <v>0</v>
      </c>
      <c r="CA7" s="38">
        <f t="shared" si="3"/>
        <v>0</v>
      </c>
      <c r="CB7" s="38">
        <f t="shared" si="3"/>
        <v>0</v>
      </c>
      <c r="CC7" s="38">
        <f t="shared" si="3"/>
        <v>0</v>
      </c>
      <c r="CD7" s="38">
        <f t="shared" si="3"/>
        <v>0</v>
      </c>
      <c r="CE7" s="38">
        <f t="shared" si="3"/>
        <v>0</v>
      </c>
      <c r="CF7" s="38">
        <f t="shared" si="3"/>
        <v>0</v>
      </c>
      <c r="CG7" s="38">
        <f t="shared" si="3"/>
        <v>0</v>
      </c>
      <c r="CH7" s="38">
        <f t="shared" si="3"/>
        <v>0</v>
      </c>
      <c r="CI7" s="38">
        <f t="shared" si="3"/>
        <v>0</v>
      </c>
      <c r="CJ7" s="38">
        <f t="shared" si="3"/>
        <v>0</v>
      </c>
      <c r="CK7" s="38">
        <f t="shared" si="3"/>
        <v>0</v>
      </c>
      <c r="CL7" s="38">
        <f t="shared" si="3"/>
        <v>0</v>
      </c>
      <c r="CM7" s="38">
        <f t="shared" si="3"/>
        <v>0</v>
      </c>
      <c r="CN7" s="38">
        <f t="shared" si="3"/>
        <v>0</v>
      </c>
      <c r="CO7" s="38">
        <f t="shared" si="3"/>
        <v>0</v>
      </c>
      <c r="CP7" s="38">
        <f t="shared" si="3"/>
        <v>0</v>
      </c>
      <c r="CQ7" s="38">
        <f t="shared" si="3"/>
        <v>0</v>
      </c>
      <c r="CR7" s="38">
        <f t="shared" si="3"/>
        <v>0</v>
      </c>
      <c r="CS7" s="38">
        <f t="shared" si="3"/>
        <v>0</v>
      </c>
      <c r="CT7" s="38">
        <f t="shared" si="3"/>
        <v>0</v>
      </c>
      <c r="CU7" s="38">
        <f t="shared" si="3"/>
        <v>0</v>
      </c>
      <c r="CV7" s="38">
        <f t="shared" si="3"/>
        <v>0</v>
      </c>
      <c r="CW7" s="40"/>
    </row>
    <row r="8" spans="1:103" customFormat="1" ht="15" x14ac:dyDescent="0.25"/>
    <row r="9" spans="1:103" customFormat="1" ht="15" x14ac:dyDescent="0.25">
      <c r="A9" s="41" t="str">
        <f>E5</f>
        <v>MARKET</v>
      </c>
      <c r="B9" s="42"/>
      <c r="C9" s="43"/>
      <c r="D9" s="44"/>
      <c r="E9" s="44"/>
      <c r="F9" s="45"/>
      <c r="G9" s="46"/>
      <c r="H9" s="47"/>
      <c r="I9" s="48"/>
      <c r="J9" s="49"/>
      <c r="K9" s="50"/>
      <c r="L9" s="51"/>
      <c r="M9" s="52"/>
      <c r="N9" s="53"/>
      <c r="O9" s="54"/>
      <c r="P9" s="55"/>
    </row>
    <row r="10" spans="1:103" customFormat="1" ht="15" x14ac:dyDescent="0.25">
      <c r="A10" s="56"/>
      <c r="B10" s="57"/>
      <c r="C10" s="58"/>
      <c r="D10" s="59" t="s">
        <v>112</v>
      </c>
      <c r="E10" s="59" t="s">
        <v>113</v>
      </c>
      <c r="F10" s="60" t="s">
        <v>114</v>
      </c>
      <c r="G10" s="61"/>
      <c r="H10" s="62"/>
      <c r="I10" s="63"/>
      <c r="J10" s="64"/>
      <c r="K10" s="1"/>
      <c r="L10" s="65"/>
      <c r="M10" s="66"/>
      <c r="N10" s="67"/>
      <c r="O10" s="68"/>
      <c r="P10" s="69"/>
    </row>
    <row r="11" spans="1:103" customFormat="1" ht="13.5" customHeight="1" x14ac:dyDescent="0.25">
      <c r="A11" s="70" t="s">
        <v>151</v>
      </c>
      <c r="B11" s="71"/>
      <c r="C11" s="72"/>
      <c r="D11" s="73">
        <f>R7</f>
        <v>885</v>
      </c>
      <c r="E11" s="74"/>
      <c r="F11" s="75" t="str">
        <f>"In payment for 10kg of watermelon and 5 pcs of pineapple for breakfast buffet using housefund received on " &amp; TEXT(A5, "mmmm dd, yyyy") &amp; " with PR#30088 RR#50147" &amp; " CPO#" &amp;B5</f>
        <v>In payment for 10kg of watermelon and 5 pcs of pineapple for breakfast buffet using housefund received on August 02, 2025 with PR#30088 RR#50147 CPO#18955</v>
      </c>
      <c r="G11" s="76"/>
      <c r="H11" s="77"/>
      <c r="I11" s="77"/>
      <c r="J11" s="76"/>
      <c r="K11" s="1"/>
      <c r="L11" s="65"/>
      <c r="M11" s="78"/>
      <c r="N11" s="79"/>
      <c r="O11" s="80"/>
      <c r="P11" s="81"/>
    </row>
    <row r="12" spans="1:103" customFormat="1" ht="15" x14ac:dyDescent="0.25">
      <c r="A12" s="70" t="s">
        <v>115</v>
      </c>
      <c r="B12" s="71"/>
      <c r="C12" s="72"/>
      <c r="D12" s="73">
        <f>Q7</f>
        <v>0</v>
      </c>
      <c r="E12" s="74"/>
      <c r="F12" s="64" t="str">
        <f>"Recording input VAT for expenses and purchases made using house fund for " &amp; TEXT(A5, "mmmm dd, yyyy")</f>
        <v>Recording input VAT for expenses and purchases made using house fund for August 02,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85" t="s">
        <v>116</v>
      </c>
      <c r="B13" s="86"/>
      <c r="C13" s="87"/>
      <c r="D13" s="88"/>
      <c r="E13" s="74">
        <f>P7</f>
        <v>0</v>
      </c>
      <c r="F13" s="89" t="str">
        <f>"Recording the tax withheld for expenses and purchases using the house fund received on " &amp; TEXT(A5, "mmmm dd, yyyy")</f>
        <v>Recording the tax withheld for expenses and purchases using the house fund received on August 02, 2025</v>
      </c>
      <c r="G13" s="82"/>
      <c r="H13" s="83" t="s">
        <v>351</v>
      </c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70" t="s">
        <v>117</v>
      </c>
      <c r="B14" s="86"/>
      <c r="C14" s="87"/>
      <c r="D14" s="90"/>
      <c r="E14" s="91">
        <f>M7</f>
        <v>885</v>
      </c>
      <c r="F14" s="89" t="str">
        <f>"Recording house fund expenses for replenishment on " &amp; TEXT(A5, "mmmm dd, yyyy")</f>
        <v>Recording house fund expenses for replenishment on August 02,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85"/>
      <c r="B15" s="86"/>
      <c r="C15" s="87"/>
      <c r="D15" s="88">
        <f>SUM(D11:D12)</f>
        <v>885</v>
      </c>
      <c r="E15" s="88">
        <f>SUM(E11:E14)</f>
        <v>885</v>
      </c>
      <c r="F15" s="92"/>
      <c r="G15" s="92"/>
      <c r="H15" s="93"/>
      <c r="I15" s="94"/>
      <c r="J15" s="92"/>
      <c r="K15" s="1"/>
      <c r="L15" s="65"/>
      <c r="M15" s="66"/>
      <c r="N15" s="67"/>
      <c r="O15" s="68"/>
      <c r="P15" s="69"/>
    </row>
    <row r="16" spans="1:103" customFormat="1" ht="15" x14ac:dyDescent="0.25">
      <c r="A16" s="95" t="s">
        <v>118</v>
      </c>
      <c r="B16" s="96" t="str">
        <f>"To record house fund expenses on " &amp; TEXT(A5, "mmmm dd, yyyy") &amp; " with PCV#" &amp; C5</f>
        <v>To record house fund expenses on August 02, 2025 with PCV#20845</v>
      </c>
      <c r="C16" s="97"/>
      <c r="D16" s="98"/>
      <c r="E16" s="98"/>
      <c r="F16" s="98"/>
      <c r="G16" s="92"/>
      <c r="H16" s="93"/>
      <c r="I16" s="94"/>
      <c r="J16" s="92"/>
      <c r="K16" s="1"/>
      <c r="L16" s="65"/>
      <c r="M16" s="66"/>
      <c r="N16" s="67"/>
      <c r="O16" s="68"/>
      <c r="P16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EBF9C-540E-4E72-AE85-1D3179995523}">
  <sheetPr>
    <tabColor rgb="FFFFC0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710937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ht="12" x14ac:dyDescent="0.2">
      <c r="A5" s="2">
        <v>45871</v>
      </c>
      <c r="B5" s="3" t="s">
        <v>350</v>
      </c>
      <c r="C5" s="4" t="s">
        <v>508</v>
      </c>
      <c r="D5" s="5" t="s">
        <v>133</v>
      </c>
      <c r="E5" s="6" t="s">
        <v>266</v>
      </c>
      <c r="F5" s="7"/>
      <c r="G5" s="8"/>
      <c r="H5" s="8"/>
      <c r="I5" s="10" t="s">
        <v>396</v>
      </c>
      <c r="J5" s="11" t="s">
        <v>342</v>
      </c>
      <c r="K5" s="12">
        <v>1</v>
      </c>
      <c r="L5" s="13">
        <v>80</v>
      </c>
      <c r="M5" s="14">
        <f t="shared" ref="M5" si="0">L5*K5</f>
        <v>80</v>
      </c>
      <c r="N5" s="15"/>
      <c r="O5" s="16" t="s">
        <v>137</v>
      </c>
      <c r="P5" s="17"/>
      <c r="Q5" s="18"/>
      <c r="R5" s="17">
        <f>M5+P5-Q5</f>
        <v>80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J5" s="19"/>
      <c r="AK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80</v>
      </c>
      <c r="N6" s="38">
        <f>M6</f>
        <v>80</v>
      </c>
      <c r="O6" s="39" t="s">
        <v>137</v>
      </c>
      <c r="P6" s="38"/>
      <c r="Q6" s="38"/>
      <c r="R6" s="38">
        <f>SUM(R5:R5)</f>
        <v>80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J6" s="38">
        <f t="shared" ref="AJ6:AZ6" si="2">SUM(AJ5:AJ5)</f>
        <v>0</v>
      </c>
      <c r="AK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MARKET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80</v>
      </c>
      <c r="E10" s="74"/>
      <c r="F10" s="75" t="str">
        <f>"In payment for 1pc of pineapple for breakfast buffet using housefund received on " &amp; TEXT(A5, "mmmm dd, yyyy") &amp; " with PR#30088 RR#50146" &amp; " CPO#" &amp;B5</f>
        <v>In payment for 1pc of pineapple for breakfast buffet using housefund received on August 02, 2025 with PR#30088 RR#50146 CPO#18955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02,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02, 2025</v>
      </c>
      <c r="G12" s="82"/>
      <c r="H12" s="83" t="s">
        <v>351</v>
      </c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80</v>
      </c>
      <c r="F13" s="89" t="str">
        <f>"Recording house fund expenses for replenishment on " &amp; TEXT(A5, "mmmm dd, yyyy")</f>
        <v>Recording house fund expenses for replenishment on August 02,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80</v>
      </c>
      <c r="E14" s="88">
        <f>SUM(E10:E13)</f>
        <v>80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02, 2025 with PCV#20846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68A2E-8935-4B73-94D3-3CD0B81BB221}">
  <sheetPr>
    <tabColor rgb="FFFFC000"/>
  </sheetPr>
  <dimension ref="A1:CY16"/>
  <sheetViews>
    <sheetView workbookViewId="0">
      <selection activeCell="A5" sqref="A5:XFD7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ht="12" x14ac:dyDescent="0.2">
      <c r="A5" s="2">
        <v>45876</v>
      </c>
      <c r="B5" s="3" t="s">
        <v>352</v>
      </c>
      <c r="C5" s="4" t="s">
        <v>509</v>
      </c>
      <c r="D5" s="5" t="s">
        <v>122</v>
      </c>
      <c r="E5" s="156" t="s">
        <v>335</v>
      </c>
      <c r="F5" s="156" t="s">
        <v>356</v>
      </c>
      <c r="G5" s="156" t="s">
        <v>199</v>
      </c>
      <c r="H5" s="156" t="s">
        <v>353</v>
      </c>
      <c r="I5" s="10" t="s">
        <v>354</v>
      </c>
      <c r="J5" s="11" t="s">
        <v>355</v>
      </c>
      <c r="K5" s="12">
        <v>9.34</v>
      </c>
      <c r="L5" s="13">
        <v>189</v>
      </c>
      <c r="M5" s="14">
        <f t="shared" ref="M5:M6" si="0">L5*K5</f>
        <v>1765.26</v>
      </c>
      <c r="N5" s="15"/>
      <c r="O5" s="16" t="s">
        <v>137</v>
      </c>
      <c r="P5" s="17">
        <f>M5*0.01</f>
        <v>17.6526</v>
      </c>
      <c r="Q5" s="18"/>
      <c r="R5" s="17">
        <f>M5+P5-Q5</f>
        <v>1782.9125999999999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355</v>
      </c>
      <c r="K6" s="12">
        <v>10.78</v>
      </c>
      <c r="L6" s="13">
        <v>189</v>
      </c>
      <c r="M6" s="14">
        <f t="shared" si="0"/>
        <v>2037.4199999999998</v>
      </c>
      <c r="N6" s="15"/>
      <c r="O6" s="16" t="s">
        <v>137</v>
      </c>
      <c r="P6" s="17">
        <f>M6*0.01</f>
        <v>20.374199999999998</v>
      </c>
      <c r="Q6" s="18"/>
      <c r="R6" s="17">
        <f t="shared" ref="R6" si="1">M6+P6-Q6</f>
        <v>2057.7941999999998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30" customFormat="1" ht="11.25" x14ac:dyDescent="0.2">
      <c r="A7" s="27"/>
      <c r="B7" s="28"/>
      <c r="C7" s="29"/>
      <c r="E7" s="31"/>
      <c r="F7" s="32"/>
      <c r="G7" s="33"/>
      <c r="H7" s="34"/>
      <c r="I7" s="34"/>
      <c r="J7" s="35"/>
      <c r="K7" s="36"/>
      <c r="L7" s="37"/>
      <c r="M7" s="38">
        <f>SUM(M5:M6)</f>
        <v>3802.68</v>
      </c>
      <c r="N7" s="38">
        <f>M7</f>
        <v>3802.68</v>
      </c>
      <c r="O7" s="39" t="s">
        <v>137</v>
      </c>
      <c r="P7" s="38">
        <f>SUM(P5:P6)</f>
        <v>38.026799999999994</v>
      </c>
      <c r="Q7" s="38">
        <f>SUM(Q5:Q6)</f>
        <v>0</v>
      </c>
      <c r="R7" s="38">
        <f>SUM(R5:R6)</f>
        <v>3840.7067999999999</v>
      </c>
      <c r="S7" s="38">
        <f t="shared" ref="S7:AD7" si="2">SUM(S5:S5)</f>
        <v>0</v>
      </c>
      <c r="T7" s="38">
        <f t="shared" si="2"/>
        <v>0</v>
      </c>
      <c r="U7" s="38">
        <f t="shared" si="2"/>
        <v>0</v>
      </c>
      <c r="V7" s="38">
        <f t="shared" si="2"/>
        <v>0</v>
      </c>
      <c r="W7" s="38">
        <f t="shared" si="2"/>
        <v>0</v>
      </c>
      <c r="X7" s="38">
        <f t="shared" si="2"/>
        <v>0</v>
      </c>
      <c r="Y7" s="38">
        <f t="shared" si="2"/>
        <v>0</v>
      </c>
      <c r="Z7" s="38">
        <f t="shared" si="2"/>
        <v>0</v>
      </c>
      <c r="AA7" s="38">
        <f t="shared" si="2"/>
        <v>0</v>
      </c>
      <c r="AB7" s="38">
        <f t="shared" si="2"/>
        <v>0</v>
      </c>
      <c r="AC7" s="38">
        <f t="shared" si="2"/>
        <v>0</v>
      </c>
      <c r="AD7" s="38">
        <f t="shared" si="2"/>
        <v>0</v>
      </c>
      <c r="AF7" s="38">
        <f>SUM(AF5:AF5)</f>
        <v>0</v>
      </c>
      <c r="AH7" s="38">
        <f t="shared" ref="AH7:AZ7" si="3">SUM(AH5:AH5)</f>
        <v>0</v>
      </c>
      <c r="AI7" s="38">
        <f t="shared" si="3"/>
        <v>0</v>
      </c>
      <c r="AJ7" s="38">
        <f t="shared" si="3"/>
        <v>0</v>
      </c>
      <c r="AK7" s="38">
        <f t="shared" si="3"/>
        <v>0</v>
      </c>
      <c r="AL7" s="38">
        <f t="shared" si="3"/>
        <v>0</v>
      </c>
      <c r="AM7" s="38">
        <f t="shared" si="3"/>
        <v>0</v>
      </c>
      <c r="AN7" s="38">
        <f t="shared" si="3"/>
        <v>0</v>
      </c>
      <c r="AO7" s="38">
        <f t="shared" si="3"/>
        <v>0</v>
      </c>
      <c r="AP7" s="38">
        <f t="shared" si="3"/>
        <v>0</v>
      </c>
      <c r="AQ7" s="38">
        <f t="shared" si="3"/>
        <v>0</v>
      </c>
      <c r="AR7" s="38">
        <f t="shared" si="3"/>
        <v>0</v>
      </c>
      <c r="AS7" s="38">
        <f t="shared" si="3"/>
        <v>0</v>
      </c>
      <c r="AT7" s="38">
        <f t="shared" si="3"/>
        <v>0</v>
      </c>
      <c r="AU7" s="38">
        <f t="shared" si="3"/>
        <v>0</v>
      </c>
      <c r="AV7" s="38">
        <f t="shared" si="3"/>
        <v>0</v>
      </c>
      <c r="AW7" s="38">
        <f t="shared" si="3"/>
        <v>0</v>
      </c>
      <c r="AX7" s="38">
        <f t="shared" si="3"/>
        <v>0</v>
      </c>
      <c r="AY7" s="38">
        <f t="shared" si="3"/>
        <v>0</v>
      </c>
      <c r="AZ7" s="38">
        <f t="shared" si="3"/>
        <v>0</v>
      </c>
      <c r="BB7" s="38">
        <f t="shared" ref="BB7:CV7" si="4">SUM(BB5:BB5)</f>
        <v>0</v>
      </c>
      <c r="BC7" s="38">
        <f t="shared" si="4"/>
        <v>0</v>
      </c>
      <c r="BD7" s="38">
        <f t="shared" si="4"/>
        <v>0</v>
      </c>
      <c r="BE7" s="38">
        <f t="shared" si="4"/>
        <v>0</v>
      </c>
      <c r="BF7" s="38">
        <f t="shared" si="4"/>
        <v>0</v>
      </c>
      <c r="BG7" s="38">
        <f t="shared" si="4"/>
        <v>0</v>
      </c>
      <c r="BH7" s="38">
        <f t="shared" si="4"/>
        <v>0</v>
      </c>
      <c r="BI7" s="38">
        <f t="shared" si="4"/>
        <v>0</v>
      </c>
      <c r="BJ7" s="38">
        <f t="shared" si="4"/>
        <v>0</v>
      </c>
      <c r="BK7" s="38">
        <f t="shared" si="4"/>
        <v>0</v>
      </c>
      <c r="BL7" s="38">
        <f t="shared" si="4"/>
        <v>0</v>
      </c>
      <c r="BM7" s="38">
        <f t="shared" si="4"/>
        <v>0</v>
      </c>
      <c r="BN7" s="38">
        <f t="shared" si="4"/>
        <v>0</v>
      </c>
      <c r="BO7" s="38">
        <f t="shared" si="4"/>
        <v>0</v>
      </c>
      <c r="BP7" s="38">
        <f t="shared" si="4"/>
        <v>0</v>
      </c>
      <c r="BQ7" s="38">
        <f t="shared" si="4"/>
        <v>0</v>
      </c>
      <c r="BR7" s="38">
        <f t="shared" si="4"/>
        <v>0</v>
      </c>
      <c r="BS7" s="38">
        <f t="shared" si="4"/>
        <v>0</v>
      </c>
      <c r="BT7" s="38">
        <f t="shared" si="4"/>
        <v>0</v>
      </c>
      <c r="BU7" s="38">
        <f t="shared" si="4"/>
        <v>0</v>
      </c>
      <c r="BV7" s="38">
        <f t="shared" si="4"/>
        <v>0</v>
      </c>
      <c r="BW7" s="38">
        <f t="shared" si="4"/>
        <v>0</v>
      </c>
      <c r="BX7" s="38">
        <f t="shared" si="4"/>
        <v>0</v>
      </c>
      <c r="BY7" s="38">
        <f t="shared" si="4"/>
        <v>0</v>
      </c>
      <c r="BZ7" s="38">
        <f t="shared" si="4"/>
        <v>0</v>
      </c>
      <c r="CA7" s="38">
        <f t="shared" si="4"/>
        <v>0</v>
      </c>
      <c r="CB7" s="38">
        <f t="shared" si="4"/>
        <v>0</v>
      </c>
      <c r="CC7" s="38">
        <f t="shared" si="4"/>
        <v>0</v>
      </c>
      <c r="CD7" s="38">
        <f t="shared" si="4"/>
        <v>0</v>
      </c>
      <c r="CE7" s="38">
        <f t="shared" si="4"/>
        <v>0</v>
      </c>
      <c r="CF7" s="38">
        <f t="shared" si="4"/>
        <v>0</v>
      </c>
      <c r="CG7" s="38">
        <f t="shared" si="4"/>
        <v>0</v>
      </c>
      <c r="CH7" s="38">
        <f t="shared" si="4"/>
        <v>0</v>
      </c>
      <c r="CI7" s="38">
        <f t="shared" si="4"/>
        <v>0</v>
      </c>
      <c r="CJ7" s="38">
        <f t="shared" si="4"/>
        <v>0</v>
      </c>
      <c r="CK7" s="38">
        <f t="shared" si="4"/>
        <v>0</v>
      </c>
      <c r="CL7" s="38">
        <f t="shared" si="4"/>
        <v>0</v>
      </c>
      <c r="CM7" s="38">
        <f t="shared" si="4"/>
        <v>0</v>
      </c>
      <c r="CN7" s="38">
        <f t="shared" si="4"/>
        <v>0</v>
      </c>
      <c r="CO7" s="38">
        <f t="shared" si="4"/>
        <v>0</v>
      </c>
      <c r="CP7" s="38">
        <f t="shared" si="4"/>
        <v>0</v>
      </c>
      <c r="CQ7" s="38">
        <f t="shared" si="4"/>
        <v>0</v>
      </c>
      <c r="CR7" s="38">
        <f t="shared" si="4"/>
        <v>0</v>
      </c>
      <c r="CS7" s="38">
        <f t="shared" si="4"/>
        <v>0</v>
      </c>
      <c r="CT7" s="38">
        <f t="shared" si="4"/>
        <v>0</v>
      </c>
      <c r="CU7" s="38">
        <f t="shared" si="4"/>
        <v>0</v>
      </c>
      <c r="CV7" s="38">
        <f t="shared" si="4"/>
        <v>0</v>
      </c>
      <c r="CW7" s="40"/>
    </row>
    <row r="8" spans="1:103" customFormat="1" ht="15" x14ac:dyDescent="0.25"/>
    <row r="9" spans="1:103" customFormat="1" ht="15" x14ac:dyDescent="0.25">
      <c r="A9" s="41" t="str">
        <f>E5</f>
        <v xml:space="preserve">SAVEMORE </v>
      </c>
      <c r="B9" s="42"/>
      <c r="C9" s="43"/>
      <c r="D9" s="44"/>
      <c r="E9" s="44"/>
      <c r="F9" s="45"/>
      <c r="G9" s="46"/>
      <c r="H9" s="47"/>
      <c r="I9" s="48"/>
      <c r="J9" s="49"/>
      <c r="K9" s="50"/>
      <c r="L9" s="51"/>
      <c r="M9" s="52"/>
      <c r="N9" s="53"/>
      <c r="O9" s="54"/>
      <c r="P9" s="55"/>
    </row>
    <row r="10" spans="1:103" customFormat="1" ht="15" x14ac:dyDescent="0.25">
      <c r="A10" s="56"/>
      <c r="B10" s="57"/>
      <c r="C10" s="58"/>
      <c r="D10" s="59" t="s">
        <v>112</v>
      </c>
      <c r="E10" s="59" t="s">
        <v>113</v>
      </c>
      <c r="F10" s="60" t="s">
        <v>114</v>
      </c>
      <c r="G10" s="61"/>
      <c r="H10" s="62"/>
      <c r="I10" s="63"/>
      <c r="J10" s="64"/>
      <c r="K10" s="1"/>
      <c r="L10" s="65"/>
      <c r="M10" s="66"/>
      <c r="N10" s="67"/>
      <c r="O10" s="68"/>
      <c r="P10" s="69"/>
    </row>
    <row r="11" spans="1:103" customFormat="1" ht="13.5" customHeight="1" x14ac:dyDescent="0.25">
      <c r="A11" s="70" t="s">
        <v>151</v>
      </c>
      <c r="B11" s="71"/>
      <c r="C11" s="72"/>
      <c r="D11" s="73">
        <f>R7</f>
        <v>3840.7067999999999</v>
      </c>
      <c r="E11" s="74"/>
      <c r="F11" s="75" t="str">
        <f>"In payment for 9.34kg and 10.78kg of whole chicken for employees meal using housefund received on " &amp; TEXT(A5, "mmmm dd, yyyy") &amp; " with SI#06-00380001 PR#30094 RR#50169" &amp; " CPO#" &amp;B5</f>
        <v>In payment for 9.34kg and 10.78kg of whole chicken for employees meal using housefund received on August 07, 2025 with SI#06-00380001 PR#30094 RR#50169 CPO#18957</v>
      </c>
      <c r="G11" s="76"/>
      <c r="H11" s="77"/>
      <c r="I11" s="77"/>
      <c r="J11" s="76"/>
      <c r="K11" s="1"/>
      <c r="L11" s="65"/>
      <c r="M11" s="78"/>
      <c r="N11" s="79"/>
      <c r="O11" s="80"/>
      <c r="P11" s="81"/>
    </row>
    <row r="12" spans="1:103" customFormat="1" ht="15" x14ac:dyDescent="0.25">
      <c r="A12" s="70" t="s">
        <v>115</v>
      </c>
      <c r="B12" s="71"/>
      <c r="C12" s="72"/>
      <c r="D12" s="73">
        <f>Q7</f>
        <v>0</v>
      </c>
      <c r="E12" s="74"/>
      <c r="F12" s="64" t="str">
        <f>"Recording input VAT for expenses and purchases made using house fund for " &amp; TEXT(A5, "mmmm dd, yyyy")</f>
        <v>Recording input VAT for expenses and purchases made using house fund for August 07,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85" t="s">
        <v>116</v>
      </c>
      <c r="B13" s="86"/>
      <c r="C13" s="87"/>
      <c r="D13" s="88"/>
      <c r="E13" s="74">
        <f>P7</f>
        <v>38.026799999999994</v>
      </c>
      <c r="F13" s="89" t="str">
        <f>"Recording the tax withheld for expenses and purchases using the house fund received on " &amp; TEXT(A5, "mmmm dd, yyyy")</f>
        <v>Recording the tax withheld for expenses and purchases using the house fund received on August 07,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70" t="s">
        <v>117</v>
      </c>
      <c r="B14" s="86"/>
      <c r="C14" s="87"/>
      <c r="D14" s="90"/>
      <c r="E14" s="91">
        <f>M7</f>
        <v>3802.68</v>
      </c>
      <c r="F14" s="89" t="str">
        <f>"Recording house fund expenses for replenishment on " &amp; TEXT(A5, "mmmm dd, yyyy")</f>
        <v>Recording house fund expenses for replenishment on August 07,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85"/>
      <c r="B15" s="86"/>
      <c r="C15" s="87"/>
      <c r="D15" s="88">
        <f>SUM(D11:D12)</f>
        <v>3840.7067999999999</v>
      </c>
      <c r="E15" s="88">
        <f>SUM(E11:E14)</f>
        <v>3840.7067999999999</v>
      </c>
      <c r="F15" s="92"/>
      <c r="G15" s="92"/>
      <c r="H15" s="93"/>
      <c r="I15" s="94"/>
      <c r="J15" s="92"/>
      <c r="K15" s="1"/>
      <c r="L15" s="65"/>
      <c r="M15" s="66"/>
      <c r="N15" s="67"/>
      <c r="O15" s="68"/>
      <c r="P15" s="69"/>
    </row>
    <row r="16" spans="1:103" customFormat="1" ht="15" x14ac:dyDescent="0.25">
      <c r="A16" s="95" t="s">
        <v>118</v>
      </c>
      <c r="B16" s="96" t="str">
        <f>"To record house fund expenses on " &amp; TEXT(A5, "mmmm dd, yyyy") &amp; " with PCV#" &amp; C5</f>
        <v>To record house fund expenses on August 07, 2025 with PCV#20847</v>
      </c>
      <c r="C16" s="97"/>
      <c r="D16" s="98"/>
      <c r="E16" s="98"/>
      <c r="F16" s="98"/>
      <c r="G16" s="92"/>
      <c r="H16" s="93"/>
      <c r="I16" s="94"/>
      <c r="J16" s="92"/>
      <c r="K16" s="1"/>
      <c r="L16" s="65"/>
      <c r="M16" s="66"/>
      <c r="N16" s="67"/>
      <c r="O16" s="68"/>
      <c r="P16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7E49B-094C-40A4-A26D-3E294D0941AE}">
  <sheetPr>
    <tabColor rgb="FFFFC0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45875</v>
      </c>
      <c r="B5" s="3" t="s">
        <v>352</v>
      </c>
      <c r="C5" s="4" t="s">
        <v>476</v>
      </c>
      <c r="D5" s="5" t="s">
        <v>122</v>
      </c>
      <c r="E5" s="6" t="s">
        <v>341</v>
      </c>
      <c r="F5" s="7" t="s">
        <v>336</v>
      </c>
      <c r="G5" s="8" t="s">
        <v>199</v>
      </c>
      <c r="H5" s="9" t="s">
        <v>358</v>
      </c>
      <c r="I5" s="10" t="s">
        <v>359</v>
      </c>
      <c r="J5" s="11" t="s">
        <v>360</v>
      </c>
      <c r="K5" s="12">
        <v>10</v>
      </c>
      <c r="L5" s="13">
        <v>30.25</v>
      </c>
      <c r="M5" s="14">
        <f t="shared" ref="M5" si="0">L5*K5</f>
        <v>302.5</v>
      </c>
      <c r="N5" s="15"/>
      <c r="O5" s="16" t="s">
        <v>111</v>
      </c>
      <c r="P5" s="17">
        <f>M5/1.12*0.02</f>
        <v>5.4017857142857135</v>
      </c>
      <c r="Q5" s="18">
        <f>M5/1.12*0.12</f>
        <v>32.410714285714278</v>
      </c>
      <c r="R5" s="17">
        <f>M5+P5-Q5</f>
        <v>275.49107142857144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302.5</v>
      </c>
      <c r="N6" s="38">
        <f>M6</f>
        <v>302.5</v>
      </c>
      <c r="O6" s="39" t="s">
        <v>111</v>
      </c>
      <c r="P6" s="38">
        <f>SUM(P5:P5)</f>
        <v>5.4017857142857135</v>
      </c>
      <c r="Q6" s="38">
        <f>SUM(Q5:Q5)</f>
        <v>32.410714285714278</v>
      </c>
      <c r="R6" s="38">
        <f>SUM(R5:R5)</f>
        <v>275.49107142857144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SAVEMORE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275.49107142857144</v>
      </c>
      <c r="E10" s="74"/>
      <c r="F10" s="75" t="str">
        <f>"In payment for 10 cans of spanish sardines for function and breakfast using housefund received on " &amp; TEXT(A5, "mmmm dd, yyyy") &amp; " with SI#10-00183898 PR#30095 RR#50163" &amp; " CPO#" &amp;B5</f>
        <v>In payment for 10 cans of spanish sardines for function and breakfast using housefund received on August 06, 2025 with SI#10-00183898 PR#30095 RR#50163 CPO#18957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32.410714285714278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06,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5.4017857142857135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06,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302.5</v>
      </c>
      <c r="F13" s="89" t="str">
        <f>"Recording house fund expenses for replenishment on " &amp; TEXT(A5, "mmmm dd, yyyy")</f>
        <v>Recording house fund expenses for replenishment on August 06,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307.90178571428572</v>
      </c>
      <c r="E14" s="88">
        <f>SUM(E10:E13)</f>
        <v>307.90178571428572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06, 2025 with PCV#20848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4E071-72E3-460A-AE12-BA61A210661D}">
  <sheetPr>
    <tabColor rgb="FFFFC000"/>
  </sheetPr>
  <dimension ref="A1:CY16"/>
  <sheetViews>
    <sheetView workbookViewId="0">
      <selection activeCell="A5" sqref="A5:XFD7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45874</v>
      </c>
      <c r="B5" s="3" t="s">
        <v>352</v>
      </c>
      <c r="C5" s="4" t="s">
        <v>510</v>
      </c>
      <c r="D5" s="5" t="s">
        <v>122</v>
      </c>
      <c r="E5" s="6" t="s">
        <v>316</v>
      </c>
      <c r="F5" s="7" t="s">
        <v>229</v>
      </c>
      <c r="G5" s="8" t="s">
        <v>149</v>
      </c>
      <c r="H5" s="9" t="s">
        <v>358</v>
      </c>
      <c r="I5" s="10" t="s">
        <v>361</v>
      </c>
      <c r="J5" s="11" t="s">
        <v>362</v>
      </c>
      <c r="K5" s="12">
        <v>2</v>
      </c>
      <c r="L5" s="13">
        <v>54.5</v>
      </c>
      <c r="M5" s="14">
        <f>L5*K5</f>
        <v>109</v>
      </c>
      <c r="N5" s="15"/>
      <c r="O5" s="16" t="s">
        <v>111</v>
      </c>
      <c r="P5" s="17">
        <f>M5/1.12*0.02</f>
        <v>1.9464285714285712</v>
      </c>
      <c r="Q5" s="18">
        <f>M5/1.12*0.12</f>
        <v>11.678571428571427</v>
      </c>
      <c r="S5" s="17">
        <f>M5+P5-Q5</f>
        <v>99.267857142857139</v>
      </c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363</v>
      </c>
      <c r="K6" s="12">
        <v>2</v>
      </c>
      <c r="L6" s="13">
        <v>54.75</v>
      </c>
      <c r="M6" s="14">
        <f>L6*K6</f>
        <v>109.5</v>
      </c>
      <c r="N6" s="15"/>
      <c r="O6" s="16" t="s">
        <v>111</v>
      </c>
      <c r="P6" s="17">
        <f>M6/1.12*0.02</f>
        <v>1.9553571428571428</v>
      </c>
      <c r="Q6" s="18">
        <f>M6/1.12*0.12</f>
        <v>11.732142857142856</v>
      </c>
      <c r="S6" s="17">
        <f>M6+P6-Q6</f>
        <v>99.723214285714278</v>
      </c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30" customFormat="1" ht="11.25" x14ac:dyDescent="0.2">
      <c r="A7" s="27"/>
      <c r="B7" s="28"/>
      <c r="C7" s="29"/>
      <c r="E7" s="31"/>
      <c r="F7" s="32"/>
      <c r="G7" s="33"/>
      <c r="H7" s="34"/>
      <c r="I7" s="34"/>
      <c r="J7" s="35"/>
      <c r="K7" s="36"/>
      <c r="L7" s="37"/>
      <c r="M7" s="38">
        <f>SUM(M5:M6)</f>
        <v>218.5</v>
      </c>
      <c r="N7" s="38">
        <f>M7</f>
        <v>218.5</v>
      </c>
      <c r="O7" s="39" t="s">
        <v>111</v>
      </c>
      <c r="P7" s="38">
        <f>SUM(P5:P6)</f>
        <v>3.901785714285714</v>
      </c>
      <c r="Q7" s="38">
        <f>SUM(Q5:Q6)</f>
        <v>23.410714285714285</v>
      </c>
      <c r="S7" s="38">
        <f>SUM(S5:S6)</f>
        <v>198.99107142857142</v>
      </c>
      <c r="T7" s="38">
        <f t="shared" ref="T7:AD7" si="0">SUM(T5:T5)</f>
        <v>0</v>
      </c>
      <c r="U7" s="38">
        <f t="shared" si="0"/>
        <v>0</v>
      </c>
      <c r="V7" s="38">
        <f t="shared" si="0"/>
        <v>0</v>
      </c>
      <c r="W7" s="38">
        <f t="shared" si="0"/>
        <v>0</v>
      </c>
      <c r="X7" s="38">
        <f t="shared" si="0"/>
        <v>0</v>
      </c>
      <c r="Y7" s="38">
        <f t="shared" si="0"/>
        <v>0</v>
      </c>
      <c r="Z7" s="38">
        <f t="shared" si="0"/>
        <v>0</v>
      </c>
      <c r="AA7" s="38">
        <f t="shared" si="0"/>
        <v>0</v>
      </c>
      <c r="AB7" s="38">
        <f t="shared" si="0"/>
        <v>0</v>
      </c>
      <c r="AC7" s="38">
        <f t="shared" si="0"/>
        <v>0</v>
      </c>
      <c r="AD7" s="38">
        <f t="shared" si="0"/>
        <v>0</v>
      </c>
      <c r="AF7" s="38">
        <f>SUM(AF5:AF5)</f>
        <v>0</v>
      </c>
      <c r="AH7" s="38">
        <f t="shared" ref="AH7:AZ7" si="1">SUM(AH5:AH5)</f>
        <v>0</v>
      </c>
      <c r="AI7" s="38">
        <f t="shared" si="1"/>
        <v>0</v>
      </c>
      <c r="AJ7" s="38">
        <f t="shared" si="1"/>
        <v>0</v>
      </c>
      <c r="AK7" s="38">
        <f t="shared" si="1"/>
        <v>0</v>
      </c>
      <c r="AL7" s="38">
        <f t="shared" si="1"/>
        <v>0</v>
      </c>
      <c r="AM7" s="38">
        <f t="shared" si="1"/>
        <v>0</v>
      </c>
      <c r="AN7" s="38">
        <f t="shared" si="1"/>
        <v>0</v>
      </c>
      <c r="AO7" s="38">
        <f t="shared" si="1"/>
        <v>0</v>
      </c>
      <c r="AP7" s="38">
        <f t="shared" si="1"/>
        <v>0</v>
      </c>
      <c r="AQ7" s="38">
        <f t="shared" si="1"/>
        <v>0</v>
      </c>
      <c r="AR7" s="38">
        <f t="shared" si="1"/>
        <v>0</v>
      </c>
      <c r="AS7" s="38">
        <f t="shared" si="1"/>
        <v>0</v>
      </c>
      <c r="AT7" s="38">
        <f t="shared" si="1"/>
        <v>0</v>
      </c>
      <c r="AU7" s="38">
        <f t="shared" si="1"/>
        <v>0</v>
      </c>
      <c r="AV7" s="38">
        <f t="shared" si="1"/>
        <v>0</v>
      </c>
      <c r="AW7" s="38">
        <f t="shared" si="1"/>
        <v>0</v>
      </c>
      <c r="AX7" s="38">
        <f t="shared" si="1"/>
        <v>0</v>
      </c>
      <c r="AY7" s="38">
        <f t="shared" si="1"/>
        <v>0</v>
      </c>
      <c r="AZ7" s="38">
        <f t="shared" si="1"/>
        <v>0</v>
      </c>
      <c r="BB7" s="38">
        <f t="shared" ref="BB7:CV7" si="2">SUM(BB5:BB5)</f>
        <v>0</v>
      </c>
      <c r="BC7" s="38">
        <f t="shared" si="2"/>
        <v>0</v>
      </c>
      <c r="BD7" s="38">
        <f t="shared" si="2"/>
        <v>0</v>
      </c>
      <c r="BE7" s="38">
        <f t="shared" si="2"/>
        <v>0</v>
      </c>
      <c r="BF7" s="38">
        <f t="shared" si="2"/>
        <v>0</v>
      </c>
      <c r="BG7" s="38">
        <f t="shared" si="2"/>
        <v>0</v>
      </c>
      <c r="BH7" s="38">
        <f t="shared" si="2"/>
        <v>0</v>
      </c>
      <c r="BI7" s="38">
        <f t="shared" si="2"/>
        <v>0</v>
      </c>
      <c r="BJ7" s="38">
        <f t="shared" si="2"/>
        <v>0</v>
      </c>
      <c r="BK7" s="38">
        <f t="shared" si="2"/>
        <v>0</v>
      </c>
      <c r="BL7" s="38">
        <f t="shared" si="2"/>
        <v>0</v>
      </c>
      <c r="BM7" s="38">
        <f t="shared" si="2"/>
        <v>0</v>
      </c>
      <c r="BN7" s="38">
        <f t="shared" si="2"/>
        <v>0</v>
      </c>
      <c r="BO7" s="38">
        <f t="shared" si="2"/>
        <v>0</v>
      </c>
      <c r="BP7" s="38">
        <f t="shared" si="2"/>
        <v>0</v>
      </c>
      <c r="BQ7" s="38">
        <f t="shared" si="2"/>
        <v>0</v>
      </c>
      <c r="BR7" s="38">
        <f t="shared" si="2"/>
        <v>0</v>
      </c>
      <c r="BT7" s="38">
        <f t="shared" si="2"/>
        <v>0</v>
      </c>
      <c r="BU7" s="38">
        <f t="shared" si="2"/>
        <v>0</v>
      </c>
      <c r="BV7" s="38">
        <f t="shared" si="2"/>
        <v>0</v>
      </c>
      <c r="BW7" s="38">
        <f t="shared" si="2"/>
        <v>0</v>
      </c>
      <c r="BX7" s="38">
        <f t="shared" si="2"/>
        <v>0</v>
      </c>
      <c r="BY7" s="38">
        <f t="shared" si="2"/>
        <v>0</v>
      </c>
      <c r="BZ7" s="38">
        <f t="shared" si="2"/>
        <v>0</v>
      </c>
      <c r="CA7" s="38">
        <f t="shared" si="2"/>
        <v>0</v>
      </c>
      <c r="CB7" s="38">
        <f t="shared" si="2"/>
        <v>0</v>
      </c>
      <c r="CC7" s="38">
        <f t="shared" si="2"/>
        <v>0</v>
      </c>
      <c r="CD7" s="38">
        <f t="shared" si="2"/>
        <v>0</v>
      </c>
      <c r="CE7" s="38">
        <f t="shared" si="2"/>
        <v>0</v>
      </c>
      <c r="CF7" s="38">
        <f t="shared" si="2"/>
        <v>0</v>
      </c>
      <c r="CG7" s="38">
        <f t="shared" si="2"/>
        <v>0</v>
      </c>
      <c r="CH7" s="38">
        <f t="shared" si="2"/>
        <v>0</v>
      </c>
      <c r="CI7" s="38">
        <f t="shared" si="2"/>
        <v>0</v>
      </c>
      <c r="CJ7" s="38">
        <f t="shared" si="2"/>
        <v>0</v>
      </c>
      <c r="CK7" s="38">
        <f t="shared" si="2"/>
        <v>0</v>
      </c>
      <c r="CL7" s="38">
        <f t="shared" si="2"/>
        <v>0</v>
      </c>
      <c r="CM7" s="38">
        <f t="shared" si="2"/>
        <v>0</v>
      </c>
      <c r="CN7" s="38">
        <f t="shared" si="2"/>
        <v>0</v>
      </c>
      <c r="CO7" s="38">
        <f t="shared" si="2"/>
        <v>0</v>
      </c>
      <c r="CP7" s="38">
        <f t="shared" si="2"/>
        <v>0</v>
      </c>
      <c r="CQ7" s="38">
        <f t="shared" si="2"/>
        <v>0</v>
      </c>
      <c r="CR7" s="38">
        <f t="shared" si="2"/>
        <v>0</v>
      </c>
      <c r="CS7" s="38">
        <f t="shared" si="2"/>
        <v>0</v>
      </c>
      <c r="CT7" s="38">
        <f t="shared" si="2"/>
        <v>0</v>
      </c>
      <c r="CU7" s="38">
        <f t="shared" si="2"/>
        <v>0</v>
      </c>
      <c r="CV7" s="38">
        <f t="shared" si="2"/>
        <v>0</v>
      </c>
      <c r="CW7" s="40"/>
    </row>
    <row r="8" spans="1:103" customFormat="1" ht="15" x14ac:dyDescent="0.25"/>
    <row r="9" spans="1:103" customFormat="1" ht="15" x14ac:dyDescent="0.25">
      <c r="A9" s="41" t="str">
        <f>E5</f>
        <v>METRO</v>
      </c>
      <c r="B9" s="42"/>
      <c r="C9" s="43"/>
      <c r="D9" s="44"/>
      <c r="E9" s="44"/>
      <c r="F9" s="45"/>
      <c r="G9" s="46"/>
      <c r="H9" s="47"/>
      <c r="I9" s="48"/>
      <c r="J9" s="49"/>
      <c r="K9" s="50"/>
      <c r="L9" s="51"/>
      <c r="M9" s="52"/>
      <c r="N9" s="53"/>
      <c r="O9" s="54"/>
      <c r="P9" s="55"/>
    </row>
    <row r="10" spans="1:103" customFormat="1" ht="15" x14ac:dyDescent="0.25">
      <c r="A10" s="56"/>
      <c r="B10" s="57"/>
      <c r="C10" s="58"/>
      <c r="D10" s="59" t="s">
        <v>112</v>
      </c>
      <c r="E10" s="59" t="s">
        <v>113</v>
      </c>
      <c r="F10" s="60" t="s">
        <v>114</v>
      </c>
      <c r="G10" s="61"/>
      <c r="H10" s="62"/>
      <c r="I10" s="63"/>
      <c r="J10" s="64"/>
      <c r="K10" s="1"/>
      <c r="L10" s="65"/>
      <c r="M10" s="66"/>
      <c r="N10" s="67"/>
      <c r="O10" s="68"/>
      <c r="P10" s="69"/>
    </row>
    <row r="11" spans="1:103" customFormat="1" ht="13.5" customHeight="1" x14ac:dyDescent="0.25">
      <c r="A11" s="70" t="s">
        <v>364</v>
      </c>
      <c r="B11" s="71"/>
      <c r="C11" s="72"/>
      <c r="D11" s="73">
        <f>S7</f>
        <v>198.99107142857142</v>
      </c>
      <c r="E11" s="74"/>
      <c r="F11" s="75" t="str">
        <f>"In payment for 2 cans of 330ml san mig light and san mig apple for social using housefund received on " &amp; TEXT(A5, "mmmm dd, yyyy") &amp; " with SI#10-00183898 PR#30089 RR#50154" &amp; " CPO#" &amp;B5</f>
        <v>In payment for 2 cans of 330ml san mig light and san mig apple for social using housefund received on August 05, 2025 with SI#10-00183898 PR#30089 RR#50154 CPO#18957</v>
      </c>
      <c r="G11" s="76"/>
      <c r="H11" s="77"/>
      <c r="I11" s="77"/>
      <c r="J11" s="76"/>
      <c r="K11" s="1"/>
      <c r="L11" s="65"/>
      <c r="M11" s="78"/>
      <c r="N11" s="79"/>
      <c r="O11" s="80"/>
      <c r="P11" s="81"/>
    </row>
    <row r="12" spans="1:103" customFormat="1" ht="15" x14ac:dyDescent="0.25">
      <c r="A12" s="70" t="s">
        <v>115</v>
      </c>
      <c r="B12" s="71"/>
      <c r="C12" s="72"/>
      <c r="D12" s="73">
        <f>Q7</f>
        <v>23.410714285714285</v>
      </c>
      <c r="E12" s="74"/>
      <c r="F12" s="64" t="str">
        <f>"Recording input VAT for expenses and purchases made using house fund for " &amp; TEXT(A5, "mmmm dd, yyyy")</f>
        <v>Recording input VAT for expenses and purchases made using house fund for August 05,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85" t="s">
        <v>116</v>
      </c>
      <c r="B13" s="86"/>
      <c r="C13" s="87"/>
      <c r="D13" s="88"/>
      <c r="E13" s="74">
        <f>P7</f>
        <v>3.901785714285714</v>
      </c>
      <c r="F13" s="89" t="str">
        <f>"Recording the tax withheld for expenses and purchases using the house fund received on " &amp; TEXT(A5, "mmmm dd, yyyy")</f>
        <v>Recording the tax withheld for expenses and purchases using the house fund received on August 05,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70" t="s">
        <v>117</v>
      </c>
      <c r="B14" s="86"/>
      <c r="C14" s="87"/>
      <c r="D14" s="90"/>
      <c r="E14" s="91">
        <f>M7</f>
        <v>218.5</v>
      </c>
      <c r="F14" s="89" t="str">
        <f>"Recording house fund expenses for replenishment on " &amp; TEXT(A5, "mmmm dd, yyyy")</f>
        <v>Recording house fund expenses for replenishment on August 05,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85"/>
      <c r="B15" s="86"/>
      <c r="C15" s="87"/>
      <c r="D15" s="88">
        <f>SUM(D11:D12)</f>
        <v>222.40178571428569</v>
      </c>
      <c r="E15" s="88">
        <f>SUM(E11:E14)</f>
        <v>222.40178571428572</v>
      </c>
      <c r="F15" s="92"/>
      <c r="G15" s="92"/>
      <c r="H15" s="93"/>
      <c r="I15" s="94"/>
      <c r="J15" s="92"/>
      <c r="K15" s="1"/>
      <c r="L15" s="65"/>
      <c r="M15" s="66"/>
      <c r="N15" s="67"/>
      <c r="O15" s="68"/>
      <c r="P15" s="69"/>
    </row>
    <row r="16" spans="1:103" customFormat="1" ht="15" x14ac:dyDescent="0.25">
      <c r="A16" s="95" t="s">
        <v>118</v>
      </c>
      <c r="B16" s="96" t="str">
        <f>"To record house fund expenses on " &amp; TEXT(A5, "mmmm dd, yyyy") &amp; " with PCV#" &amp; C5</f>
        <v>To record house fund expenses on August 05, 2025 with PCV#20849</v>
      </c>
      <c r="C16" s="97"/>
      <c r="D16" s="98"/>
      <c r="E16" s="98"/>
      <c r="F16" s="98"/>
      <c r="G16" s="92"/>
      <c r="H16" s="93"/>
      <c r="I16" s="94"/>
      <c r="J16" s="92"/>
      <c r="K16" s="1"/>
      <c r="L16" s="65"/>
      <c r="M16" s="66"/>
      <c r="N16" s="67"/>
      <c r="O16" s="68"/>
      <c r="P16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7EE37-484B-4FC4-8941-3FDB7FF5F49F}">
  <sheetPr>
    <tabColor rgb="FFFFC0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45875</v>
      </c>
      <c r="B5" s="3" t="s">
        <v>352</v>
      </c>
      <c r="C5" s="4" t="s">
        <v>511</v>
      </c>
      <c r="D5" s="5" t="s">
        <v>122</v>
      </c>
      <c r="E5" s="6" t="s">
        <v>365</v>
      </c>
      <c r="F5" s="7" t="s">
        <v>366</v>
      </c>
      <c r="G5" s="8" t="s">
        <v>367</v>
      </c>
      <c r="H5" s="9">
        <v>121305</v>
      </c>
      <c r="I5" s="10" t="s">
        <v>368</v>
      </c>
      <c r="J5" s="11" t="s">
        <v>369</v>
      </c>
      <c r="K5" s="12">
        <v>4</v>
      </c>
      <c r="L5" s="13">
        <v>315</v>
      </c>
      <c r="M5" s="14">
        <f>L5*K5</f>
        <v>1260</v>
      </c>
      <c r="N5" s="15"/>
      <c r="O5" s="16" t="s">
        <v>137</v>
      </c>
      <c r="P5" s="17">
        <f>M5*0.02</f>
        <v>25.2</v>
      </c>
      <c r="Q5" s="18"/>
      <c r="R5" s="17">
        <f>M5+P5-Q5</f>
        <v>1285.2</v>
      </c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1260</v>
      </c>
      <c r="N6" s="38">
        <f>M6</f>
        <v>1260</v>
      </c>
      <c r="O6" s="39" t="s">
        <v>137</v>
      </c>
      <c r="P6" s="38">
        <f>SUM(P5:P5)</f>
        <v>25.2</v>
      </c>
      <c r="Q6" s="38"/>
      <c r="R6" s="38">
        <f>SUM(R5:R5)</f>
        <v>1285.2</v>
      </c>
      <c r="T6" s="38">
        <f t="shared" ref="T6:AD6" si="0">SUM(T5:T5)</f>
        <v>0</v>
      </c>
      <c r="U6" s="38">
        <f t="shared" si="0"/>
        <v>0</v>
      </c>
      <c r="V6" s="38">
        <f t="shared" si="0"/>
        <v>0</v>
      </c>
      <c r="W6" s="38">
        <f t="shared" si="0"/>
        <v>0</v>
      </c>
      <c r="X6" s="38">
        <f t="shared" si="0"/>
        <v>0</v>
      </c>
      <c r="Y6" s="38">
        <f t="shared" si="0"/>
        <v>0</v>
      </c>
      <c r="Z6" s="38">
        <f t="shared" si="0"/>
        <v>0</v>
      </c>
      <c r="AA6" s="38">
        <f t="shared" si="0"/>
        <v>0</v>
      </c>
      <c r="AB6" s="38">
        <f t="shared" si="0"/>
        <v>0</v>
      </c>
      <c r="AC6" s="38">
        <f t="shared" si="0"/>
        <v>0</v>
      </c>
      <c r="AD6" s="38">
        <f t="shared" si="0"/>
        <v>0</v>
      </c>
      <c r="AF6" s="38">
        <f>SUM(AF5:AF5)</f>
        <v>0</v>
      </c>
      <c r="AH6" s="38">
        <f t="shared" ref="AH6:AZ6" si="1">SUM(AH5:AH5)</f>
        <v>0</v>
      </c>
      <c r="AI6" s="38">
        <f t="shared" si="1"/>
        <v>0</v>
      </c>
      <c r="AJ6" s="38">
        <f t="shared" si="1"/>
        <v>0</v>
      </c>
      <c r="AK6" s="38">
        <f t="shared" si="1"/>
        <v>0</v>
      </c>
      <c r="AL6" s="38">
        <f t="shared" si="1"/>
        <v>0</v>
      </c>
      <c r="AM6" s="38">
        <f t="shared" si="1"/>
        <v>0</v>
      </c>
      <c r="AN6" s="38">
        <f t="shared" si="1"/>
        <v>0</v>
      </c>
      <c r="AO6" s="38">
        <f t="shared" si="1"/>
        <v>0</v>
      </c>
      <c r="AP6" s="38">
        <f t="shared" si="1"/>
        <v>0</v>
      </c>
      <c r="AQ6" s="38">
        <f t="shared" si="1"/>
        <v>0</v>
      </c>
      <c r="AR6" s="38">
        <f t="shared" si="1"/>
        <v>0</v>
      </c>
      <c r="AS6" s="38">
        <f t="shared" si="1"/>
        <v>0</v>
      </c>
      <c r="AT6" s="38">
        <f t="shared" si="1"/>
        <v>0</v>
      </c>
      <c r="AU6" s="38">
        <f t="shared" si="1"/>
        <v>0</v>
      </c>
      <c r="AV6" s="38">
        <f t="shared" si="1"/>
        <v>0</v>
      </c>
      <c r="AW6" s="38">
        <f t="shared" si="1"/>
        <v>0</v>
      </c>
      <c r="AX6" s="38">
        <f t="shared" si="1"/>
        <v>0</v>
      </c>
      <c r="AY6" s="38">
        <f t="shared" si="1"/>
        <v>0</v>
      </c>
      <c r="AZ6" s="38">
        <f t="shared" si="1"/>
        <v>0</v>
      </c>
      <c r="BB6" s="38">
        <f t="shared" ref="BB6:CV6" si="2">SUM(BB5:BB5)</f>
        <v>0</v>
      </c>
      <c r="BC6" s="38">
        <f t="shared" si="2"/>
        <v>0</v>
      </c>
      <c r="BD6" s="38">
        <f t="shared" si="2"/>
        <v>0</v>
      </c>
      <c r="BE6" s="38">
        <f t="shared" si="2"/>
        <v>0</v>
      </c>
      <c r="BF6" s="38">
        <f t="shared" si="2"/>
        <v>0</v>
      </c>
      <c r="BG6" s="38">
        <f t="shared" si="2"/>
        <v>0</v>
      </c>
      <c r="BH6" s="38">
        <f t="shared" si="2"/>
        <v>0</v>
      </c>
      <c r="BI6" s="38">
        <f t="shared" si="2"/>
        <v>0</v>
      </c>
      <c r="BJ6" s="38">
        <f t="shared" si="2"/>
        <v>0</v>
      </c>
      <c r="BK6" s="38">
        <f t="shared" si="2"/>
        <v>0</v>
      </c>
      <c r="BL6" s="38">
        <f t="shared" si="2"/>
        <v>0</v>
      </c>
      <c r="BM6" s="38">
        <f t="shared" si="2"/>
        <v>0</v>
      </c>
      <c r="BN6" s="38">
        <f t="shared" si="2"/>
        <v>0</v>
      </c>
      <c r="BO6" s="38">
        <f t="shared" si="2"/>
        <v>0</v>
      </c>
      <c r="BP6" s="38">
        <f t="shared" si="2"/>
        <v>0</v>
      </c>
      <c r="BQ6" s="38">
        <f t="shared" si="2"/>
        <v>0</v>
      </c>
      <c r="BR6" s="38">
        <f t="shared" si="2"/>
        <v>0</v>
      </c>
      <c r="BT6" s="38">
        <f t="shared" si="2"/>
        <v>0</v>
      </c>
      <c r="BU6" s="38">
        <f t="shared" si="2"/>
        <v>0</v>
      </c>
      <c r="BV6" s="38">
        <f t="shared" si="2"/>
        <v>0</v>
      </c>
      <c r="BW6" s="38">
        <f t="shared" si="2"/>
        <v>0</v>
      </c>
      <c r="BX6" s="38">
        <f t="shared" si="2"/>
        <v>0</v>
      </c>
      <c r="BY6" s="38">
        <f t="shared" si="2"/>
        <v>0</v>
      </c>
      <c r="BZ6" s="38">
        <f t="shared" si="2"/>
        <v>0</v>
      </c>
      <c r="CA6" s="38">
        <f t="shared" si="2"/>
        <v>0</v>
      </c>
      <c r="CB6" s="38">
        <f t="shared" si="2"/>
        <v>0</v>
      </c>
      <c r="CC6" s="38">
        <f t="shared" si="2"/>
        <v>0</v>
      </c>
      <c r="CD6" s="38">
        <f t="shared" si="2"/>
        <v>0</v>
      </c>
      <c r="CE6" s="38">
        <f t="shared" si="2"/>
        <v>0</v>
      </c>
      <c r="CF6" s="38">
        <f t="shared" si="2"/>
        <v>0</v>
      </c>
      <c r="CG6" s="38">
        <f t="shared" si="2"/>
        <v>0</v>
      </c>
      <c r="CH6" s="38">
        <f t="shared" si="2"/>
        <v>0</v>
      </c>
      <c r="CI6" s="38">
        <f t="shared" si="2"/>
        <v>0</v>
      </c>
      <c r="CJ6" s="38">
        <f t="shared" si="2"/>
        <v>0</v>
      </c>
      <c r="CK6" s="38">
        <f t="shared" si="2"/>
        <v>0</v>
      </c>
      <c r="CL6" s="38">
        <f t="shared" si="2"/>
        <v>0</v>
      </c>
      <c r="CM6" s="38">
        <f t="shared" si="2"/>
        <v>0</v>
      </c>
      <c r="CN6" s="38">
        <f t="shared" si="2"/>
        <v>0</v>
      </c>
      <c r="CO6" s="38">
        <f t="shared" si="2"/>
        <v>0</v>
      </c>
      <c r="CP6" s="38">
        <f t="shared" si="2"/>
        <v>0</v>
      </c>
      <c r="CQ6" s="38">
        <f t="shared" si="2"/>
        <v>0</v>
      </c>
      <c r="CR6" s="38">
        <f t="shared" si="2"/>
        <v>0</v>
      </c>
      <c r="CS6" s="38">
        <f t="shared" si="2"/>
        <v>0</v>
      </c>
      <c r="CT6" s="38">
        <f t="shared" si="2"/>
        <v>0</v>
      </c>
      <c r="CU6" s="38">
        <f t="shared" si="2"/>
        <v>0</v>
      </c>
      <c r="CV6" s="38">
        <f t="shared" si="2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KINGS QUALITY FOODS INC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1285.2</v>
      </c>
      <c r="E10" s="74"/>
      <c r="F10" s="75" t="str">
        <f>"In payment for 4kg of chicken sausage for function and breakfast using housefund received on " &amp; TEXT(A5, "mmmm dd, yyyy") &amp; " with SI#121305 PR#30095 RR#50164" &amp; " CPO#" &amp;B5</f>
        <v>In payment for 4kg of chicken sausage for function and breakfast using housefund received on August 06, 2025 with SI#121305 PR#30095 RR#50164 CPO#18957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06,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25.2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06,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1260</v>
      </c>
      <c r="F13" s="89" t="str">
        <f>"Recording house fund expenses for replenishment on " &amp; TEXT(A5, "mmmm dd, yyyy")</f>
        <v>Recording house fund expenses for replenishment on August 06,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1285.2</v>
      </c>
      <c r="E14" s="88">
        <f>SUM(E10:E13)</f>
        <v>1285.2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06, 2025 with PCV#20850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FEC6-6DE5-421C-9E66-94031BA4AC33}">
  <sheetPr>
    <tabColor rgb="FFFFC0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45873</v>
      </c>
      <c r="B5" s="3" t="s">
        <v>352</v>
      </c>
      <c r="C5" s="4" t="s">
        <v>477</v>
      </c>
      <c r="D5" s="5" t="s">
        <v>122</v>
      </c>
      <c r="E5" s="6" t="s">
        <v>335</v>
      </c>
      <c r="F5" s="7" t="s">
        <v>336</v>
      </c>
      <c r="G5" s="8" t="s">
        <v>357</v>
      </c>
      <c r="H5" s="9" t="s">
        <v>371</v>
      </c>
      <c r="I5" s="10" t="s">
        <v>372</v>
      </c>
      <c r="J5" s="11" t="s">
        <v>355</v>
      </c>
      <c r="K5" s="12">
        <v>9.85</v>
      </c>
      <c r="L5" s="13">
        <v>189</v>
      </c>
      <c r="M5" s="14">
        <f t="shared" ref="M5" si="0">L5*K5</f>
        <v>1861.6499999999999</v>
      </c>
      <c r="N5" s="15"/>
      <c r="O5" s="16" t="s">
        <v>137</v>
      </c>
      <c r="P5" s="17">
        <f>M5*0.01</f>
        <v>18.616499999999998</v>
      </c>
      <c r="Q5" s="18"/>
      <c r="R5" s="17">
        <f>M5+P5-Q5</f>
        <v>1880.2665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1861.6499999999999</v>
      </c>
      <c r="N6" s="38">
        <f>M6</f>
        <v>1861.6499999999999</v>
      </c>
      <c r="O6" s="39" t="s">
        <v>137</v>
      </c>
      <c r="P6" s="38">
        <f>SUM(P5:P5)</f>
        <v>18.616499999999998</v>
      </c>
      <c r="Q6" s="38"/>
      <c r="R6" s="38">
        <f>SUM(R5:R5)</f>
        <v>1880.2665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 xml:space="preserve">SAVEMORE 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1880.2665</v>
      </c>
      <c r="E10" s="74"/>
      <c r="F10" s="75" t="str">
        <f>"In payment for 9.8kg of chicken whole for employees meal using housefund received on " &amp; TEXT(A5, "mmmm dd, yyyy") &amp; " with SI#03-00305617 PR#30094 RR#50151" &amp; " CPO#" &amp;B5</f>
        <v>In payment for 9.8kg of chicken whole for employees meal using housefund received on August 04, 2025 with SI#03-00305617 PR#30094 RR#50151 CPO#18957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04,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18.616499999999998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04,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1861.6499999999999</v>
      </c>
      <c r="F13" s="89" t="str">
        <f>"Recording house fund expenses for replenishment on " &amp; TEXT(A5, "mmmm dd, yyyy")</f>
        <v>Recording house fund expenses for replenishment on August 04,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1880.2665</v>
      </c>
      <c r="E14" s="88">
        <f>SUM(E10:E13)</f>
        <v>1880.2665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04, 2025 with PCV#20851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40EDC-1CD7-4538-8C36-E42D2AE22D28}">
  <sheetPr>
    <tabColor rgb="FFFFC0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45874</v>
      </c>
      <c r="B5" s="3" t="s">
        <v>352</v>
      </c>
      <c r="C5" s="4" t="s">
        <v>478</v>
      </c>
      <c r="D5" s="5" t="s">
        <v>122</v>
      </c>
      <c r="E5" s="6" t="s">
        <v>341</v>
      </c>
      <c r="F5" s="7" t="s">
        <v>336</v>
      </c>
      <c r="G5" s="8" t="s">
        <v>149</v>
      </c>
      <c r="H5" s="9" t="s">
        <v>373</v>
      </c>
      <c r="I5" s="10" t="s">
        <v>374</v>
      </c>
      <c r="J5" s="11" t="s">
        <v>375</v>
      </c>
      <c r="K5" s="12">
        <v>9.9</v>
      </c>
      <c r="L5" s="13">
        <v>289</v>
      </c>
      <c r="M5" s="14">
        <f t="shared" ref="M5" si="0">L5*K5</f>
        <v>2861.1</v>
      </c>
      <c r="N5" s="15"/>
      <c r="O5" s="16" t="s">
        <v>111</v>
      </c>
      <c r="P5" s="17">
        <f>M5*0.01</f>
        <v>28.611000000000001</v>
      </c>
      <c r="Q5" s="18"/>
      <c r="R5" s="17">
        <f>M5+P5-Q5</f>
        <v>2889.7109999999998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2861.1</v>
      </c>
      <c r="N6" s="38">
        <f>M6</f>
        <v>2861.1</v>
      </c>
      <c r="O6" s="39" t="s">
        <v>111</v>
      </c>
      <c r="P6" s="38">
        <f>SUM(P5:P5)</f>
        <v>28.611000000000001</v>
      </c>
      <c r="Q6" s="38"/>
      <c r="R6" s="38">
        <f>SUM(R5:R5)</f>
        <v>2889.7109999999998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SAVEMORE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2889.7109999999998</v>
      </c>
      <c r="E10" s="74"/>
      <c r="F10" s="75" t="str">
        <f>"In payment for 9.9kg of pork casing for employees meal using housefund received on " &amp; TEXT(A5, "mmmm dd, yyyy") &amp; " with SI#11-00308055 PR#30094 RR#50155" &amp; " CPO#" &amp;B5</f>
        <v>In payment for 9.9kg of pork casing for employees meal using housefund received on August 05, 2025 with SI#11-00308055 PR#30094 RR#50155 CPO#18957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05,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28.611000000000001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05,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2861.1</v>
      </c>
      <c r="F13" s="89" t="str">
        <f>"Recording house fund expenses for replenishment on " &amp; TEXT(A5, "mmmm dd, yyyy")</f>
        <v>Recording house fund expenses for replenishment on August 05,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2889.7109999999998</v>
      </c>
      <c r="E14" s="88">
        <f>SUM(E10:E13)</f>
        <v>2889.7109999999998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05, 2025 with PCV#20852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3CBBD-1340-41A8-887A-3CAD7324075F}">
  <sheetPr>
    <tabColor rgb="FFFFC000"/>
  </sheetPr>
  <dimension ref="A1:CY16"/>
  <sheetViews>
    <sheetView workbookViewId="0">
      <selection activeCell="A5" sqref="A5:XFD7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45874</v>
      </c>
      <c r="B5" s="3" t="s">
        <v>352</v>
      </c>
      <c r="C5" s="4" t="s">
        <v>479</v>
      </c>
      <c r="D5" s="5" t="s">
        <v>122</v>
      </c>
      <c r="E5" s="6" t="s">
        <v>341</v>
      </c>
      <c r="F5" s="7" t="s">
        <v>294</v>
      </c>
      <c r="G5" s="8" t="s">
        <v>149</v>
      </c>
      <c r="H5" s="9" t="s">
        <v>376</v>
      </c>
      <c r="I5" s="10" t="s">
        <v>377</v>
      </c>
      <c r="J5" s="11" t="s">
        <v>378</v>
      </c>
      <c r="K5" s="12">
        <v>4</v>
      </c>
      <c r="L5" s="13">
        <v>54</v>
      </c>
      <c r="M5" s="14">
        <f t="shared" ref="M5:M6" si="0">L5*K5</f>
        <v>216</v>
      </c>
      <c r="N5" s="15"/>
      <c r="O5" s="16" t="s">
        <v>111</v>
      </c>
      <c r="P5" s="17">
        <f>M5/1.12*0.01</f>
        <v>1.9285714285714284</v>
      </c>
      <c r="Q5" s="18">
        <f>M5/1.12*0.12</f>
        <v>23.142857142857139</v>
      </c>
      <c r="R5" s="17">
        <f>M5+P5-Q5</f>
        <v>194.78571428571428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379</v>
      </c>
      <c r="K6" s="12">
        <v>5</v>
      </c>
      <c r="L6" s="13">
        <v>96</v>
      </c>
      <c r="M6" s="14">
        <f t="shared" si="0"/>
        <v>480</v>
      </c>
      <c r="N6" s="15"/>
      <c r="O6" s="16" t="s">
        <v>111</v>
      </c>
      <c r="P6" s="17">
        <f t="shared" ref="P6" si="1">M6/1.12*0.01</f>
        <v>4.2857142857142856</v>
      </c>
      <c r="Q6" s="18">
        <f t="shared" ref="Q6" si="2">M6/1.12*0.12</f>
        <v>51.428571428571423</v>
      </c>
      <c r="R6" s="17">
        <f t="shared" ref="R6" si="3">M6+P6-Q6</f>
        <v>432.85714285714283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30" customFormat="1" ht="11.25" x14ac:dyDescent="0.2">
      <c r="A7" s="27"/>
      <c r="B7" s="28"/>
      <c r="C7" s="29"/>
      <c r="E7" s="31"/>
      <c r="F7" s="32"/>
      <c r="G7" s="33"/>
      <c r="H7" s="34"/>
      <c r="I7" s="34"/>
      <c r="J7" s="35"/>
      <c r="K7" s="36"/>
      <c r="L7" s="37"/>
      <c r="M7" s="38">
        <f>SUM(M5:M6)</f>
        <v>696</v>
      </c>
      <c r="N7" s="38">
        <f>M7</f>
        <v>696</v>
      </c>
      <c r="O7" s="39" t="s">
        <v>111</v>
      </c>
      <c r="P7" s="38">
        <f>SUM(P5:P6)</f>
        <v>6.2142857142857135</v>
      </c>
      <c r="Q7" s="38">
        <f>SUM(Q5:Q6)</f>
        <v>74.571428571428555</v>
      </c>
      <c r="R7" s="38">
        <f>SUM(R5:R6)</f>
        <v>627.64285714285711</v>
      </c>
      <c r="S7" s="38">
        <f t="shared" ref="S7:AD7" si="4">SUM(S5:S5)</f>
        <v>0</v>
      </c>
      <c r="T7" s="38">
        <f t="shared" si="4"/>
        <v>0</v>
      </c>
      <c r="U7" s="38">
        <f t="shared" si="4"/>
        <v>0</v>
      </c>
      <c r="V7" s="38">
        <f t="shared" si="4"/>
        <v>0</v>
      </c>
      <c r="W7" s="38">
        <f t="shared" si="4"/>
        <v>0</v>
      </c>
      <c r="X7" s="38">
        <f t="shared" si="4"/>
        <v>0</v>
      </c>
      <c r="Y7" s="38">
        <f t="shared" si="4"/>
        <v>0</v>
      </c>
      <c r="Z7" s="38">
        <f t="shared" si="4"/>
        <v>0</v>
      </c>
      <c r="AA7" s="38">
        <f t="shared" si="4"/>
        <v>0</v>
      </c>
      <c r="AB7" s="38">
        <f t="shared" si="4"/>
        <v>0</v>
      </c>
      <c r="AC7" s="38">
        <f t="shared" si="4"/>
        <v>0</v>
      </c>
      <c r="AD7" s="38">
        <f t="shared" si="4"/>
        <v>0</v>
      </c>
      <c r="AF7" s="38">
        <f>SUM(AF5:AF5)</f>
        <v>0</v>
      </c>
      <c r="AH7" s="38">
        <f t="shared" ref="AH7:AZ7" si="5">SUM(AH5:AH5)</f>
        <v>0</v>
      </c>
      <c r="AI7" s="38">
        <f t="shared" si="5"/>
        <v>0</v>
      </c>
      <c r="AJ7" s="38">
        <f t="shared" si="5"/>
        <v>0</v>
      </c>
      <c r="AK7" s="38">
        <f t="shared" si="5"/>
        <v>0</v>
      </c>
      <c r="AL7" s="38">
        <f t="shared" si="5"/>
        <v>0</v>
      </c>
      <c r="AM7" s="38">
        <f t="shared" si="5"/>
        <v>0</v>
      </c>
      <c r="AN7" s="38">
        <f t="shared" si="5"/>
        <v>0</v>
      </c>
      <c r="AO7" s="38">
        <f t="shared" si="5"/>
        <v>0</v>
      </c>
      <c r="AP7" s="38">
        <f t="shared" si="5"/>
        <v>0</v>
      </c>
      <c r="AQ7" s="38">
        <f t="shared" si="5"/>
        <v>0</v>
      </c>
      <c r="AR7" s="38">
        <f t="shared" si="5"/>
        <v>0</v>
      </c>
      <c r="AS7" s="38">
        <f t="shared" si="5"/>
        <v>0</v>
      </c>
      <c r="AT7" s="38">
        <f t="shared" si="5"/>
        <v>0</v>
      </c>
      <c r="AU7" s="38">
        <f t="shared" si="5"/>
        <v>0</v>
      </c>
      <c r="AV7" s="38">
        <f t="shared" si="5"/>
        <v>0</v>
      </c>
      <c r="AW7" s="38">
        <f t="shared" si="5"/>
        <v>0</v>
      </c>
      <c r="AX7" s="38">
        <f t="shared" si="5"/>
        <v>0</v>
      </c>
      <c r="AY7" s="38">
        <f t="shared" si="5"/>
        <v>0</v>
      </c>
      <c r="AZ7" s="38">
        <f t="shared" si="5"/>
        <v>0</v>
      </c>
      <c r="BB7" s="38">
        <f t="shared" ref="BB7:CV7" si="6">SUM(BB5:BB5)</f>
        <v>0</v>
      </c>
      <c r="BC7" s="38">
        <f t="shared" si="6"/>
        <v>0</v>
      </c>
      <c r="BD7" s="38">
        <f t="shared" si="6"/>
        <v>0</v>
      </c>
      <c r="BE7" s="38">
        <f t="shared" si="6"/>
        <v>0</v>
      </c>
      <c r="BF7" s="38">
        <f t="shared" si="6"/>
        <v>0</v>
      </c>
      <c r="BG7" s="38">
        <f t="shared" si="6"/>
        <v>0</v>
      </c>
      <c r="BH7" s="38">
        <f t="shared" si="6"/>
        <v>0</v>
      </c>
      <c r="BI7" s="38">
        <f t="shared" si="6"/>
        <v>0</v>
      </c>
      <c r="BJ7" s="38">
        <f t="shared" si="6"/>
        <v>0</v>
      </c>
      <c r="BK7" s="38">
        <f t="shared" si="6"/>
        <v>0</v>
      </c>
      <c r="BL7" s="38">
        <f t="shared" si="6"/>
        <v>0</v>
      </c>
      <c r="BM7" s="38">
        <f t="shared" si="6"/>
        <v>0</v>
      </c>
      <c r="BN7" s="38">
        <f t="shared" si="6"/>
        <v>0</v>
      </c>
      <c r="BO7" s="38">
        <f t="shared" si="6"/>
        <v>0</v>
      </c>
      <c r="BP7" s="38">
        <f t="shared" si="6"/>
        <v>0</v>
      </c>
      <c r="BQ7" s="38">
        <f t="shared" si="6"/>
        <v>0</v>
      </c>
      <c r="BR7" s="38">
        <f t="shared" si="6"/>
        <v>0</v>
      </c>
      <c r="BS7" s="38">
        <f t="shared" si="6"/>
        <v>0</v>
      </c>
      <c r="BT7" s="38">
        <f t="shared" si="6"/>
        <v>0</v>
      </c>
      <c r="BU7" s="38">
        <f t="shared" si="6"/>
        <v>0</v>
      </c>
      <c r="BV7" s="38">
        <f t="shared" si="6"/>
        <v>0</v>
      </c>
      <c r="BW7" s="38">
        <f t="shared" si="6"/>
        <v>0</v>
      </c>
      <c r="BX7" s="38">
        <f t="shared" si="6"/>
        <v>0</v>
      </c>
      <c r="BY7" s="38">
        <f t="shared" si="6"/>
        <v>0</v>
      </c>
      <c r="BZ7" s="38">
        <f t="shared" si="6"/>
        <v>0</v>
      </c>
      <c r="CA7" s="38">
        <f t="shared" si="6"/>
        <v>0</v>
      </c>
      <c r="CB7" s="38">
        <f t="shared" si="6"/>
        <v>0</v>
      </c>
      <c r="CC7" s="38">
        <f t="shared" si="6"/>
        <v>0</v>
      </c>
      <c r="CD7" s="38">
        <f t="shared" si="6"/>
        <v>0</v>
      </c>
      <c r="CE7" s="38">
        <f t="shared" si="6"/>
        <v>0</v>
      </c>
      <c r="CF7" s="38">
        <f t="shared" si="6"/>
        <v>0</v>
      </c>
      <c r="CG7" s="38">
        <f t="shared" si="6"/>
        <v>0</v>
      </c>
      <c r="CH7" s="38">
        <f t="shared" si="6"/>
        <v>0</v>
      </c>
      <c r="CI7" s="38">
        <f t="shared" si="6"/>
        <v>0</v>
      </c>
      <c r="CJ7" s="38">
        <f t="shared" si="6"/>
        <v>0</v>
      </c>
      <c r="CK7" s="38">
        <f t="shared" si="6"/>
        <v>0</v>
      </c>
      <c r="CL7" s="38">
        <f t="shared" si="6"/>
        <v>0</v>
      </c>
      <c r="CM7" s="38">
        <f t="shared" si="6"/>
        <v>0</v>
      </c>
      <c r="CN7" s="38">
        <f t="shared" si="6"/>
        <v>0</v>
      </c>
      <c r="CO7" s="38">
        <f t="shared" si="6"/>
        <v>0</v>
      </c>
      <c r="CP7" s="38">
        <f t="shared" si="6"/>
        <v>0</v>
      </c>
      <c r="CQ7" s="38">
        <f t="shared" si="6"/>
        <v>0</v>
      </c>
      <c r="CR7" s="38">
        <f t="shared" si="6"/>
        <v>0</v>
      </c>
      <c r="CS7" s="38">
        <f t="shared" si="6"/>
        <v>0</v>
      </c>
      <c r="CT7" s="38">
        <f t="shared" si="6"/>
        <v>0</v>
      </c>
      <c r="CU7" s="38">
        <f t="shared" si="6"/>
        <v>0</v>
      </c>
      <c r="CV7" s="38">
        <f t="shared" si="6"/>
        <v>0</v>
      </c>
      <c r="CW7" s="40"/>
    </row>
    <row r="8" spans="1:103" customFormat="1" ht="15" x14ac:dyDescent="0.25"/>
    <row r="9" spans="1:103" customFormat="1" ht="15" x14ac:dyDescent="0.25">
      <c r="A9" s="41" t="str">
        <f>E5</f>
        <v>SAVEMORE</v>
      </c>
      <c r="B9" s="42"/>
      <c r="C9" s="43"/>
      <c r="D9" s="44"/>
      <c r="E9" s="44"/>
      <c r="F9" s="45"/>
      <c r="G9" s="46"/>
      <c r="H9" s="47"/>
      <c r="I9" s="48"/>
      <c r="J9" s="49"/>
      <c r="K9" s="50"/>
      <c r="L9" s="51"/>
      <c r="M9" s="52"/>
      <c r="N9" s="53"/>
      <c r="O9" s="54"/>
      <c r="P9" s="55"/>
    </row>
    <row r="10" spans="1:103" customFormat="1" ht="15" x14ac:dyDescent="0.25">
      <c r="A10" s="56"/>
      <c r="B10" s="57"/>
      <c r="C10" s="58"/>
      <c r="D10" s="59" t="s">
        <v>112</v>
      </c>
      <c r="E10" s="59" t="s">
        <v>113</v>
      </c>
      <c r="F10" s="60" t="s">
        <v>114</v>
      </c>
      <c r="G10" s="61"/>
      <c r="H10" s="62"/>
      <c r="I10" s="63"/>
      <c r="J10" s="64"/>
      <c r="K10" s="1"/>
      <c r="L10" s="65"/>
      <c r="M10" s="66"/>
      <c r="N10" s="67"/>
      <c r="O10" s="68"/>
      <c r="P10" s="69"/>
    </row>
    <row r="11" spans="1:103" customFormat="1" ht="13.5" customHeight="1" x14ac:dyDescent="0.25">
      <c r="A11" s="70" t="s">
        <v>151</v>
      </c>
      <c r="B11" s="71"/>
      <c r="C11" s="72"/>
      <c r="D11" s="73">
        <f>R7</f>
        <v>627.64285714285711</v>
      </c>
      <c r="E11" s="74"/>
      <c r="F11" s="75" t="str">
        <f>"In payment for 4 packs of gardenia pandesal and 5 packs of gardenia wheat bread for function and breakfast using housefund received on " &amp; TEXT(A5, "mmmm dd, yyyy") &amp; " with SI#34-00620206 PR#30095 RR#50156" &amp; " CPO#" &amp;B5</f>
        <v>In payment for 4 packs of gardenia pandesal and 5 packs of gardenia wheat bread for function and breakfast using housefund received on August 05, 2025 with SI#34-00620206 PR#30095 RR#50156 CPO#18957</v>
      </c>
      <c r="G11" s="76"/>
      <c r="H11" s="77"/>
      <c r="I11" s="77"/>
      <c r="J11" s="76"/>
      <c r="K11" s="1"/>
      <c r="L11" s="65"/>
      <c r="M11" s="78"/>
      <c r="N11" s="79"/>
      <c r="O11" s="80"/>
      <c r="P11" s="81"/>
    </row>
    <row r="12" spans="1:103" customFormat="1" ht="15" x14ac:dyDescent="0.25">
      <c r="A12" s="70" t="s">
        <v>115</v>
      </c>
      <c r="B12" s="71"/>
      <c r="C12" s="72"/>
      <c r="D12" s="73">
        <f>Q7</f>
        <v>74.571428571428555</v>
      </c>
      <c r="E12" s="74"/>
      <c r="F12" s="64" t="str">
        <f>"Recording input VAT for expenses and purchases made using house fund for " &amp; TEXT(A5, "mmmm dd, yyyy")</f>
        <v>Recording input VAT for expenses and purchases made using house fund for August 05,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85" t="s">
        <v>116</v>
      </c>
      <c r="B13" s="86"/>
      <c r="C13" s="87"/>
      <c r="D13" s="88"/>
      <c r="E13" s="74">
        <f>P7</f>
        <v>6.2142857142857135</v>
      </c>
      <c r="F13" s="89" t="str">
        <f>"Recording the tax withheld for expenses and purchases using the house fund received on " &amp; TEXT(A5, "mmmm dd, yyyy")</f>
        <v>Recording the tax withheld for expenses and purchases using the house fund received on August 05,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70" t="s">
        <v>117</v>
      </c>
      <c r="B14" s="86"/>
      <c r="C14" s="87"/>
      <c r="D14" s="90"/>
      <c r="E14" s="91">
        <f>M7</f>
        <v>696</v>
      </c>
      <c r="F14" s="89" t="str">
        <f>"Recording house fund expenses for replenishment on " &amp; TEXT(A5, "mmmm dd, yyyy")</f>
        <v>Recording house fund expenses for replenishment on August 05,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85"/>
      <c r="B15" s="86"/>
      <c r="C15" s="87"/>
      <c r="D15" s="88">
        <f>SUM(D11:D12)</f>
        <v>702.21428571428567</v>
      </c>
      <c r="E15" s="88">
        <f>SUM(E11:E14)</f>
        <v>702.21428571428567</v>
      </c>
      <c r="F15" s="92"/>
      <c r="G15" s="92"/>
      <c r="H15" s="93"/>
      <c r="I15" s="94"/>
      <c r="J15" s="92"/>
      <c r="K15" s="1"/>
      <c r="L15" s="65"/>
      <c r="M15" s="66"/>
      <c r="N15" s="67"/>
      <c r="O15" s="68"/>
      <c r="P15" s="69"/>
    </row>
    <row r="16" spans="1:103" customFormat="1" ht="15" x14ac:dyDescent="0.25">
      <c r="A16" s="95" t="s">
        <v>118</v>
      </c>
      <c r="B16" s="96" t="str">
        <f>"To record house fund expenses on " &amp; TEXT(A5, "mmmm dd, yyyy") &amp; " with PCV#" &amp; C5</f>
        <v>To record house fund expenses on August 05, 2025 with PCV#20853</v>
      </c>
      <c r="C16" s="97"/>
      <c r="D16" s="98"/>
      <c r="E16" s="98"/>
      <c r="F16" s="98"/>
      <c r="G16" s="92"/>
      <c r="H16" s="93"/>
      <c r="I16" s="94"/>
      <c r="J16" s="92"/>
      <c r="K16" s="1"/>
      <c r="L16" s="65"/>
      <c r="M16" s="66"/>
      <c r="N16" s="67"/>
      <c r="O16" s="68"/>
      <c r="P16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03CC5-B2CD-4028-82A6-322A2FA4FC16}">
  <sheetPr>
    <tabColor rgb="FFFFC000"/>
  </sheetPr>
  <dimension ref="A1:CY23"/>
  <sheetViews>
    <sheetView topLeftCell="A4" workbookViewId="0">
      <selection activeCell="A5" sqref="A5:XFD13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45874</v>
      </c>
      <c r="B5" s="3" t="s">
        <v>352</v>
      </c>
      <c r="C5" s="4" t="s">
        <v>480</v>
      </c>
      <c r="D5" s="5" t="s">
        <v>122</v>
      </c>
      <c r="E5" s="6" t="s">
        <v>380</v>
      </c>
      <c r="F5" s="7" t="s">
        <v>296</v>
      </c>
      <c r="G5" s="8" t="s">
        <v>164</v>
      </c>
      <c r="H5" s="9">
        <v>91904</v>
      </c>
      <c r="I5" s="10" t="s">
        <v>381</v>
      </c>
      <c r="J5" s="11" t="s">
        <v>382</v>
      </c>
      <c r="K5" s="12">
        <v>2</v>
      </c>
      <c r="L5" s="13">
        <v>229</v>
      </c>
      <c r="M5" s="14">
        <f t="shared" ref="M5:M12" si="0">L5*K5</f>
        <v>458</v>
      </c>
      <c r="N5" s="15"/>
      <c r="O5" s="16" t="s">
        <v>111</v>
      </c>
      <c r="P5" s="17">
        <f>M5/1.12*0.01</f>
        <v>4.0892857142857135</v>
      </c>
      <c r="Q5" s="18">
        <v>49.074444444000001</v>
      </c>
      <c r="S5" s="17">
        <f>M5+P5-Q5</f>
        <v>413.01484127028573</v>
      </c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>
        <v>45874</v>
      </c>
      <c r="B6" s="3"/>
      <c r="C6" s="4"/>
      <c r="E6" s="6"/>
      <c r="F6" s="7"/>
      <c r="G6" s="8"/>
      <c r="H6" s="9"/>
      <c r="I6" s="10"/>
      <c r="J6" s="11" t="s">
        <v>383</v>
      </c>
      <c r="K6" s="12">
        <v>2</v>
      </c>
      <c r="L6" s="13">
        <v>329</v>
      </c>
      <c r="M6" s="14">
        <f t="shared" si="0"/>
        <v>658</v>
      </c>
      <c r="N6" s="15"/>
      <c r="O6" s="16" t="s">
        <v>111</v>
      </c>
      <c r="P6" s="17">
        <f t="shared" ref="P6:P12" si="1">M6/1.12*0.01</f>
        <v>5.875</v>
      </c>
      <c r="Q6" s="18">
        <v>70.504444444000001</v>
      </c>
      <c r="S6" s="17">
        <f>M6+P6-Q6</f>
        <v>593.370555556</v>
      </c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5" customFormat="1" x14ac:dyDescent="0.2">
      <c r="A7" s="2"/>
      <c r="B7" s="3"/>
      <c r="C7" s="4"/>
      <c r="E7" s="6"/>
      <c r="F7" s="7"/>
      <c r="G7" s="8"/>
      <c r="H7" s="9"/>
      <c r="I7" s="10"/>
      <c r="J7" s="11" t="s">
        <v>360</v>
      </c>
      <c r="K7" s="12">
        <v>40</v>
      </c>
      <c r="L7" s="13">
        <v>31.75</v>
      </c>
      <c r="M7" s="14">
        <f t="shared" si="0"/>
        <v>1270</v>
      </c>
      <c r="N7" s="15"/>
      <c r="O7" s="16" t="s">
        <v>111</v>
      </c>
      <c r="P7" s="17">
        <f t="shared" si="1"/>
        <v>11.339285714285714</v>
      </c>
      <c r="Q7" s="18">
        <f t="shared" ref="Q7:Q8" si="2">M7/1.12*0.12</f>
        <v>136.07142857142856</v>
      </c>
      <c r="R7" s="17">
        <f t="shared" ref="R7:R12" si="3">M7+P7-Q7</f>
        <v>1145.2678571428573</v>
      </c>
      <c r="S7" s="19"/>
      <c r="T7" s="19"/>
      <c r="U7" s="19"/>
      <c r="V7" s="19"/>
      <c r="W7" s="17"/>
      <c r="X7" s="20"/>
      <c r="Y7" s="19"/>
      <c r="Z7" s="19"/>
      <c r="AA7" s="19"/>
      <c r="AB7" s="19"/>
      <c r="AC7" s="19"/>
      <c r="AD7" s="19"/>
      <c r="AF7" s="19"/>
      <c r="AH7" s="17"/>
      <c r="AI7" s="19"/>
      <c r="AJ7" s="19"/>
      <c r="AK7" s="19"/>
      <c r="AL7" s="19"/>
      <c r="AM7" s="17"/>
      <c r="AN7" s="19"/>
      <c r="AO7" s="19"/>
      <c r="AP7" s="19"/>
      <c r="AQ7" s="19"/>
      <c r="AR7" s="19"/>
      <c r="AS7" s="21"/>
      <c r="AU7" s="19"/>
      <c r="AW7" s="22"/>
      <c r="AX7" s="19"/>
      <c r="AZ7" s="19"/>
      <c r="BC7" s="19"/>
      <c r="BD7" s="19"/>
      <c r="BE7" s="19"/>
      <c r="BF7" s="19"/>
      <c r="BG7" s="19"/>
      <c r="BH7" s="19"/>
      <c r="BI7" s="19"/>
      <c r="BJ7" s="19"/>
      <c r="BK7" s="13"/>
      <c r="BN7" s="19"/>
      <c r="BO7" s="17"/>
      <c r="BP7" s="19"/>
      <c r="BQ7" s="17"/>
      <c r="BR7" s="19"/>
      <c r="BS7" s="13"/>
      <c r="BU7" s="23"/>
      <c r="BV7" s="23"/>
      <c r="BW7" s="24"/>
      <c r="CA7" s="24"/>
      <c r="CB7" s="24"/>
      <c r="CC7" s="24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25"/>
      <c r="CW7" s="26"/>
    </row>
    <row r="8" spans="1:103" s="5" customFormat="1" x14ac:dyDescent="0.2">
      <c r="A8" s="2"/>
      <c r="B8" s="3"/>
      <c r="C8" s="4"/>
      <c r="E8" s="6"/>
      <c r="F8" s="7"/>
      <c r="G8" s="8"/>
      <c r="H8" s="9"/>
      <c r="I8" s="10"/>
      <c r="J8" s="11" t="s">
        <v>384</v>
      </c>
      <c r="K8" s="12">
        <v>5.1749999999999998</v>
      </c>
      <c r="L8" s="13">
        <v>240</v>
      </c>
      <c r="M8" s="14">
        <f t="shared" si="0"/>
        <v>1242</v>
      </c>
      <c r="N8" s="15"/>
      <c r="O8" s="16" t="s">
        <v>111</v>
      </c>
      <c r="P8" s="17">
        <f t="shared" si="1"/>
        <v>11.089285714285714</v>
      </c>
      <c r="Q8" s="18">
        <f t="shared" si="2"/>
        <v>133.07142857142856</v>
      </c>
      <c r="R8" s="17">
        <f t="shared" si="3"/>
        <v>1120.0178571428573</v>
      </c>
      <c r="S8" s="19"/>
      <c r="T8" s="19"/>
      <c r="U8" s="19"/>
      <c r="V8" s="19"/>
      <c r="W8" s="17"/>
      <c r="X8" s="20"/>
      <c r="Y8" s="19"/>
      <c r="Z8" s="19"/>
      <c r="AA8" s="19"/>
      <c r="AB8" s="19"/>
      <c r="AC8" s="19"/>
      <c r="AD8" s="19"/>
      <c r="AF8" s="19"/>
      <c r="AH8" s="17"/>
      <c r="AI8" s="19"/>
      <c r="AJ8" s="19"/>
      <c r="AK8" s="19"/>
      <c r="AL8" s="19"/>
      <c r="AM8" s="17"/>
      <c r="AN8" s="19"/>
      <c r="AO8" s="19"/>
      <c r="AP8" s="19"/>
      <c r="AQ8" s="19"/>
      <c r="AR8" s="19"/>
      <c r="AS8" s="21"/>
      <c r="AU8" s="19"/>
      <c r="AW8" s="22"/>
      <c r="AX8" s="19"/>
      <c r="AZ8" s="19"/>
      <c r="BC8" s="19"/>
      <c r="BD8" s="19"/>
      <c r="BE8" s="19"/>
      <c r="BF8" s="19"/>
      <c r="BG8" s="19"/>
      <c r="BH8" s="19"/>
      <c r="BI8" s="19"/>
      <c r="BJ8" s="19"/>
      <c r="BK8" s="13"/>
      <c r="BN8" s="19"/>
      <c r="BO8" s="17"/>
      <c r="BP8" s="19"/>
      <c r="BQ8" s="17"/>
      <c r="BR8" s="19"/>
      <c r="BS8" s="13"/>
      <c r="BU8" s="23"/>
      <c r="BV8" s="23"/>
      <c r="BW8" s="24"/>
      <c r="CA8" s="24"/>
      <c r="CB8" s="24"/>
      <c r="CC8" s="24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25"/>
      <c r="CW8" s="26"/>
    </row>
    <row r="9" spans="1:103" s="5" customFormat="1" x14ac:dyDescent="0.2">
      <c r="A9" s="2"/>
      <c r="B9" s="3"/>
      <c r="C9" s="4"/>
      <c r="E9" s="6"/>
      <c r="F9" s="7"/>
      <c r="G9" s="8"/>
      <c r="H9" s="9"/>
      <c r="I9" s="10"/>
      <c r="J9" s="11" t="s">
        <v>384</v>
      </c>
      <c r="K9" s="12">
        <v>5.17</v>
      </c>
      <c r="L9" s="13">
        <v>240</v>
      </c>
      <c r="M9" s="14">
        <f t="shared" si="0"/>
        <v>1240.8</v>
      </c>
      <c r="N9" s="15"/>
      <c r="O9" s="16" t="s">
        <v>111</v>
      </c>
      <c r="P9" s="17">
        <f t="shared" si="1"/>
        <v>11.078571428571427</v>
      </c>
      <c r="Q9" s="18">
        <v>132.944444444</v>
      </c>
      <c r="R9" s="17">
        <f t="shared" si="3"/>
        <v>1118.9341269845713</v>
      </c>
      <c r="S9" s="19"/>
      <c r="T9" s="19"/>
      <c r="U9" s="19"/>
      <c r="V9" s="19"/>
      <c r="W9" s="17"/>
      <c r="X9" s="20"/>
      <c r="Y9" s="19"/>
      <c r="Z9" s="19"/>
      <c r="AA9" s="19"/>
      <c r="AB9" s="19"/>
      <c r="AC9" s="19"/>
      <c r="AD9" s="19"/>
      <c r="AF9" s="19"/>
      <c r="AH9" s="17"/>
      <c r="AI9" s="19"/>
      <c r="AJ9" s="19"/>
      <c r="AK9" s="19"/>
      <c r="AL9" s="19"/>
      <c r="AM9" s="17"/>
      <c r="AN9" s="19"/>
      <c r="AO9" s="19"/>
      <c r="AP9" s="19"/>
      <c r="AQ9" s="19"/>
      <c r="AR9" s="19"/>
      <c r="AS9" s="21"/>
      <c r="AU9" s="19"/>
      <c r="AW9" s="22"/>
      <c r="AX9" s="19"/>
      <c r="AZ9" s="19"/>
      <c r="BC9" s="19"/>
      <c r="BD9" s="19"/>
      <c r="BE9" s="19"/>
      <c r="BF9" s="19"/>
      <c r="BG9" s="19"/>
      <c r="BH9" s="19"/>
      <c r="BI9" s="19"/>
      <c r="BJ9" s="19"/>
      <c r="BK9" s="13"/>
      <c r="BN9" s="19"/>
      <c r="BO9" s="17"/>
      <c r="BP9" s="19"/>
      <c r="BQ9" s="17"/>
      <c r="BR9" s="19"/>
      <c r="BS9" s="13"/>
      <c r="BU9" s="23"/>
      <c r="BV9" s="23"/>
      <c r="BW9" s="24"/>
      <c r="CA9" s="24"/>
      <c r="CB9" s="24"/>
      <c r="CC9" s="24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25"/>
      <c r="CW9" s="26"/>
    </row>
    <row r="10" spans="1:103" s="5" customFormat="1" x14ac:dyDescent="0.2">
      <c r="A10" s="2"/>
      <c r="B10" s="3"/>
      <c r="C10" s="4"/>
      <c r="E10" s="6"/>
      <c r="F10" s="7"/>
      <c r="G10" s="8"/>
      <c r="H10" s="9"/>
      <c r="I10" s="10"/>
      <c r="J10" s="11" t="s">
        <v>385</v>
      </c>
      <c r="K10" s="12">
        <v>3</v>
      </c>
      <c r="L10" s="13">
        <v>85</v>
      </c>
      <c r="M10" s="14">
        <f t="shared" si="0"/>
        <v>255</v>
      </c>
      <c r="N10" s="15"/>
      <c r="O10" s="16" t="s">
        <v>111</v>
      </c>
      <c r="P10" s="17">
        <f t="shared" si="1"/>
        <v>2.2767857142857144</v>
      </c>
      <c r="Q10" s="18">
        <v>27.324444444000001</v>
      </c>
      <c r="R10" s="17">
        <f t="shared" si="3"/>
        <v>229.95234127028573</v>
      </c>
      <c r="S10" s="19"/>
      <c r="T10" s="19"/>
      <c r="U10" s="19"/>
      <c r="V10" s="19"/>
      <c r="W10" s="17"/>
      <c r="X10" s="20"/>
      <c r="Y10" s="19"/>
      <c r="Z10" s="19"/>
      <c r="AA10" s="19"/>
      <c r="AB10" s="19"/>
      <c r="AC10" s="19"/>
      <c r="AD10" s="19"/>
      <c r="AF10" s="19"/>
      <c r="AH10" s="17"/>
      <c r="AI10" s="19"/>
      <c r="AJ10" s="19"/>
      <c r="AK10" s="19"/>
      <c r="AL10" s="19"/>
      <c r="AM10" s="17"/>
      <c r="AN10" s="19"/>
      <c r="AO10" s="19"/>
      <c r="AP10" s="19"/>
      <c r="AQ10" s="19"/>
      <c r="AR10" s="19"/>
      <c r="AS10" s="21"/>
      <c r="AU10" s="19"/>
      <c r="AW10" s="22"/>
      <c r="AX10" s="19"/>
      <c r="AZ10" s="19"/>
      <c r="BC10" s="19"/>
      <c r="BD10" s="19"/>
      <c r="BE10" s="19"/>
      <c r="BF10" s="19"/>
      <c r="BG10" s="19"/>
      <c r="BH10" s="19"/>
      <c r="BI10" s="19"/>
      <c r="BJ10" s="19"/>
      <c r="BK10" s="13"/>
      <c r="BN10" s="19"/>
      <c r="BO10" s="17"/>
      <c r="BP10" s="19"/>
      <c r="BQ10" s="17"/>
      <c r="BR10" s="19"/>
      <c r="BS10" s="13"/>
      <c r="BU10" s="23"/>
      <c r="BV10" s="23"/>
      <c r="BW10" s="24"/>
      <c r="CA10" s="24"/>
      <c r="CB10" s="24"/>
      <c r="CC10" s="24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25"/>
      <c r="CW10" s="26"/>
    </row>
    <row r="11" spans="1:103" s="5" customFormat="1" x14ac:dyDescent="0.2">
      <c r="A11" s="2"/>
      <c r="B11" s="3"/>
      <c r="C11" s="4"/>
      <c r="E11" s="6"/>
      <c r="F11" s="7"/>
      <c r="G11" s="8"/>
      <c r="H11" s="9"/>
      <c r="I11" s="10"/>
      <c r="J11" s="11" t="s">
        <v>386</v>
      </c>
      <c r="K11" s="12">
        <v>2</v>
      </c>
      <c r="L11" s="13">
        <v>85</v>
      </c>
      <c r="M11" s="14">
        <f t="shared" si="0"/>
        <v>170</v>
      </c>
      <c r="N11" s="15"/>
      <c r="O11" s="16" t="s">
        <v>111</v>
      </c>
      <c r="P11" s="17">
        <f t="shared" si="1"/>
        <v>1.5178571428571428</v>
      </c>
      <c r="Q11" s="18">
        <v>18.214444444400002</v>
      </c>
      <c r="R11" s="17">
        <f t="shared" si="3"/>
        <v>153.30341269845712</v>
      </c>
      <c r="S11" s="19"/>
      <c r="T11" s="19"/>
      <c r="U11" s="19"/>
      <c r="V11" s="19"/>
      <c r="W11" s="17"/>
      <c r="X11" s="20"/>
      <c r="Y11" s="19"/>
      <c r="Z11" s="19"/>
      <c r="AA11" s="19"/>
      <c r="AB11" s="19"/>
      <c r="AC11" s="19"/>
      <c r="AD11" s="19"/>
      <c r="AF11" s="19"/>
      <c r="AH11" s="17"/>
      <c r="AI11" s="19"/>
      <c r="AJ11" s="19"/>
      <c r="AK11" s="19"/>
      <c r="AL11" s="19"/>
      <c r="AM11" s="17"/>
      <c r="AN11" s="19"/>
      <c r="AO11" s="19"/>
      <c r="AP11" s="19"/>
      <c r="AQ11" s="19"/>
      <c r="AR11" s="19"/>
      <c r="AS11" s="21"/>
      <c r="AU11" s="19"/>
      <c r="AW11" s="22"/>
      <c r="AX11" s="19"/>
      <c r="AZ11" s="19"/>
      <c r="BC11" s="19"/>
      <c r="BD11" s="19"/>
      <c r="BE11" s="19"/>
      <c r="BF11" s="19"/>
      <c r="BG11" s="19"/>
      <c r="BH11" s="19"/>
      <c r="BI11" s="19"/>
      <c r="BJ11" s="19"/>
      <c r="BK11" s="13"/>
      <c r="BN11" s="19"/>
      <c r="BO11" s="17"/>
      <c r="BP11" s="19"/>
      <c r="BQ11" s="17"/>
      <c r="BR11" s="19"/>
      <c r="BS11" s="13"/>
      <c r="BU11" s="23"/>
      <c r="BV11" s="23"/>
      <c r="BW11" s="24"/>
      <c r="CA11" s="24"/>
      <c r="CB11" s="24"/>
      <c r="CC11" s="24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25"/>
      <c r="CW11" s="26"/>
    </row>
    <row r="12" spans="1:103" s="5" customFormat="1" x14ac:dyDescent="0.2">
      <c r="A12" s="2"/>
      <c r="B12" s="3"/>
      <c r="C12" s="4"/>
      <c r="E12" s="6"/>
      <c r="F12" s="7"/>
      <c r="G12" s="8"/>
      <c r="H12" s="9"/>
      <c r="I12" s="10"/>
      <c r="J12" s="11" t="s">
        <v>378</v>
      </c>
      <c r="K12" s="12">
        <v>1</v>
      </c>
      <c r="L12" s="13">
        <v>54</v>
      </c>
      <c r="M12" s="14">
        <f t="shared" si="0"/>
        <v>54</v>
      </c>
      <c r="N12" s="15"/>
      <c r="O12" s="16" t="s">
        <v>111</v>
      </c>
      <c r="P12" s="17">
        <f t="shared" si="1"/>
        <v>0.4821428571428571</v>
      </c>
      <c r="Q12" s="18">
        <v>5.7944555554999999</v>
      </c>
      <c r="R12" s="17">
        <f t="shared" si="3"/>
        <v>48.687687301642853</v>
      </c>
      <c r="S12" s="19"/>
      <c r="T12" s="19"/>
      <c r="U12" s="19"/>
      <c r="V12" s="19"/>
      <c r="W12" s="17"/>
      <c r="X12" s="20"/>
      <c r="Y12" s="19"/>
      <c r="Z12" s="19"/>
      <c r="AA12" s="19"/>
      <c r="AB12" s="19"/>
      <c r="AC12" s="19"/>
      <c r="AD12" s="19"/>
      <c r="AF12" s="19"/>
      <c r="AH12" s="17"/>
      <c r="AI12" s="19"/>
      <c r="AJ12" s="19"/>
      <c r="AK12" s="19"/>
      <c r="AL12" s="19"/>
      <c r="AM12" s="17"/>
      <c r="AN12" s="19"/>
      <c r="AO12" s="19"/>
      <c r="AP12" s="19"/>
      <c r="AQ12" s="19"/>
      <c r="AR12" s="19"/>
      <c r="AS12" s="21"/>
      <c r="AU12" s="19"/>
      <c r="AW12" s="22"/>
      <c r="AX12" s="19"/>
      <c r="AZ12" s="19"/>
      <c r="BC12" s="19"/>
      <c r="BD12" s="19"/>
      <c r="BE12" s="19"/>
      <c r="BF12" s="19"/>
      <c r="BG12" s="19"/>
      <c r="BH12" s="19"/>
      <c r="BI12" s="19"/>
      <c r="BJ12" s="19"/>
      <c r="BK12" s="13"/>
      <c r="BN12" s="19"/>
      <c r="BO12" s="17"/>
      <c r="BP12" s="19"/>
      <c r="BQ12" s="17"/>
      <c r="BR12" s="19"/>
      <c r="BS12" s="13"/>
      <c r="BU12" s="23"/>
      <c r="BV12" s="23"/>
      <c r="BW12" s="24"/>
      <c r="CA12" s="24"/>
      <c r="CB12" s="24"/>
      <c r="CC12" s="24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25"/>
      <c r="CW12" s="26"/>
    </row>
    <row r="13" spans="1:103" s="30" customFormat="1" ht="11.25" x14ac:dyDescent="0.2">
      <c r="A13" s="27"/>
      <c r="B13" s="28"/>
      <c r="C13" s="29"/>
      <c r="E13" s="31"/>
      <c r="F13" s="32"/>
      <c r="G13" s="33"/>
      <c r="H13" s="34"/>
      <c r="I13" s="34"/>
      <c r="J13" s="35"/>
      <c r="K13" s="36"/>
      <c r="L13" s="37"/>
      <c r="M13" s="38">
        <f>SUM(M5:M12)</f>
        <v>5347.8</v>
      </c>
      <c r="N13" s="38">
        <f>M13</f>
        <v>5347.8</v>
      </c>
      <c r="O13" s="39" t="s">
        <v>111</v>
      </c>
      <c r="P13" s="38">
        <f>SUM(P5:P12)</f>
        <v>47.748214285714283</v>
      </c>
      <c r="Q13" s="38">
        <f>SUM(Q5:Q12)</f>
        <v>572.99953491875715</v>
      </c>
      <c r="R13" s="38">
        <f>SUM(R5:R12)</f>
        <v>3816.1632825406714</v>
      </c>
      <c r="S13" s="38">
        <f>SUM(S5:S12)</f>
        <v>1006.3853968262857</v>
      </c>
      <c r="T13" s="38">
        <f t="shared" ref="T13:AD13" si="4">SUM(T5:T5)</f>
        <v>0</v>
      </c>
      <c r="U13" s="38">
        <f t="shared" si="4"/>
        <v>0</v>
      </c>
      <c r="V13" s="38">
        <f t="shared" si="4"/>
        <v>0</v>
      </c>
      <c r="W13" s="38">
        <f t="shared" si="4"/>
        <v>0</v>
      </c>
      <c r="X13" s="38">
        <f t="shared" si="4"/>
        <v>0</v>
      </c>
      <c r="Y13" s="38">
        <f t="shared" si="4"/>
        <v>0</v>
      </c>
      <c r="Z13" s="38">
        <f t="shared" si="4"/>
        <v>0</v>
      </c>
      <c r="AA13" s="38">
        <f t="shared" si="4"/>
        <v>0</v>
      </c>
      <c r="AB13" s="38">
        <f t="shared" si="4"/>
        <v>0</v>
      </c>
      <c r="AC13" s="38">
        <f t="shared" si="4"/>
        <v>0</v>
      </c>
      <c r="AD13" s="38">
        <f t="shared" si="4"/>
        <v>0</v>
      </c>
      <c r="AF13" s="38">
        <f>SUM(AF5:AF5)</f>
        <v>0</v>
      </c>
      <c r="AH13" s="38">
        <f t="shared" ref="AH13:AZ13" si="5">SUM(AH5:AH5)</f>
        <v>0</v>
      </c>
      <c r="AI13" s="38">
        <f t="shared" si="5"/>
        <v>0</v>
      </c>
      <c r="AJ13" s="38">
        <f t="shared" si="5"/>
        <v>0</v>
      </c>
      <c r="AK13" s="38">
        <f t="shared" si="5"/>
        <v>0</v>
      </c>
      <c r="AL13" s="38">
        <f t="shared" si="5"/>
        <v>0</v>
      </c>
      <c r="AM13" s="38">
        <f t="shared" si="5"/>
        <v>0</v>
      </c>
      <c r="AN13" s="38">
        <f t="shared" si="5"/>
        <v>0</v>
      </c>
      <c r="AO13" s="38">
        <f t="shared" si="5"/>
        <v>0</v>
      </c>
      <c r="AP13" s="38">
        <f t="shared" si="5"/>
        <v>0</v>
      </c>
      <c r="AQ13" s="38">
        <f t="shared" si="5"/>
        <v>0</v>
      </c>
      <c r="AR13" s="38">
        <f t="shared" si="5"/>
        <v>0</v>
      </c>
      <c r="AS13" s="38">
        <f t="shared" si="5"/>
        <v>0</v>
      </c>
      <c r="AT13" s="38">
        <f t="shared" si="5"/>
        <v>0</v>
      </c>
      <c r="AU13" s="38">
        <f t="shared" si="5"/>
        <v>0</v>
      </c>
      <c r="AV13" s="38">
        <f t="shared" si="5"/>
        <v>0</v>
      </c>
      <c r="AW13" s="38">
        <f t="shared" si="5"/>
        <v>0</v>
      </c>
      <c r="AX13" s="38">
        <f t="shared" si="5"/>
        <v>0</v>
      </c>
      <c r="AY13" s="38">
        <f t="shared" si="5"/>
        <v>0</v>
      </c>
      <c r="AZ13" s="38">
        <f t="shared" si="5"/>
        <v>0</v>
      </c>
      <c r="BB13" s="38">
        <f t="shared" ref="BB13:CV13" si="6">SUM(BB5:BB5)</f>
        <v>0</v>
      </c>
      <c r="BC13" s="38">
        <f t="shared" si="6"/>
        <v>0</v>
      </c>
      <c r="BD13" s="38">
        <f t="shared" si="6"/>
        <v>0</v>
      </c>
      <c r="BE13" s="38">
        <f t="shared" si="6"/>
        <v>0</v>
      </c>
      <c r="BF13" s="38">
        <f t="shared" si="6"/>
        <v>0</v>
      </c>
      <c r="BG13" s="38">
        <f t="shared" si="6"/>
        <v>0</v>
      </c>
      <c r="BH13" s="38">
        <f t="shared" si="6"/>
        <v>0</v>
      </c>
      <c r="BI13" s="38">
        <f t="shared" si="6"/>
        <v>0</v>
      </c>
      <c r="BJ13" s="38">
        <f t="shared" si="6"/>
        <v>0</v>
      </c>
      <c r="BK13" s="38">
        <f t="shared" si="6"/>
        <v>0</v>
      </c>
      <c r="BL13" s="38">
        <f t="shared" si="6"/>
        <v>0</v>
      </c>
      <c r="BM13" s="38">
        <f t="shared" si="6"/>
        <v>0</v>
      </c>
      <c r="BN13" s="38">
        <f t="shared" si="6"/>
        <v>0</v>
      </c>
      <c r="BO13" s="38">
        <f t="shared" si="6"/>
        <v>0</v>
      </c>
      <c r="BP13" s="38">
        <f t="shared" si="6"/>
        <v>0</v>
      </c>
      <c r="BQ13" s="38">
        <f t="shared" si="6"/>
        <v>0</v>
      </c>
      <c r="BR13" s="38">
        <f t="shared" si="6"/>
        <v>0</v>
      </c>
      <c r="BS13" s="38">
        <f t="shared" si="6"/>
        <v>0</v>
      </c>
      <c r="BT13" s="38">
        <f t="shared" si="6"/>
        <v>0</v>
      </c>
      <c r="BU13" s="38">
        <f t="shared" si="6"/>
        <v>0</v>
      </c>
      <c r="BV13" s="38">
        <f t="shared" si="6"/>
        <v>0</v>
      </c>
      <c r="BW13" s="38">
        <f t="shared" si="6"/>
        <v>0</v>
      </c>
      <c r="BX13" s="38">
        <f t="shared" si="6"/>
        <v>0</v>
      </c>
      <c r="BY13" s="38">
        <f t="shared" si="6"/>
        <v>0</v>
      </c>
      <c r="BZ13" s="38">
        <f t="shared" si="6"/>
        <v>0</v>
      </c>
      <c r="CA13" s="38">
        <f t="shared" si="6"/>
        <v>0</v>
      </c>
      <c r="CB13" s="38">
        <f t="shared" si="6"/>
        <v>0</v>
      </c>
      <c r="CC13" s="38">
        <f t="shared" si="6"/>
        <v>0</v>
      </c>
      <c r="CD13" s="38">
        <f t="shared" si="6"/>
        <v>0</v>
      </c>
      <c r="CE13" s="38">
        <f t="shared" si="6"/>
        <v>0</v>
      </c>
      <c r="CF13" s="38">
        <f t="shared" si="6"/>
        <v>0</v>
      </c>
      <c r="CG13" s="38">
        <f t="shared" si="6"/>
        <v>0</v>
      </c>
      <c r="CH13" s="38">
        <f t="shared" si="6"/>
        <v>0</v>
      </c>
      <c r="CI13" s="38">
        <f t="shared" si="6"/>
        <v>0</v>
      </c>
      <c r="CJ13" s="38">
        <f t="shared" si="6"/>
        <v>0</v>
      </c>
      <c r="CK13" s="38">
        <f t="shared" si="6"/>
        <v>0</v>
      </c>
      <c r="CL13" s="38">
        <f t="shared" si="6"/>
        <v>0</v>
      </c>
      <c r="CM13" s="38">
        <f t="shared" si="6"/>
        <v>0</v>
      </c>
      <c r="CN13" s="38">
        <f t="shared" si="6"/>
        <v>0</v>
      </c>
      <c r="CO13" s="38">
        <f t="shared" si="6"/>
        <v>0</v>
      </c>
      <c r="CP13" s="38">
        <f t="shared" si="6"/>
        <v>0</v>
      </c>
      <c r="CQ13" s="38">
        <f t="shared" si="6"/>
        <v>0</v>
      </c>
      <c r="CR13" s="38">
        <f t="shared" si="6"/>
        <v>0</v>
      </c>
      <c r="CS13" s="38">
        <f t="shared" si="6"/>
        <v>0</v>
      </c>
      <c r="CT13" s="38">
        <f t="shared" si="6"/>
        <v>0</v>
      </c>
      <c r="CU13" s="38">
        <f t="shared" si="6"/>
        <v>0</v>
      </c>
      <c r="CV13" s="38">
        <f t="shared" si="6"/>
        <v>0</v>
      </c>
      <c r="CW13" s="40"/>
    </row>
    <row r="14" spans="1:103" customFormat="1" ht="15" x14ac:dyDescent="0.25"/>
    <row r="15" spans="1:103" customFormat="1" ht="15" x14ac:dyDescent="0.25">
      <c r="A15" s="41" t="str">
        <f>E5</f>
        <v>METRO MANDAUE</v>
      </c>
      <c r="B15" s="42"/>
      <c r="C15" s="43"/>
      <c r="D15" s="44"/>
      <c r="E15" s="44"/>
      <c r="F15" s="45"/>
      <c r="G15" s="46"/>
      <c r="H15" s="47"/>
      <c r="I15" s="48"/>
      <c r="J15" s="49"/>
      <c r="K15" s="50"/>
      <c r="L15" s="51"/>
      <c r="M15" s="52"/>
      <c r="N15" s="53"/>
      <c r="O15" s="54"/>
      <c r="P15" s="55"/>
    </row>
    <row r="16" spans="1:103" customFormat="1" ht="15" x14ac:dyDescent="0.25">
      <c r="A16" s="56"/>
      <c r="B16" s="57"/>
      <c r="C16" s="58"/>
      <c r="D16" s="59" t="s">
        <v>112</v>
      </c>
      <c r="E16" s="59" t="s">
        <v>113</v>
      </c>
      <c r="F16" s="60" t="s">
        <v>114</v>
      </c>
      <c r="G16" s="61"/>
      <c r="H16" s="62"/>
      <c r="I16" s="63"/>
      <c r="J16" s="64"/>
      <c r="K16" s="1"/>
      <c r="L16" s="65"/>
      <c r="M16" s="66"/>
      <c r="N16" s="67"/>
      <c r="O16" s="68"/>
      <c r="P16" s="69"/>
    </row>
    <row r="17" spans="1:16" customFormat="1" ht="13.5" customHeight="1" x14ac:dyDescent="0.25">
      <c r="A17" s="70" t="s">
        <v>151</v>
      </c>
      <c r="B17" s="71"/>
      <c r="C17" s="72"/>
      <c r="D17" s="73">
        <f>R13</f>
        <v>3816.1632825406714</v>
      </c>
      <c r="E17" s="74"/>
      <c r="F17" s="75" t="str">
        <f>"In payment for inventory food for function and breakfast using housefund received on " &amp; TEXT(A5, "mmmm dd, yyyy") &amp; " with SI#91904 PR#30095 RR#50157" &amp; " CPO#" &amp;B5</f>
        <v>In payment for inventory food for function and breakfast using housefund received on August 05, 2025 with SI#91904 PR#30095 RR#50157 CPO#18957</v>
      </c>
      <c r="G17" s="76"/>
      <c r="H17" s="77"/>
      <c r="I17" s="77"/>
      <c r="J17" s="76"/>
      <c r="K17" s="1"/>
      <c r="L17" s="65"/>
      <c r="M17" s="78"/>
      <c r="N17" s="79"/>
      <c r="O17" s="80"/>
      <c r="P17" s="81"/>
    </row>
    <row r="18" spans="1:16" customFormat="1" ht="13.5" customHeight="1" x14ac:dyDescent="0.25">
      <c r="A18" s="70" t="s">
        <v>364</v>
      </c>
      <c r="B18" s="71"/>
      <c r="C18" s="72"/>
      <c r="D18" s="73">
        <f>S13</f>
        <v>1006.3853968262857</v>
      </c>
      <c r="E18" s="74"/>
      <c r="F18" s="75" t="str">
        <f>"In payment for 2 bottles of mojitos tequila silver and el hombre tequila gold for social using housefund received on " &amp; TEXT(A6, "mmmm dd, yyyy") &amp; " with SI#91904 PR#30089 RR#50157" &amp; " CPO#18957" &amp;B6</f>
        <v>In payment for 2 bottles of mojitos tequila silver and el hombre tequila gold for social using housefund received on August 05, 2025 with SI#91904 PR#30089 RR#50157 CPO#18957</v>
      </c>
      <c r="G18" s="76"/>
      <c r="H18" s="77"/>
      <c r="I18" s="77"/>
      <c r="J18" s="76"/>
      <c r="K18" s="1"/>
      <c r="L18" s="65"/>
      <c r="M18" s="78"/>
      <c r="N18" s="79"/>
      <c r="O18" s="80"/>
      <c r="P18" s="81"/>
    </row>
    <row r="19" spans="1:16" customFormat="1" ht="15" x14ac:dyDescent="0.25">
      <c r="A19" s="70" t="s">
        <v>115</v>
      </c>
      <c r="B19" s="71"/>
      <c r="C19" s="72"/>
      <c r="D19" s="73">
        <f>Q13</f>
        <v>572.99953491875715</v>
      </c>
      <c r="E19" s="74"/>
      <c r="F19" s="64" t="str">
        <f>"Recording input VAT for expenses and purchases made using house fund for " &amp; TEXT(A5, "mmmm dd, yyyy")</f>
        <v>Recording input VAT for expenses and purchases made using house fund for August 05, 2025</v>
      </c>
      <c r="G19" s="82"/>
      <c r="H19" s="83"/>
      <c r="I19" s="84"/>
      <c r="J19" s="82"/>
      <c r="K19" s="1"/>
      <c r="L19" s="65"/>
      <c r="M19" s="66"/>
      <c r="N19" s="67"/>
      <c r="O19" s="68"/>
      <c r="P19" s="69"/>
    </row>
    <row r="20" spans="1:16" customFormat="1" ht="15" x14ac:dyDescent="0.25">
      <c r="A20" s="85" t="s">
        <v>116</v>
      </c>
      <c r="B20" s="86"/>
      <c r="C20" s="87"/>
      <c r="D20" s="88"/>
      <c r="E20" s="74">
        <f>P13</f>
        <v>47.748214285714283</v>
      </c>
      <c r="F20" s="89" t="str">
        <f>"Recording the tax withheld for expenses and purchases using the house fund received on " &amp; TEXT(A5, "mmmm dd, yyyy")</f>
        <v>Recording the tax withheld for expenses and purchases using the house fund received on August 05, 2025</v>
      </c>
      <c r="G20" s="82"/>
      <c r="H20" s="83"/>
      <c r="I20" s="84"/>
      <c r="J20" s="82"/>
      <c r="K20" s="1"/>
      <c r="L20" s="65"/>
      <c r="M20" s="66"/>
      <c r="N20" s="67"/>
      <c r="O20" s="68"/>
      <c r="P20" s="69"/>
    </row>
    <row r="21" spans="1:16" customFormat="1" ht="15" x14ac:dyDescent="0.25">
      <c r="A21" s="70" t="s">
        <v>117</v>
      </c>
      <c r="B21" s="86"/>
      <c r="C21" s="87"/>
      <c r="D21" s="90"/>
      <c r="E21" s="91">
        <f>M13</f>
        <v>5347.8</v>
      </c>
      <c r="F21" s="89" t="str">
        <f>"Recording house fund expenses for replenishment on " &amp; TEXT(A5, "mmmm dd, yyyy")</f>
        <v>Recording house fund expenses for replenishment on August 05, 2025</v>
      </c>
      <c r="G21" s="82"/>
      <c r="H21" s="83"/>
      <c r="I21" s="84"/>
      <c r="J21" s="82"/>
      <c r="K21" s="1"/>
      <c r="L21" s="65"/>
      <c r="M21" s="66"/>
      <c r="N21" s="67"/>
      <c r="O21" s="68"/>
      <c r="P21" s="69"/>
    </row>
    <row r="22" spans="1:16" customFormat="1" ht="15" x14ac:dyDescent="0.25">
      <c r="A22" s="85"/>
      <c r="B22" s="86"/>
      <c r="C22" s="87"/>
      <c r="D22" s="88">
        <f>SUM(D17:D19)</f>
        <v>5395.5482142857145</v>
      </c>
      <c r="E22" s="88">
        <f>SUM(E17:E21)</f>
        <v>5395.5482142857145</v>
      </c>
      <c r="F22" s="92"/>
      <c r="G22" s="92"/>
      <c r="H22" s="93"/>
      <c r="I22" s="94"/>
      <c r="J22" s="92"/>
      <c r="K22" s="1"/>
      <c r="L22" s="65"/>
      <c r="M22" s="66"/>
      <c r="N22" s="67"/>
      <c r="O22" s="68"/>
      <c r="P22" s="69"/>
    </row>
    <row r="23" spans="1:16" customFormat="1" ht="15" x14ac:dyDescent="0.25">
      <c r="A23" s="95" t="s">
        <v>118</v>
      </c>
      <c r="B23" s="96" t="str">
        <f>"To record house fund expenses on " &amp; TEXT(A5, "mmmm dd, yyyy") &amp; " with PCV#" &amp; C5</f>
        <v>To record house fund expenses on August 05, 2025 with PCV#20854</v>
      </c>
      <c r="C23" s="97"/>
      <c r="D23" s="98"/>
      <c r="E23" s="98"/>
      <c r="F23" s="98"/>
      <c r="G23" s="92"/>
      <c r="H23" s="93"/>
      <c r="I23" s="94"/>
      <c r="J23" s="92"/>
      <c r="K23" s="1"/>
      <c r="L23" s="65"/>
      <c r="M23" s="66"/>
      <c r="N23" s="67"/>
      <c r="O23" s="68"/>
      <c r="P23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77A6C-2F0A-47A8-90F0-6F04238F0291}">
  <sheetPr>
    <tabColor rgb="FFFFC0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45874</v>
      </c>
      <c r="B5" s="3" t="s">
        <v>352</v>
      </c>
      <c r="C5" s="4" t="s">
        <v>481</v>
      </c>
      <c r="D5" s="5" t="s">
        <v>122</v>
      </c>
      <c r="E5" s="6" t="s">
        <v>387</v>
      </c>
      <c r="F5" s="7"/>
      <c r="G5" s="8" t="s">
        <v>388</v>
      </c>
      <c r="H5" s="9">
        <v>7847</v>
      </c>
      <c r="I5" s="10" t="s">
        <v>389</v>
      </c>
      <c r="J5" s="11" t="s">
        <v>369</v>
      </c>
      <c r="K5" s="12">
        <v>6</v>
      </c>
      <c r="L5" s="13">
        <v>315</v>
      </c>
      <c r="M5" s="14">
        <f t="shared" ref="M5" si="0">L5*K5</f>
        <v>1890</v>
      </c>
      <c r="N5" s="15"/>
      <c r="O5" s="16" t="s">
        <v>111</v>
      </c>
      <c r="P5" s="17">
        <f>M5/1.12*0.01</f>
        <v>16.874999999999996</v>
      </c>
      <c r="Q5" s="18">
        <f>M5/1.12*0.12</f>
        <v>202.49999999999997</v>
      </c>
      <c r="R5" s="17">
        <f>M5+P5-Q5</f>
        <v>1704.375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1890</v>
      </c>
      <c r="N6" s="38">
        <f>M6</f>
        <v>1890</v>
      </c>
      <c r="O6" s="39" t="s">
        <v>111</v>
      </c>
      <c r="P6" s="38">
        <f>SUM(P5:P5)</f>
        <v>16.874999999999996</v>
      </c>
      <c r="Q6" s="38">
        <f>SUM(Q5:Q5)</f>
        <v>202.49999999999997</v>
      </c>
      <c r="R6" s="38">
        <f>SUM(R5:R5)</f>
        <v>1704.375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KINGS QUALITY FOODS CEBU INC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1704.375</v>
      </c>
      <c r="E10" s="74"/>
      <c r="F10" s="75" t="str">
        <f>"In payment for 6kg of chicken sausage for function and breakfast using housefund received on " &amp; TEXT(A5, "mmmm dd, yyyy") &amp; " with SI#7847 PR#30095 RR#50159" &amp; " CPO#" &amp;B5</f>
        <v>In payment for 6kg of chicken sausage for function and breakfast using housefund received on August 05, 2025 with SI#7847 PR#30095 RR#50159 CPO#18957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202.49999999999997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05,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16.874999999999996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05,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1890</v>
      </c>
      <c r="F13" s="89" t="str">
        <f>"Recording house fund expenses for replenishment on " &amp; TEXT(A5, "mmmm dd, yyyy")</f>
        <v>Recording house fund expenses for replenishment on August 05,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1906.875</v>
      </c>
      <c r="E14" s="88">
        <f>SUM(E10:E13)</f>
        <v>1906.875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05, 2025 with PCV#20855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A1A22-B93F-4EA5-A606-D1BEC8E31093}">
  <sheetPr>
    <tabColor rgb="FFFFC0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45874</v>
      </c>
      <c r="B5" s="3" t="s">
        <v>352</v>
      </c>
      <c r="C5" s="4" t="s">
        <v>482</v>
      </c>
      <c r="D5" s="5" t="s">
        <v>122</v>
      </c>
      <c r="E5" s="6" t="s">
        <v>266</v>
      </c>
      <c r="F5" s="7"/>
      <c r="G5" s="8"/>
      <c r="H5" s="9"/>
      <c r="I5" s="10" t="s">
        <v>483</v>
      </c>
      <c r="J5" s="11" t="s">
        <v>390</v>
      </c>
      <c r="K5" s="12">
        <v>15</v>
      </c>
      <c r="L5" s="13">
        <v>180</v>
      </c>
      <c r="M5" s="14">
        <f t="shared" ref="M5" si="0">L5*K5</f>
        <v>2700</v>
      </c>
      <c r="N5" s="15"/>
      <c r="O5" s="16" t="s">
        <v>137</v>
      </c>
      <c r="P5" s="17"/>
      <c r="Q5" s="18"/>
      <c r="R5" s="17">
        <f>M5+P5-Q5</f>
        <v>2700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2700</v>
      </c>
      <c r="N6" s="38">
        <f>M6</f>
        <v>2700</v>
      </c>
      <c r="O6" s="39" t="s">
        <v>137</v>
      </c>
      <c r="P6" s="38"/>
      <c r="Q6" s="38"/>
      <c r="R6" s="38">
        <f>SUM(R5:R5)</f>
        <v>2700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MARKET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2700</v>
      </c>
      <c r="E10" s="74"/>
      <c r="F10" s="75" t="str">
        <f>"In payment for 15kg of tamarong for employees meal using housefund received on " &amp; TEXT(A5, "mmmm dd, yyyy") &amp; " with PR#30094 RR#50158" &amp; " CPO#" &amp;B5</f>
        <v>In payment for 15kg of tamarong for employees meal using housefund received on August 05, 2025 with PR#30094 RR#50158 CPO#18957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05,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05,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2700</v>
      </c>
      <c r="F13" s="89" t="str">
        <f>"Recording house fund expenses for replenishment on " &amp; TEXT(A5, "mmmm dd, yyyy")</f>
        <v>Recording house fund expenses for replenishment on August 05, 2025</v>
      </c>
      <c r="G13" s="82"/>
      <c r="H13" s="83"/>
      <c r="I13" s="84"/>
      <c r="J13" s="82"/>
      <c r="K13" s="1" t="s">
        <v>391</v>
      </c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2700</v>
      </c>
      <c r="E14" s="88">
        <f>SUM(E10:E13)</f>
        <v>2700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05, 2025 with PCV#20856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19466-2870-4319-80EE-210748A54887}">
  <sheetPr>
    <tabColor rgb="FFFFC0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45877</v>
      </c>
      <c r="B5" s="3" t="s">
        <v>352</v>
      </c>
      <c r="C5" s="4" t="s">
        <v>484</v>
      </c>
      <c r="D5" s="5" t="s">
        <v>122</v>
      </c>
      <c r="E5" s="6"/>
      <c r="F5" s="7"/>
      <c r="G5" s="8"/>
      <c r="H5" s="9"/>
      <c r="I5" s="10"/>
      <c r="J5" s="11" t="s">
        <v>226</v>
      </c>
      <c r="K5" s="12">
        <v>1</v>
      </c>
      <c r="L5" s="13">
        <v>135</v>
      </c>
      <c r="M5" s="14">
        <f t="shared" ref="M5" si="0">L5*K5</f>
        <v>135</v>
      </c>
      <c r="N5" s="15"/>
      <c r="O5" s="16" t="s">
        <v>137</v>
      </c>
      <c r="P5" s="17"/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7">
        <f>M5+P5-Q5</f>
        <v>135</v>
      </c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135</v>
      </c>
      <c r="N6" s="38">
        <f>M6</f>
        <v>135</v>
      </c>
      <c r="O6" s="39" t="s">
        <v>137</v>
      </c>
      <c r="P6" s="38"/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>SUM(BC5:BC5)</f>
        <v>135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>
        <f>E5</f>
        <v>0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392</v>
      </c>
      <c r="B10" s="71"/>
      <c r="C10" s="72"/>
      <c r="D10" s="73">
        <f>BC6</f>
        <v>135</v>
      </c>
      <c r="E10" s="74"/>
      <c r="F10" s="75" t="str">
        <f>"In payment for employees meal for staff during purchasing trip using housefund received on " &amp; TEXT(A5, "mmmm dd, yyyy") &amp; " with" &amp; " CPO#" &amp;B5</f>
        <v>In payment for employees meal for staff during purchasing trip using housefund received on August 08, 2025 with CPO#18957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08,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08,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135</v>
      </c>
      <c r="F13" s="89" t="str">
        <f>"Recording house fund expenses for replenishment on " &amp; TEXT(A5, "mmmm dd, yyyy")</f>
        <v>Recording house fund expenses for replenishment on August 08,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135</v>
      </c>
      <c r="E14" s="88">
        <f>SUM(E10:E13)</f>
        <v>135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08, 2025 with PCV#20857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7663D-3117-400F-9387-43C1EB56DF59}">
  <sheetPr>
    <tabColor rgb="FFFFC0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45875</v>
      </c>
      <c r="B5" s="3" t="s">
        <v>352</v>
      </c>
      <c r="C5" s="4" t="s">
        <v>485</v>
      </c>
      <c r="D5" s="5" t="s">
        <v>122</v>
      </c>
      <c r="E5" s="6"/>
      <c r="F5" s="7"/>
      <c r="G5" s="8"/>
      <c r="H5" s="9"/>
      <c r="I5" s="10"/>
      <c r="J5" s="11" t="s">
        <v>226</v>
      </c>
      <c r="K5" s="12">
        <v>1</v>
      </c>
      <c r="L5" s="13">
        <v>130</v>
      </c>
      <c r="M5" s="14">
        <f t="shared" ref="M5" si="0">L5*K5</f>
        <v>130</v>
      </c>
      <c r="N5" s="15"/>
      <c r="O5" s="16" t="s">
        <v>137</v>
      </c>
      <c r="P5" s="17"/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7">
        <f>M5+P5-Q5</f>
        <v>130</v>
      </c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130</v>
      </c>
      <c r="N6" s="38">
        <f>M6</f>
        <v>130</v>
      </c>
      <c r="O6" s="39" t="s">
        <v>137</v>
      </c>
      <c r="P6" s="38">
        <f>SUM(P5:P5)</f>
        <v>0</v>
      </c>
      <c r="Q6" s="38">
        <f>SUM(Q5:Q5)</f>
        <v>0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>SUM(BC5:BC5)</f>
        <v>130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>
        <f>E5</f>
        <v>0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392</v>
      </c>
      <c r="B10" s="71"/>
      <c r="C10" s="72"/>
      <c r="D10" s="73">
        <f>BC6</f>
        <v>130</v>
      </c>
      <c r="E10" s="74"/>
      <c r="F10" s="75" t="str">
        <f>"In payment for employees meal for staff during purchasing trip using housefund received on " &amp; TEXT(A5, "mmmm dd, yyyy") &amp; " with" &amp; " CPO#" &amp;B5</f>
        <v>In payment for employees meal for staff during purchasing trip using housefund received on August 06, 2025 with CPO#18957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06,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06,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130</v>
      </c>
      <c r="F13" s="89" t="str">
        <f>"Recording house fund expenses for replenishment on " &amp; TEXT(A5, "mmmm dd, yyyy")</f>
        <v>Recording house fund expenses for replenishment on August 06,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130</v>
      </c>
      <c r="E14" s="88">
        <f>SUM(E10:E13)</f>
        <v>130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06, 2025 with PCV#20858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5B732-4BCD-4A65-8017-0D42E9F50BB9}">
  <sheetPr>
    <tabColor rgb="FFFFC0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45873</v>
      </c>
      <c r="B5" s="3" t="s">
        <v>121</v>
      </c>
      <c r="C5" s="4" t="s">
        <v>486</v>
      </c>
      <c r="D5" s="5" t="s">
        <v>122</v>
      </c>
      <c r="E5" s="6" t="s">
        <v>123</v>
      </c>
      <c r="F5" s="7" t="s">
        <v>124</v>
      </c>
      <c r="G5" s="8" t="s">
        <v>125</v>
      </c>
      <c r="H5" s="9" t="s">
        <v>126</v>
      </c>
      <c r="I5" s="10"/>
      <c r="J5" s="11" t="s">
        <v>127</v>
      </c>
      <c r="K5" s="12">
        <v>1</v>
      </c>
      <c r="L5" s="13">
        <v>56</v>
      </c>
      <c r="M5" s="14">
        <f t="shared" ref="M5" si="0">L5*K5</f>
        <v>56</v>
      </c>
      <c r="N5" s="15"/>
      <c r="O5" s="16" t="s">
        <v>111</v>
      </c>
      <c r="P5" s="17">
        <f>M5/1.12*0.02</f>
        <v>0.99999999999999989</v>
      </c>
      <c r="Q5" s="18">
        <f>M5/1.12*0.12</f>
        <v>5.9999999999999991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7">
        <f>M5+P5-Q5</f>
        <v>51</v>
      </c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56</v>
      </c>
      <c r="N6" s="38">
        <f>M6</f>
        <v>56</v>
      </c>
      <c r="O6" s="39" t="s">
        <v>111</v>
      </c>
      <c r="P6" s="38">
        <f>SUM(P5:P5)</f>
        <v>0.99999999999999989</v>
      </c>
      <c r="Q6" s="38">
        <f>SUM(Q5:Q5)</f>
        <v>5.9999999999999991</v>
      </c>
      <c r="R6" s="38">
        <f>SUM(R5:R5)</f>
        <v>0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>SUM(BS5:BS5)</f>
        <v>51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 xml:space="preserve">PHILIPPINE AIRLINES 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39</v>
      </c>
      <c r="B10" s="71"/>
      <c r="C10" s="72"/>
      <c r="D10" s="73">
        <f>BS6</f>
        <v>51</v>
      </c>
      <c r="E10" s="74"/>
      <c r="F10" s="75" t="str">
        <f>"In payment for storage fee of cargo from ilo-ilo to cebu using housefund received on " &amp; TEXT(A5, "mmmm dd, yyyy") &amp; " with SI#CA/CEB/000000000266464" &amp; " CPO#" &amp;B5</f>
        <v>In payment for storage fee of cargo from ilo-ilo to cebu using housefund received on August 04, 2025 with SI#CA/CEB/000000000266464 CPO#18958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5.9999999999999991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04,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0.99999999999999989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04,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56</v>
      </c>
      <c r="F13" s="89" t="str">
        <f>"Recording house fund expenses for replenishment on " &amp; TEXT(A5, "mmmm dd, yyyy")</f>
        <v>Recording house fund expenses for replenishment on August 04,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57</v>
      </c>
      <c r="E14" s="88">
        <f>SUM(E10:E13)</f>
        <v>57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04, 2025 with PCV#20859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0922F-F5C1-4BC8-A9AC-93A6F19666FC}">
  <sheetPr>
    <tabColor rgb="FFFFC0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45873</v>
      </c>
      <c r="B5" s="3" t="s">
        <v>121</v>
      </c>
      <c r="C5" s="4" t="s">
        <v>487</v>
      </c>
      <c r="D5" s="5" t="s">
        <v>122</v>
      </c>
      <c r="E5" s="6" t="s">
        <v>123</v>
      </c>
      <c r="F5" s="7" t="s">
        <v>124</v>
      </c>
      <c r="G5" s="8" t="s">
        <v>125</v>
      </c>
      <c r="H5" s="9" t="s">
        <v>128</v>
      </c>
      <c r="I5" s="10"/>
      <c r="J5" s="11" t="s">
        <v>127</v>
      </c>
      <c r="K5" s="12">
        <v>1</v>
      </c>
      <c r="L5" s="13">
        <v>56</v>
      </c>
      <c r="M5" s="14">
        <f t="shared" ref="M5" si="0">L5*K5</f>
        <v>56</v>
      </c>
      <c r="N5" s="15"/>
      <c r="O5" s="16" t="s">
        <v>111</v>
      </c>
      <c r="P5" s="17">
        <f>M5/1.12*0.02</f>
        <v>0.99999999999999989</v>
      </c>
      <c r="Q5" s="18">
        <f>M5/1.12*0.12</f>
        <v>5.9999999999999991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7">
        <f>M5+P5-Q5</f>
        <v>51</v>
      </c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56</v>
      </c>
      <c r="N6" s="38">
        <f>M6</f>
        <v>56</v>
      </c>
      <c r="O6" s="39" t="s">
        <v>111</v>
      </c>
      <c r="P6" s="38">
        <f>SUM(P5:P5)</f>
        <v>0.99999999999999989</v>
      </c>
      <c r="Q6" s="38">
        <f>SUM(Q5:Q5)</f>
        <v>5.9999999999999991</v>
      </c>
      <c r="R6" s="38">
        <f>SUM(R5:R5)</f>
        <v>0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51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 xml:space="preserve">PHILIPPINE AIRLINES 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39</v>
      </c>
      <c r="B10" s="71"/>
      <c r="C10" s="72"/>
      <c r="D10" s="73">
        <f>BS6</f>
        <v>51</v>
      </c>
      <c r="E10" s="74"/>
      <c r="F10" s="75" t="str">
        <f>"In payment for storage fee of cargo from davao to cebu using housefund received on " &amp; TEXT(A5, "mmmm dd, yyyy") &amp; " with SI#CA/CEB/000000000266465" &amp; " CPO#" &amp;B5</f>
        <v>In payment for storage fee of cargo from davao to cebu using housefund received on August 04, 2025 with SI#CA/CEB/000000000266465 CPO#18958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5.9999999999999991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04,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0.99999999999999989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04,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56</v>
      </c>
      <c r="F13" s="89" t="str">
        <f>"Recording house fund expenses for replenishment on " &amp; TEXT(A5, "mmmm dd, yyyy")</f>
        <v>Recording house fund expenses for replenishment on August 04,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57</v>
      </c>
      <c r="E14" s="88">
        <f>SUM(E10:E13)</f>
        <v>57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04, 2025 with PCV#20860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80227-4201-43CB-BF0D-F4C3A6335DB5}">
  <sheetPr>
    <tabColor rgb="FFFFC0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45849</v>
      </c>
      <c r="B5" s="3" t="s">
        <v>121</v>
      </c>
      <c r="C5" s="4" t="s">
        <v>488</v>
      </c>
      <c r="D5" s="5" t="s">
        <v>122</v>
      </c>
      <c r="E5" s="6" t="s">
        <v>123</v>
      </c>
      <c r="F5" s="7" t="s">
        <v>124</v>
      </c>
      <c r="G5" s="8" t="s">
        <v>125</v>
      </c>
      <c r="H5" s="9" t="s">
        <v>129</v>
      </c>
      <c r="I5" s="10"/>
      <c r="J5" s="11" t="s">
        <v>127</v>
      </c>
      <c r="K5" s="12">
        <v>1</v>
      </c>
      <c r="L5" s="13">
        <v>56</v>
      </c>
      <c r="M5" s="14">
        <f t="shared" ref="M5" si="0">L5*K5</f>
        <v>56</v>
      </c>
      <c r="N5" s="15"/>
      <c r="O5" s="16" t="s">
        <v>111</v>
      </c>
      <c r="P5" s="17">
        <f>M5/1.12*0.02</f>
        <v>0.99999999999999989</v>
      </c>
      <c r="Q5" s="18">
        <f>M5/1.12*0.12</f>
        <v>5.9999999999999991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7">
        <f>M5+P5-Q5</f>
        <v>51</v>
      </c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56</v>
      </c>
      <c r="N6" s="38">
        <f>M6</f>
        <v>56</v>
      </c>
      <c r="O6" s="39" t="s">
        <v>111</v>
      </c>
      <c r="P6" s="38">
        <f>SUM(P5:P5)</f>
        <v>0.99999999999999989</v>
      </c>
      <c r="Q6" s="38">
        <f>SUM(Q5:Q5)</f>
        <v>5.9999999999999991</v>
      </c>
      <c r="R6" s="38">
        <f>SUM(R5:R5)</f>
        <v>0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51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 xml:space="preserve">PHILIPPINE AIRLINES 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39</v>
      </c>
      <c r="B10" s="71"/>
      <c r="C10" s="72"/>
      <c r="D10" s="73">
        <f>BS6</f>
        <v>51</v>
      </c>
      <c r="E10" s="74"/>
      <c r="F10" s="75" t="str">
        <f>"In payment for storage fee of cargo from davao to cebu using housefund received on " &amp; TEXT(A5, "mmmm dd, yyyy") &amp; " with SI#CA/CEB/000000000261710" &amp; " CPO#" &amp;B5</f>
        <v>In payment for storage fee of cargo from davao to cebu using housefund received on July 11, 2025 with SI#CA/CEB/000000000261710 CPO#18958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5.9999999999999991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July 11,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0.99999999999999989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July 11,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56</v>
      </c>
      <c r="F13" s="89" t="str">
        <f>"Recording house fund expenses for replenishment on " &amp; TEXT(A5, "mmmm dd, yyyy")</f>
        <v>Recording house fund expenses for replenishment on July 11,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57</v>
      </c>
      <c r="E14" s="88">
        <f>SUM(E10:E13)</f>
        <v>57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July 11, 2025 with PCV#20861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1B378-D5A0-48A0-B7BD-E3765DE4FADF}">
  <sheetPr>
    <tabColor rgb="FFFFC0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45680</v>
      </c>
      <c r="B5" s="3" t="s">
        <v>121</v>
      </c>
      <c r="C5" s="4" t="s">
        <v>489</v>
      </c>
      <c r="D5" s="5" t="s">
        <v>122</v>
      </c>
      <c r="E5" s="6" t="s">
        <v>123</v>
      </c>
      <c r="F5" s="7" t="s">
        <v>124</v>
      </c>
      <c r="G5" s="8" t="s">
        <v>125</v>
      </c>
      <c r="H5" s="9" t="s">
        <v>130</v>
      </c>
      <c r="I5" s="10"/>
      <c r="J5" s="11" t="s">
        <v>127</v>
      </c>
      <c r="K5" s="12">
        <v>1</v>
      </c>
      <c r="L5" s="13">
        <v>56</v>
      </c>
      <c r="M5" s="14">
        <f t="shared" ref="M5" si="0">L5*K5</f>
        <v>56</v>
      </c>
      <c r="N5" s="15"/>
      <c r="O5" s="16" t="s">
        <v>111</v>
      </c>
      <c r="P5" s="17">
        <f>M5/1.12*0.02</f>
        <v>0.99999999999999989</v>
      </c>
      <c r="Q5" s="18">
        <f>M5/1.12*0.12</f>
        <v>5.9999999999999991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7">
        <f>M5+P5-Q5</f>
        <v>51</v>
      </c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56</v>
      </c>
      <c r="N6" s="38">
        <f>M6</f>
        <v>56</v>
      </c>
      <c r="O6" s="39" t="s">
        <v>111</v>
      </c>
      <c r="P6" s="38">
        <f>SUM(P5:P5)</f>
        <v>0.99999999999999989</v>
      </c>
      <c r="Q6" s="38">
        <f>SUM(Q5:Q5)</f>
        <v>5.9999999999999991</v>
      </c>
      <c r="R6" s="38">
        <f>SUM(R5:R5)</f>
        <v>0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51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 xml:space="preserve">PHILIPPINE AIRLINES 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39</v>
      </c>
      <c r="B10" s="71"/>
      <c r="C10" s="72"/>
      <c r="D10" s="73">
        <f>BS6</f>
        <v>51</v>
      </c>
      <c r="E10" s="74"/>
      <c r="F10" s="75" t="str">
        <f>"In payment for storage fee of cargo from davao to cebu using housefund received on " &amp; TEXT(A5, "mmmm dd, yyyy") &amp; " with SI#CA/CEB/000000000227914" &amp; " CPO#" &amp;B5</f>
        <v>In payment for storage fee of cargo from davao to cebu using housefund received on January 23, 2025 with SI#CA/CEB/000000000227914 CPO#18958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5.9999999999999991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January 23,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0.99999999999999989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January 23,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56</v>
      </c>
      <c r="F13" s="89" t="str">
        <f>"Recording house fund expenses for replenishment on " &amp; TEXT(A5, "mmmm dd, yyyy")</f>
        <v>Recording house fund expenses for replenishment on January 23,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57</v>
      </c>
      <c r="E14" s="88">
        <f>SUM(E10:E13)</f>
        <v>57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January 23, 2025 with PCV#20862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066DA-0523-4371-A951-1BD5C0329899}">
  <sheetPr>
    <tabColor rgb="FFFFC0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45834</v>
      </c>
      <c r="B5" s="3" t="s">
        <v>121</v>
      </c>
      <c r="C5" s="4" t="s">
        <v>490</v>
      </c>
      <c r="D5" s="5" t="s">
        <v>122</v>
      </c>
      <c r="E5" s="6" t="s">
        <v>123</v>
      </c>
      <c r="F5" s="7" t="s">
        <v>124</v>
      </c>
      <c r="G5" s="8" t="s">
        <v>125</v>
      </c>
      <c r="H5" s="9" t="s">
        <v>131</v>
      </c>
      <c r="I5" s="10"/>
      <c r="J5" s="11" t="s">
        <v>127</v>
      </c>
      <c r="K5" s="12">
        <v>1</v>
      </c>
      <c r="L5" s="13">
        <v>56</v>
      </c>
      <c r="M5" s="14">
        <f t="shared" ref="M5" si="0">L5*K5</f>
        <v>56</v>
      </c>
      <c r="N5" s="15"/>
      <c r="O5" s="16" t="s">
        <v>111</v>
      </c>
      <c r="P5" s="17">
        <f>M5/1.12*0.02</f>
        <v>0.99999999999999989</v>
      </c>
      <c r="Q5" s="18">
        <f>M5/1.12*0.12</f>
        <v>5.9999999999999991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7">
        <f>M5+P5-Q5</f>
        <v>51</v>
      </c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56</v>
      </c>
      <c r="N6" s="38">
        <f>M6</f>
        <v>56</v>
      </c>
      <c r="O6" s="39" t="s">
        <v>111</v>
      </c>
      <c r="P6" s="38">
        <f>SUM(P5:P5)</f>
        <v>0.99999999999999989</v>
      </c>
      <c r="Q6" s="38">
        <f>SUM(Q5:Q5)</f>
        <v>5.9999999999999991</v>
      </c>
      <c r="R6" s="38">
        <f>SUM(R5:R5)</f>
        <v>0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51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 xml:space="preserve">PHILIPPINE AIRLINES 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39</v>
      </c>
      <c r="B10" s="71"/>
      <c r="C10" s="72"/>
      <c r="D10" s="73">
        <f>BS6</f>
        <v>51</v>
      </c>
      <c r="E10" s="74"/>
      <c r="F10" s="75" t="str">
        <f>"In payment for storage fee of cargo from davao to cebu using housefund received on " &amp; TEXT(A5, "mmmm dd, yyyy") &amp; " with SI#CA/CEB/000000000258525" &amp; " CPO#" &amp;B5</f>
        <v>In payment for storage fee of cargo from davao to cebu using housefund received on June 26, 2025 with SI#CA/CEB/000000000258525 CPO#18958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5.9999999999999991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June 26,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0.99999999999999989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June 26,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56</v>
      </c>
      <c r="F13" s="89" t="str">
        <f>"Recording house fund expenses for replenishment on " &amp; TEXT(A5, "mmmm dd, yyyy")</f>
        <v>Recording house fund expenses for replenishment on June 26,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57</v>
      </c>
      <c r="E14" s="88">
        <f>SUM(E10:E13)</f>
        <v>57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June 26, 2025 with PCV#20863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71843-C3DD-47EF-AE29-18F4059F8A65}">
  <sheetPr>
    <tabColor rgb="FFFFC0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45877</v>
      </c>
      <c r="B5" s="3" t="s">
        <v>132</v>
      </c>
      <c r="C5" s="4" t="s">
        <v>491</v>
      </c>
      <c r="D5" s="5" t="s">
        <v>133</v>
      </c>
      <c r="E5" s="6" t="s">
        <v>134</v>
      </c>
      <c r="F5" s="7"/>
      <c r="G5" s="8"/>
      <c r="H5" s="9"/>
      <c r="I5" s="10"/>
      <c r="J5" s="11" t="s">
        <v>135</v>
      </c>
      <c r="K5" s="12">
        <v>1</v>
      </c>
      <c r="L5" s="13">
        <v>119</v>
      </c>
      <c r="M5" s="14">
        <f t="shared" ref="M5" si="0">L5*K5</f>
        <v>119</v>
      </c>
      <c r="N5" s="15"/>
      <c r="O5" s="16" t="s">
        <v>136</v>
      </c>
      <c r="P5" s="17"/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>
        <f>M5+P5-Q5</f>
        <v>119</v>
      </c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119</v>
      </c>
      <c r="N6" s="38">
        <f>M6</f>
        <v>119</v>
      </c>
      <c r="O6" s="39" t="s">
        <v>137</v>
      </c>
      <c r="P6" s="38">
        <f>SUM(P5:P5)</f>
        <v>0</v>
      </c>
      <c r="Q6" s="38">
        <f>SUM(Q5:Q5)</f>
        <v>0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>SUM(BO5:BO5)</f>
        <v>119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MAXIM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138</v>
      </c>
      <c r="B10" s="71"/>
      <c r="C10" s="72"/>
      <c r="D10" s="73">
        <f>BO6</f>
        <v>119</v>
      </c>
      <c r="E10" s="74"/>
      <c r="F10" s="75" t="str">
        <f>"In payment for maxim fare from lapu-lapu cordova custom furniture to lapu-lapu venecia apartment mactan bag-ong silingan using housefund received on " &amp; TEXT(A5, "mmmm dd, yyyy") &amp; " with" &amp; " CPO#" &amp;B5</f>
        <v>In payment for maxim fare from lapu-lapu cordova custom furniture to lapu-lapu venecia apartment mactan bag-ong silingan using housefund received on August 08, 2025 with CPO#18960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08,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08,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119</v>
      </c>
      <c r="F13" s="89" t="str">
        <f>"Recording house fund expenses for replenishment on " &amp; TEXT(A5, "mmmm dd, yyyy")</f>
        <v>Recording house fund expenses for replenishment on August 08,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119</v>
      </c>
      <c r="E14" s="88">
        <f>SUM(E10:E13)</f>
        <v>119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08, 2025 with PCV#20864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C9AA4-C348-4984-A10E-E4BAC5654A1F}">
  <sheetPr>
    <tabColor rgb="FFFFC000"/>
  </sheetPr>
  <dimension ref="A1:CY15"/>
  <sheetViews>
    <sheetView topLeftCell="A4"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144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45876</v>
      </c>
      <c r="B5" s="3" t="s">
        <v>139</v>
      </c>
      <c r="C5" s="4" t="s">
        <v>492</v>
      </c>
      <c r="D5" s="5" t="s">
        <v>122</v>
      </c>
      <c r="E5" s="6" t="s">
        <v>140</v>
      </c>
      <c r="F5" s="7" t="s">
        <v>141</v>
      </c>
      <c r="G5" s="8" t="s">
        <v>142</v>
      </c>
      <c r="H5" s="9">
        <v>289</v>
      </c>
      <c r="I5" s="10"/>
      <c r="J5" s="11" t="s">
        <v>143</v>
      </c>
      <c r="K5" s="12">
        <v>1</v>
      </c>
      <c r="L5" s="13">
        <v>336</v>
      </c>
      <c r="M5" s="14">
        <f t="shared" ref="M5" si="0">L5*K5</f>
        <v>336</v>
      </c>
      <c r="N5" s="15"/>
      <c r="O5" s="16" t="s">
        <v>111</v>
      </c>
      <c r="P5" s="17">
        <f>M5/1.12*0.02</f>
        <v>5.9999999999999991</v>
      </c>
      <c r="Q5" s="18">
        <f>M5/1.12*0.12</f>
        <v>35.999999999999993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7">
        <f>M5+P5-Q5</f>
        <v>306</v>
      </c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336</v>
      </c>
      <c r="N6" s="38">
        <f>M6</f>
        <v>336</v>
      </c>
      <c r="O6" s="39" t="s">
        <v>111</v>
      </c>
      <c r="P6" s="38">
        <f>SUM(P5:P5)</f>
        <v>5.9999999999999991</v>
      </c>
      <c r="Q6" s="38">
        <f>SUM(Q5:Q5)</f>
        <v>35.999999999999993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>SUM(AI5:AI5)</f>
        <v>306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>SUM(AQ5:AQ5)</f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TOTAL PRO-TECH SOLUTIONS INC.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145</v>
      </c>
      <c r="B10" s="71"/>
      <c r="C10" s="72"/>
      <c r="D10" s="73">
        <f>AI6</f>
        <v>306</v>
      </c>
      <c r="E10" s="74"/>
      <c r="F10" s="75" t="str">
        <f>"In payment for check up charge of printer at front office (EPSON L3210-XAGM357622) using housefund received on " &amp; TEXT(A5, "mmmm dd, yyyy") &amp; " with SI#000289" &amp; " CPO#" &amp;B5</f>
        <v>In payment for check up charge of printer at front office (EPSON L3210-XAGM357622) using housefund received on August 07, 2025 with SI#000289 CPO#18961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35.999999999999993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07,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5.9999999999999991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07,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336</v>
      </c>
      <c r="F13" s="89" t="str">
        <f>"Recording house fund expenses for replenishment on " &amp; TEXT(A5, "mmmm dd, yyyy")</f>
        <v>Recording house fund expenses for replenishment on August 07,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342</v>
      </c>
      <c r="E14" s="88">
        <f>SUM(E10:E13)</f>
        <v>342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07, 2025 with PCV#20865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4307E-5185-4496-8001-F6C240648063}">
  <sheetPr>
    <tabColor rgb="FFFFC000"/>
  </sheetPr>
  <dimension ref="A1:CY20"/>
  <sheetViews>
    <sheetView topLeftCell="A4" workbookViewId="0">
      <selection activeCell="A5" sqref="A5:XFD10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45878</v>
      </c>
      <c r="B5" s="3" t="s">
        <v>146</v>
      </c>
      <c r="C5" s="4" t="s">
        <v>493</v>
      </c>
      <c r="D5" s="5" t="s">
        <v>122</v>
      </c>
      <c r="E5" s="6" t="s">
        <v>152</v>
      </c>
      <c r="F5" s="7" t="s">
        <v>153</v>
      </c>
      <c r="G5" s="8" t="s">
        <v>154</v>
      </c>
      <c r="H5" s="9" t="s">
        <v>155</v>
      </c>
      <c r="I5" s="10" t="s">
        <v>398</v>
      </c>
      <c r="J5" s="11" t="s">
        <v>156</v>
      </c>
      <c r="K5" s="12">
        <v>4</v>
      </c>
      <c r="L5" s="13">
        <v>129.75</v>
      </c>
      <c r="M5" s="14">
        <f t="shared" ref="M5:M9" si="0">L5*K5</f>
        <v>519</v>
      </c>
      <c r="N5" s="15"/>
      <c r="O5" s="16" t="s">
        <v>111</v>
      </c>
      <c r="P5" s="17">
        <f>M5/1.12*0.01</f>
        <v>4.6339285714285712</v>
      </c>
      <c r="Q5" s="18">
        <f>M5/1.12*0.12</f>
        <v>55.607142857142854</v>
      </c>
      <c r="S5" s="19"/>
      <c r="T5" s="19"/>
      <c r="U5" s="19"/>
      <c r="V5" s="19"/>
      <c r="W5" s="17">
        <f>M5+P5-Q5</f>
        <v>468.02678571428572</v>
      </c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157</v>
      </c>
      <c r="K6" s="12">
        <v>12</v>
      </c>
      <c r="L6" s="13">
        <v>19.95</v>
      </c>
      <c r="M6" s="14">
        <f t="shared" si="0"/>
        <v>239.39999999999998</v>
      </c>
      <c r="N6" s="15"/>
      <c r="O6" s="16" t="s">
        <v>111</v>
      </c>
      <c r="P6" s="17">
        <f t="shared" ref="P6:P9" si="1">M6/1.12*0.01</f>
        <v>2.1374999999999997</v>
      </c>
      <c r="Q6" s="18">
        <f t="shared" ref="Q6:Q9" si="2">M6/1.12*0.12</f>
        <v>25.649999999999995</v>
      </c>
      <c r="R6" s="17">
        <f t="shared" ref="R6:R9" si="3">M6+P6-Q6</f>
        <v>215.88749999999996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5" customFormat="1" x14ac:dyDescent="0.2">
      <c r="A7" s="2"/>
      <c r="B7" s="3"/>
      <c r="C7" s="4"/>
      <c r="E7" s="6"/>
      <c r="F7" s="7"/>
      <c r="G7" s="8"/>
      <c r="H7" s="9"/>
      <c r="I7" s="10"/>
      <c r="J7" s="11" t="s">
        <v>157</v>
      </c>
      <c r="K7" s="12">
        <v>12</v>
      </c>
      <c r="L7" s="13">
        <v>19.95</v>
      </c>
      <c r="M7" s="14">
        <f t="shared" si="0"/>
        <v>239.39999999999998</v>
      </c>
      <c r="N7" s="15"/>
      <c r="O7" s="16" t="s">
        <v>111</v>
      </c>
      <c r="P7" s="17">
        <f t="shared" si="1"/>
        <v>2.1374999999999997</v>
      </c>
      <c r="Q7" s="18">
        <f t="shared" si="2"/>
        <v>25.649999999999995</v>
      </c>
      <c r="R7" s="17">
        <f t="shared" si="3"/>
        <v>215.88749999999996</v>
      </c>
      <c r="S7" s="19"/>
      <c r="T7" s="19"/>
      <c r="U7" s="19"/>
      <c r="V7" s="19"/>
      <c r="W7" s="17"/>
      <c r="X7" s="20"/>
      <c r="Y7" s="19"/>
      <c r="Z7" s="19"/>
      <c r="AA7" s="19"/>
      <c r="AB7" s="19"/>
      <c r="AC7" s="19"/>
      <c r="AD7" s="19"/>
      <c r="AF7" s="19"/>
      <c r="AH7" s="17"/>
      <c r="AI7" s="19"/>
      <c r="AJ7" s="19"/>
      <c r="AK7" s="19"/>
      <c r="AL7" s="19"/>
      <c r="AM7" s="17"/>
      <c r="AN7" s="19"/>
      <c r="AO7" s="19"/>
      <c r="AP7" s="19"/>
      <c r="AQ7" s="19"/>
      <c r="AR7" s="19"/>
      <c r="AS7" s="21"/>
      <c r="AU7" s="19"/>
      <c r="AW7" s="22"/>
      <c r="AX7" s="19"/>
      <c r="AZ7" s="19"/>
      <c r="BC7" s="19"/>
      <c r="BD7" s="19"/>
      <c r="BE7" s="19"/>
      <c r="BF7" s="19"/>
      <c r="BG7" s="19"/>
      <c r="BH7" s="19"/>
      <c r="BI7" s="19"/>
      <c r="BJ7" s="19"/>
      <c r="BK7" s="13"/>
      <c r="BN7" s="19"/>
      <c r="BO7" s="17"/>
      <c r="BP7" s="19"/>
      <c r="BQ7" s="17"/>
      <c r="BR7" s="19"/>
      <c r="BS7" s="13"/>
      <c r="BU7" s="23"/>
      <c r="BV7" s="23"/>
      <c r="BW7" s="24"/>
      <c r="CA7" s="24"/>
      <c r="CB7" s="24"/>
      <c r="CC7" s="24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25"/>
      <c r="CW7" s="26"/>
    </row>
    <row r="8" spans="1:103" s="5" customFormat="1" x14ac:dyDescent="0.2">
      <c r="A8" s="2"/>
      <c r="B8" s="3"/>
      <c r="C8" s="4"/>
      <c r="E8" s="6"/>
      <c r="F8" s="7"/>
      <c r="G8" s="8"/>
      <c r="H8" s="9"/>
      <c r="I8" s="10"/>
      <c r="J8" s="11" t="s">
        <v>158</v>
      </c>
      <c r="K8" s="12">
        <v>24</v>
      </c>
      <c r="L8" s="13">
        <v>20.5</v>
      </c>
      <c r="M8" s="14">
        <f t="shared" si="0"/>
        <v>492</v>
      </c>
      <c r="N8" s="15"/>
      <c r="O8" s="16" t="s">
        <v>111</v>
      </c>
      <c r="P8" s="17">
        <f t="shared" si="1"/>
        <v>4.3928571428571423</v>
      </c>
      <c r="Q8" s="18">
        <f t="shared" si="2"/>
        <v>52.714285714285701</v>
      </c>
      <c r="R8" s="17">
        <f t="shared" si="3"/>
        <v>443.67857142857144</v>
      </c>
      <c r="S8" s="19"/>
      <c r="T8" s="19"/>
      <c r="U8" s="19"/>
      <c r="V8" s="19"/>
      <c r="W8" s="17"/>
      <c r="X8" s="20"/>
      <c r="Y8" s="19"/>
      <c r="Z8" s="19"/>
      <c r="AA8" s="19"/>
      <c r="AB8" s="19"/>
      <c r="AC8" s="19"/>
      <c r="AD8" s="19"/>
      <c r="AF8" s="19"/>
      <c r="AH8" s="17"/>
      <c r="AI8" s="19"/>
      <c r="AJ8" s="19"/>
      <c r="AK8" s="19"/>
      <c r="AL8" s="19"/>
      <c r="AM8" s="17"/>
      <c r="AN8" s="19"/>
      <c r="AO8" s="19"/>
      <c r="AP8" s="19"/>
      <c r="AQ8" s="19"/>
      <c r="AR8" s="19"/>
      <c r="AS8" s="21"/>
      <c r="AU8" s="19"/>
      <c r="AW8" s="22"/>
      <c r="AX8" s="19"/>
      <c r="AZ8" s="19"/>
      <c r="BC8" s="19"/>
      <c r="BD8" s="19"/>
      <c r="BE8" s="19"/>
      <c r="BF8" s="19"/>
      <c r="BG8" s="19"/>
      <c r="BH8" s="19"/>
      <c r="BI8" s="19"/>
      <c r="BJ8" s="19"/>
      <c r="BK8" s="13"/>
      <c r="BN8" s="19"/>
      <c r="BO8" s="17"/>
      <c r="BP8" s="19"/>
      <c r="BQ8" s="17"/>
      <c r="BR8" s="19"/>
      <c r="BS8" s="13"/>
      <c r="BU8" s="23"/>
      <c r="BV8" s="23"/>
      <c r="BW8" s="24"/>
      <c r="CA8" s="24"/>
      <c r="CB8" s="24"/>
      <c r="CC8" s="24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25"/>
      <c r="CW8" s="26"/>
    </row>
    <row r="9" spans="1:103" s="5" customFormat="1" x14ac:dyDescent="0.2">
      <c r="A9" s="2"/>
      <c r="B9" s="3"/>
      <c r="C9" s="4"/>
      <c r="E9" s="6"/>
      <c r="F9" s="7"/>
      <c r="G9" s="8"/>
      <c r="H9" s="9"/>
      <c r="I9" s="10"/>
      <c r="J9" s="11" t="s">
        <v>159</v>
      </c>
      <c r="K9" s="12">
        <v>10</v>
      </c>
      <c r="L9" s="13">
        <v>159</v>
      </c>
      <c r="M9" s="14">
        <f t="shared" si="0"/>
        <v>1590</v>
      </c>
      <c r="N9" s="15"/>
      <c r="O9" s="16" t="s">
        <v>111</v>
      </c>
      <c r="P9" s="17">
        <f t="shared" si="1"/>
        <v>14.196428571428571</v>
      </c>
      <c r="Q9" s="18">
        <f t="shared" si="2"/>
        <v>170.35714285714283</v>
      </c>
      <c r="R9" s="17">
        <f t="shared" si="3"/>
        <v>1433.8392857142858</v>
      </c>
      <c r="S9" s="19"/>
      <c r="T9" s="19"/>
      <c r="U9" s="19"/>
      <c r="V9" s="19"/>
      <c r="W9" s="17"/>
      <c r="X9" s="20"/>
      <c r="Y9" s="19"/>
      <c r="Z9" s="19"/>
      <c r="AA9" s="19"/>
      <c r="AB9" s="19"/>
      <c r="AC9" s="19"/>
      <c r="AD9" s="19"/>
      <c r="AF9" s="19"/>
      <c r="AH9" s="17"/>
      <c r="AI9" s="19"/>
      <c r="AJ9" s="19"/>
      <c r="AK9" s="19"/>
      <c r="AL9" s="19"/>
      <c r="AM9" s="17"/>
      <c r="AN9" s="19"/>
      <c r="AO9" s="19"/>
      <c r="AP9" s="19"/>
      <c r="AQ9" s="19"/>
      <c r="AR9" s="19"/>
      <c r="AS9" s="21"/>
      <c r="AU9" s="19"/>
      <c r="AW9" s="22"/>
      <c r="AX9" s="19"/>
      <c r="AZ9" s="19"/>
      <c r="BC9" s="19"/>
      <c r="BD9" s="19"/>
      <c r="BE9" s="19"/>
      <c r="BF9" s="19"/>
      <c r="BG9" s="19"/>
      <c r="BH9" s="19"/>
      <c r="BI9" s="19"/>
      <c r="BJ9" s="19"/>
      <c r="BK9" s="13"/>
      <c r="BN9" s="19"/>
      <c r="BO9" s="17"/>
      <c r="BP9" s="19"/>
      <c r="BQ9" s="17"/>
      <c r="BR9" s="19"/>
      <c r="BS9" s="13"/>
      <c r="BU9" s="23"/>
      <c r="BV9" s="23"/>
      <c r="BW9" s="24"/>
      <c r="CA9" s="24"/>
      <c r="CB9" s="24"/>
      <c r="CC9" s="24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25"/>
      <c r="CW9" s="26"/>
    </row>
    <row r="10" spans="1:103" s="30" customFormat="1" ht="11.25" x14ac:dyDescent="0.2">
      <c r="A10" s="27"/>
      <c r="B10" s="28"/>
      <c r="C10" s="29"/>
      <c r="E10" s="31"/>
      <c r="F10" s="32"/>
      <c r="G10" s="33"/>
      <c r="H10" s="34"/>
      <c r="I10" s="34"/>
      <c r="J10" s="35"/>
      <c r="K10" s="36"/>
      <c r="L10" s="37"/>
      <c r="M10" s="38">
        <f>SUM(M5:M9)</f>
        <v>3079.8</v>
      </c>
      <c r="N10" s="38">
        <f>M10</f>
        <v>3079.8</v>
      </c>
      <c r="O10" s="39" t="s">
        <v>111</v>
      </c>
      <c r="P10" s="38">
        <f t="shared" ref="P10:W10" si="4">SUM(P5:P9)</f>
        <v>27.498214285714283</v>
      </c>
      <c r="Q10" s="38">
        <f t="shared" si="4"/>
        <v>329.9785714285714</v>
      </c>
      <c r="R10" s="38">
        <f t="shared" si="4"/>
        <v>2309.2928571428574</v>
      </c>
      <c r="S10" s="38">
        <f t="shared" si="4"/>
        <v>0</v>
      </c>
      <c r="T10" s="38">
        <f t="shared" si="4"/>
        <v>0</v>
      </c>
      <c r="U10" s="38">
        <f t="shared" si="4"/>
        <v>0</v>
      </c>
      <c r="V10" s="38">
        <f t="shared" si="4"/>
        <v>0</v>
      </c>
      <c r="W10" s="38">
        <f t="shared" si="4"/>
        <v>468.02678571428572</v>
      </c>
      <c r="X10" s="38">
        <f t="shared" ref="X10:AD10" si="5">SUM(X5:X5)</f>
        <v>0</v>
      </c>
      <c r="Y10" s="38">
        <f t="shared" si="5"/>
        <v>0</v>
      </c>
      <c r="Z10" s="38">
        <f t="shared" si="5"/>
        <v>0</v>
      </c>
      <c r="AA10" s="38">
        <f t="shared" si="5"/>
        <v>0</v>
      </c>
      <c r="AB10" s="38">
        <f t="shared" si="5"/>
        <v>0</v>
      </c>
      <c r="AC10" s="38">
        <f t="shared" si="5"/>
        <v>0</v>
      </c>
      <c r="AD10" s="38">
        <f t="shared" si="5"/>
        <v>0</v>
      </c>
      <c r="AF10" s="38">
        <f>SUM(AF5:AF5)</f>
        <v>0</v>
      </c>
      <c r="AH10" s="38">
        <f t="shared" ref="AH10:AZ10" si="6">SUM(AH5:AH5)</f>
        <v>0</v>
      </c>
      <c r="AI10" s="38">
        <f t="shared" si="6"/>
        <v>0</v>
      </c>
      <c r="AJ10" s="38">
        <f t="shared" si="6"/>
        <v>0</v>
      </c>
      <c r="AK10" s="38">
        <f t="shared" si="6"/>
        <v>0</v>
      </c>
      <c r="AL10" s="38">
        <f t="shared" si="6"/>
        <v>0</v>
      </c>
      <c r="AM10" s="38">
        <f t="shared" si="6"/>
        <v>0</v>
      </c>
      <c r="AN10" s="38">
        <f t="shared" si="6"/>
        <v>0</v>
      </c>
      <c r="AO10" s="38">
        <f t="shared" si="6"/>
        <v>0</v>
      </c>
      <c r="AP10" s="38">
        <f t="shared" si="6"/>
        <v>0</v>
      </c>
      <c r="AQ10" s="38">
        <f t="shared" si="6"/>
        <v>0</v>
      </c>
      <c r="AR10" s="38">
        <f t="shared" si="6"/>
        <v>0</v>
      </c>
      <c r="AS10" s="38">
        <f t="shared" si="6"/>
        <v>0</v>
      </c>
      <c r="AT10" s="38">
        <f t="shared" si="6"/>
        <v>0</v>
      </c>
      <c r="AU10" s="38">
        <f t="shared" si="6"/>
        <v>0</v>
      </c>
      <c r="AV10" s="38">
        <f t="shared" si="6"/>
        <v>0</v>
      </c>
      <c r="AW10" s="38">
        <f t="shared" si="6"/>
        <v>0</v>
      </c>
      <c r="AX10" s="38">
        <f t="shared" si="6"/>
        <v>0</v>
      </c>
      <c r="AY10" s="38">
        <f t="shared" si="6"/>
        <v>0</v>
      </c>
      <c r="AZ10" s="38">
        <f t="shared" si="6"/>
        <v>0</v>
      </c>
      <c r="BB10" s="38">
        <f t="shared" ref="BB10:CV10" si="7">SUM(BB5:BB5)</f>
        <v>0</v>
      </c>
      <c r="BC10" s="38">
        <f t="shared" si="7"/>
        <v>0</v>
      </c>
      <c r="BD10" s="38">
        <f t="shared" si="7"/>
        <v>0</v>
      </c>
      <c r="BE10" s="38">
        <f t="shared" si="7"/>
        <v>0</v>
      </c>
      <c r="BF10" s="38">
        <f t="shared" si="7"/>
        <v>0</v>
      </c>
      <c r="BG10" s="38">
        <f t="shared" si="7"/>
        <v>0</v>
      </c>
      <c r="BH10" s="38">
        <f t="shared" si="7"/>
        <v>0</v>
      </c>
      <c r="BI10" s="38">
        <f t="shared" si="7"/>
        <v>0</v>
      </c>
      <c r="BJ10" s="38">
        <f t="shared" si="7"/>
        <v>0</v>
      </c>
      <c r="BK10" s="38">
        <f t="shared" si="7"/>
        <v>0</v>
      </c>
      <c r="BL10" s="38">
        <f t="shared" si="7"/>
        <v>0</v>
      </c>
      <c r="BM10" s="38">
        <f t="shared" si="7"/>
        <v>0</v>
      </c>
      <c r="BN10" s="38">
        <f t="shared" si="7"/>
        <v>0</v>
      </c>
      <c r="BO10" s="38">
        <f t="shared" si="7"/>
        <v>0</v>
      </c>
      <c r="BP10" s="38">
        <f t="shared" si="7"/>
        <v>0</v>
      </c>
      <c r="BQ10" s="38">
        <f t="shared" si="7"/>
        <v>0</v>
      </c>
      <c r="BR10" s="38">
        <f t="shared" si="7"/>
        <v>0</v>
      </c>
      <c r="BS10" s="38">
        <f t="shared" si="7"/>
        <v>0</v>
      </c>
      <c r="BT10" s="38">
        <f t="shared" si="7"/>
        <v>0</v>
      </c>
      <c r="BU10" s="38">
        <f t="shared" si="7"/>
        <v>0</v>
      </c>
      <c r="BV10" s="38">
        <f t="shared" si="7"/>
        <v>0</v>
      </c>
      <c r="BW10" s="38">
        <f t="shared" si="7"/>
        <v>0</v>
      </c>
      <c r="BX10" s="38">
        <f t="shared" si="7"/>
        <v>0</v>
      </c>
      <c r="BY10" s="38">
        <f t="shared" si="7"/>
        <v>0</v>
      </c>
      <c r="BZ10" s="38">
        <f t="shared" si="7"/>
        <v>0</v>
      </c>
      <c r="CA10" s="38">
        <f t="shared" si="7"/>
        <v>0</v>
      </c>
      <c r="CB10" s="38">
        <f t="shared" si="7"/>
        <v>0</v>
      </c>
      <c r="CC10" s="38">
        <f t="shared" si="7"/>
        <v>0</v>
      </c>
      <c r="CD10" s="38">
        <f t="shared" si="7"/>
        <v>0</v>
      </c>
      <c r="CE10" s="38">
        <f t="shared" si="7"/>
        <v>0</v>
      </c>
      <c r="CF10" s="38">
        <f t="shared" si="7"/>
        <v>0</v>
      </c>
      <c r="CG10" s="38">
        <f t="shared" si="7"/>
        <v>0</v>
      </c>
      <c r="CH10" s="38">
        <f t="shared" si="7"/>
        <v>0</v>
      </c>
      <c r="CI10" s="38">
        <f t="shared" si="7"/>
        <v>0</v>
      </c>
      <c r="CJ10" s="38">
        <f t="shared" si="7"/>
        <v>0</v>
      </c>
      <c r="CK10" s="38">
        <f t="shared" si="7"/>
        <v>0</v>
      </c>
      <c r="CL10" s="38">
        <f t="shared" si="7"/>
        <v>0</v>
      </c>
      <c r="CM10" s="38">
        <f t="shared" si="7"/>
        <v>0</v>
      </c>
      <c r="CN10" s="38">
        <f t="shared" si="7"/>
        <v>0</v>
      </c>
      <c r="CO10" s="38">
        <f t="shared" si="7"/>
        <v>0</v>
      </c>
      <c r="CP10" s="38">
        <f t="shared" si="7"/>
        <v>0</v>
      </c>
      <c r="CQ10" s="38">
        <f t="shared" si="7"/>
        <v>0</v>
      </c>
      <c r="CR10" s="38">
        <f t="shared" si="7"/>
        <v>0</v>
      </c>
      <c r="CS10" s="38">
        <f t="shared" si="7"/>
        <v>0</v>
      </c>
      <c r="CT10" s="38">
        <f t="shared" si="7"/>
        <v>0</v>
      </c>
      <c r="CU10" s="38">
        <f t="shared" si="7"/>
        <v>0</v>
      </c>
      <c r="CV10" s="38">
        <f t="shared" si="7"/>
        <v>0</v>
      </c>
      <c r="CW10" s="40"/>
    </row>
    <row r="11" spans="1:103" customFormat="1" ht="15" x14ac:dyDescent="0.25"/>
    <row r="12" spans="1:103" customFormat="1" ht="15" x14ac:dyDescent="0.25">
      <c r="A12" s="41" t="str">
        <f>E5</f>
        <v>SAVEMORE MACTAN</v>
      </c>
      <c r="B12" s="42"/>
      <c r="C12" s="43"/>
      <c r="D12" s="44"/>
      <c r="E12" s="44"/>
      <c r="F12" s="45"/>
      <c r="G12" s="46"/>
      <c r="H12" s="47"/>
      <c r="I12" s="48"/>
      <c r="J12" s="49"/>
      <c r="K12" s="50"/>
      <c r="L12" s="51"/>
      <c r="M12" s="52"/>
      <c r="N12" s="53"/>
      <c r="O12" s="54"/>
      <c r="P12" s="55"/>
    </row>
    <row r="13" spans="1:103" customFormat="1" ht="15" x14ac:dyDescent="0.25">
      <c r="A13" s="56"/>
      <c r="B13" s="57"/>
      <c r="C13" s="58"/>
      <c r="D13" s="59" t="s">
        <v>112</v>
      </c>
      <c r="E13" s="59" t="s">
        <v>113</v>
      </c>
      <c r="F13" s="60" t="s">
        <v>114</v>
      </c>
      <c r="G13" s="61"/>
      <c r="H13" s="62"/>
      <c r="I13" s="63"/>
      <c r="J13" s="64"/>
      <c r="K13" s="1"/>
      <c r="L13" s="65"/>
      <c r="M13" s="66"/>
      <c r="N13" s="67"/>
      <c r="O13" s="68"/>
      <c r="P13" s="69"/>
    </row>
    <row r="14" spans="1:103" customFormat="1" ht="13.5" customHeight="1" x14ac:dyDescent="0.25">
      <c r="A14" s="70" t="s">
        <v>151</v>
      </c>
      <c r="B14" s="71"/>
      <c r="C14" s="72"/>
      <c r="D14" s="73">
        <f>R10</f>
        <v>2309.2928571428574</v>
      </c>
      <c r="E14" s="74"/>
      <c r="F14" s="75" t="str">
        <f>"In payment for powedered juice and 10 packs of beef tapa for storeroom using housefund received on " &amp; TEXT(A5, "mmmm dd, yyyy") &amp; " with SI#36-00236179 PR#30517,30098 RR#" &amp; " CPO#" &amp;B5</f>
        <v>In payment for powedered juice and 10 packs of beef tapa for storeroom using housefund received on August 09, 2025 with SI#36-00236179 PR#30517,30098 RR# CPO#18962</v>
      </c>
      <c r="G14" s="76"/>
      <c r="H14" s="77"/>
      <c r="I14" s="77"/>
      <c r="J14" s="76"/>
      <c r="K14" s="1"/>
      <c r="L14" s="65"/>
      <c r="M14" s="78"/>
      <c r="N14" s="79"/>
      <c r="O14" s="80"/>
      <c r="P14" s="81"/>
    </row>
    <row r="15" spans="1:103" customFormat="1" ht="13.5" customHeight="1" x14ac:dyDescent="0.25">
      <c r="A15" s="70" t="s">
        <v>160</v>
      </c>
      <c r="B15" s="71"/>
      <c r="C15" s="72"/>
      <c r="D15" s="73">
        <f>W10</f>
        <v>468.02678571428572</v>
      </c>
      <c r="E15" s="74"/>
      <c r="F15" s="75" t="s">
        <v>161</v>
      </c>
      <c r="G15" s="76"/>
      <c r="H15" s="77"/>
      <c r="I15" s="77"/>
      <c r="J15" s="76"/>
      <c r="K15" s="1"/>
      <c r="L15" s="65"/>
      <c r="M15" s="78"/>
      <c r="N15" s="79"/>
      <c r="O15" s="80"/>
      <c r="P15" s="81"/>
    </row>
    <row r="16" spans="1:103" customFormat="1" ht="15" x14ac:dyDescent="0.25">
      <c r="A16" s="70" t="s">
        <v>115</v>
      </c>
      <c r="B16" s="71"/>
      <c r="C16" s="72"/>
      <c r="D16" s="73">
        <f>Q10</f>
        <v>329.9785714285714</v>
      </c>
      <c r="E16" s="74"/>
      <c r="F16" s="64" t="str">
        <f>"Recording input VAT for expenses and purchases made using house fund for " &amp; TEXT(A5, "mmmm dd, yyyy")</f>
        <v>Recording input VAT for expenses and purchases made using house fund for August 09, 2025</v>
      </c>
      <c r="G16" s="82"/>
      <c r="H16" s="83"/>
      <c r="I16" s="84"/>
      <c r="J16" s="82"/>
      <c r="K16" s="1"/>
      <c r="L16" s="65"/>
      <c r="M16" s="66"/>
      <c r="N16" s="67"/>
      <c r="O16" s="68"/>
      <c r="P16" s="69"/>
    </row>
    <row r="17" spans="1:16" customFormat="1" ht="15" x14ac:dyDescent="0.25">
      <c r="A17" s="85" t="s">
        <v>116</v>
      </c>
      <c r="B17" s="86"/>
      <c r="C17" s="87"/>
      <c r="D17" s="88"/>
      <c r="E17" s="74">
        <f>P10</f>
        <v>27.498214285714283</v>
      </c>
      <c r="F17" s="89" t="str">
        <f>"Recording the tax withheld for expenses and purchases using the house fund received on " &amp; TEXT(A5, "mmmm dd, yyyy")</f>
        <v>Recording the tax withheld for expenses and purchases using the house fund received on August 09, 2025</v>
      </c>
      <c r="G17" s="82"/>
      <c r="H17" s="83"/>
      <c r="I17" s="84"/>
      <c r="J17" s="82"/>
      <c r="K17" s="1"/>
      <c r="L17" s="65"/>
      <c r="M17" s="66"/>
      <c r="N17" s="67"/>
      <c r="O17" s="68"/>
      <c r="P17" s="69"/>
    </row>
    <row r="18" spans="1:16" customFormat="1" ht="15" x14ac:dyDescent="0.25">
      <c r="A18" s="70" t="s">
        <v>117</v>
      </c>
      <c r="B18" s="86"/>
      <c r="C18" s="87"/>
      <c r="D18" s="90"/>
      <c r="E18" s="91">
        <f>M10</f>
        <v>3079.8</v>
      </c>
      <c r="F18" s="89" t="str">
        <f>"Recording house fund expenses for replenishment on " &amp; TEXT(A5, "mmmm dd, yyyy")</f>
        <v>Recording house fund expenses for replenishment on August 09, 2025</v>
      </c>
      <c r="G18" s="82"/>
      <c r="H18" s="83"/>
      <c r="I18" s="84"/>
      <c r="J18" s="82"/>
      <c r="K18" s="1"/>
      <c r="L18" s="65"/>
      <c r="M18" s="66"/>
      <c r="N18" s="67"/>
      <c r="O18" s="68"/>
      <c r="P18" s="69"/>
    </row>
    <row r="19" spans="1:16" customFormat="1" ht="15" x14ac:dyDescent="0.25">
      <c r="A19" s="85"/>
      <c r="B19" s="86"/>
      <c r="C19" s="87"/>
      <c r="D19" s="88">
        <f>SUM(D14:D16)</f>
        <v>3107.2982142857145</v>
      </c>
      <c r="E19" s="88">
        <f>SUM(E14:E18)</f>
        <v>3107.2982142857145</v>
      </c>
      <c r="F19" s="92"/>
      <c r="G19" s="92"/>
      <c r="H19" s="93"/>
      <c r="I19" s="94"/>
      <c r="J19" s="92"/>
      <c r="K19" s="1"/>
      <c r="L19" s="65"/>
      <c r="M19" s="66"/>
      <c r="N19" s="67"/>
      <c r="O19" s="68"/>
      <c r="P19" s="69"/>
    </row>
    <row r="20" spans="1:16" customFormat="1" ht="15" x14ac:dyDescent="0.25">
      <c r="A20" s="95" t="s">
        <v>118</v>
      </c>
      <c r="B20" s="96" t="str">
        <f>"To record house fund expenses on " &amp; TEXT(A5, "mmmm dd, yyyy") &amp; " with PCV#" &amp; C5</f>
        <v>To record house fund expenses on August 09, 2025 with PCV#20866</v>
      </c>
      <c r="C20" s="97"/>
      <c r="D20" s="98"/>
      <c r="E20" s="98"/>
      <c r="F20" s="98"/>
      <c r="G20" s="92"/>
      <c r="H20" s="93"/>
      <c r="I20" s="94"/>
      <c r="J20" s="92"/>
      <c r="K20" s="1"/>
      <c r="L20" s="65"/>
      <c r="M20" s="66"/>
      <c r="N20" s="67"/>
      <c r="O20" s="68"/>
      <c r="P20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6B147-ACC2-40FC-8E96-1448315A50E9}">
  <sheetPr>
    <tabColor rgb="FFFFC0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45878</v>
      </c>
      <c r="B5" s="3" t="s">
        <v>146</v>
      </c>
      <c r="C5" s="4" t="s">
        <v>494</v>
      </c>
      <c r="D5" s="5" t="s">
        <v>122</v>
      </c>
      <c r="E5" s="6" t="s">
        <v>147</v>
      </c>
      <c r="F5" s="7" t="s">
        <v>148</v>
      </c>
      <c r="G5" s="8" t="s">
        <v>149</v>
      </c>
      <c r="H5" s="9">
        <v>240877</v>
      </c>
      <c r="I5" s="10" t="s">
        <v>399</v>
      </c>
      <c r="J5" s="11" t="s">
        <v>150</v>
      </c>
      <c r="K5" s="12">
        <v>3</v>
      </c>
      <c r="L5" s="13">
        <v>184.4</v>
      </c>
      <c r="M5" s="14">
        <f t="shared" ref="M5" si="0">L5*K5</f>
        <v>553.20000000000005</v>
      </c>
      <c r="N5" s="15"/>
      <c r="O5" s="16" t="s">
        <v>111</v>
      </c>
      <c r="P5" s="17">
        <f>M5/1.12*0.01</f>
        <v>4.9392857142857149</v>
      </c>
      <c r="Q5" s="18">
        <f>M5/1.12*0.12</f>
        <v>59.271428571428572</v>
      </c>
      <c r="R5" s="17">
        <f>M5+P5-Q5</f>
        <v>498.86785714285713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553.20000000000005</v>
      </c>
      <c r="N6" s="38">
        <f>M6</f>
        <v>553.20000000000005</v>
      </c>
      <c r="O6" s="39" t="s">
        <v>111</v>
      </c>
      <c r="P6" s="38">
        <f>SUM(P5:P5)</f>
        <v>4.9392857142857149</v>
      </c>
      <c r="Q6" s="38">
        <f>SUM(Q5:Q5)</f>
        <v>59.271428571428572</v>
      </c>
      <c r="R6" s="38">
        <f>SUM(R5:R5)</f>
        <v>498.86785714285713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METRO GAISANO - LG GARDEN MACTAN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498.86785714285713</v>
      </c>
      <c r="E10" s="74"/>
      <c r="F10" s="75" t="str">
        <f>"In payment for 3 packs of 1kg golden mango puree for storeroom using housefund received on " &amp; TEXT(A5, "mmmm dd, yyyy") &amp; " with SI#240877 PR#30517 RR#" &amp; " CPO#" &amp;B5</f>
        <v>In payment for 3 packs of 1kg golden mango puree for storeroom using housefund received on August 09, 2025 with SI#240877 PR#30517 RR# CPO#18962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59.271428571428572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09,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4.9392857142857149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09,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553.20000000000005</v>
      </c>
      <c r="F13" s="89" t="str">
        <f>"Recording house fund expenses for replenishment on " &amp; TEXT(A5, "mmmm dd, yyyy")</f>
        <v>Recording house fund expenses for replenishment on August 09,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558.13928571428573</v>
      </c>
      <c r="E14" s="88">
        <f>SUM(E10:E13)</f>
        <v>558.13928571428573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09, 2025 with PCV#20867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12B38-F3AD-499F-85E5-32492B1F58CD}">
  <sheetPr>
    <tabColor rgb="FFFFC000"/>
  </sheetPr>
  <dimension ref="A1:CY24"/>
  <sheetViews>
    <sheetView topLeftCell="A4" workbookViewId="0">
      <selection activeCell="A5" sqref="A5:XFD15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ht="12" x14ac:dyDescent="0.2">
      <c r="A5" s="2">
        <v>45877</v>
      </c>
      <c r="B5" s="3" t="s">
        <v>146</v>
      </c>
      <c r="C5" s="4" t="s">
        <v>495</v>
      </c>
      <c r="D5" s="5" t="s">
        <v>122</v>
      </c>
      <c r="E5" s="156" t="s">
        <v>162</v>
      </c>
      <c r="F5" s="156" t="s">
        <v>163</v>
      </c>
      <c r="G5" s="156" t="s">
        <v>164</v>
      </c>
      <c r="H5" s="156">
        <v>92474</v>
      </c>
      <c r="I5" s="10" t="s">
        <v>400</v>
      </c>
      <c r="J5" s="11" t="s">
        <v>165</v>
      </c>
      <c r="K5" s="12">
        <v>3</v>
      </c>
      <c r="L5" s="13">
        <v>202</v>
      </c>
      <c r="M5" s="14">
        <f t="shared" ref="M5:M14" si="0">L5*K5</f>
        <v>606</v>
      </c>
      <c r="N5" s="15"/>
      <c r="O5" s="16" t="s">
        <v>111</v>
      </c>
      <c r="P5" s="17">
        <f>M5/1.12*0.01</f>
        <v>5.4107142857142856</v>
      </c>
      <c r="Q5" s="18">
        <f>M5/1.12*0.12</f>
        <v>64.928571428571431</v>
      </c>
      <c r="R5" s="17">
        <f>M5+P5-Q5</f>
        <v>546.48214285714289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166</v>
      </c>
      <c r="K6" s="12">
        <v>3</v>
      </c>
      <c r="L6" s="13">
        <v>373</v>
      </c>
      <c r="M6" s="14">
        <f t="shared" si="0"/>
        <v>1119</v>
      </c>
      <c r="N6" s="15"/>
      <c r="O6" s="16" t="s">
        <v>111</v>
      </c>
      <c r="P6" s="17">
        <f t="shared" ref="P6:P14" si="1">M6/1.12*0.01</f>
        <v>9.9910714285714288</v>
      </c>
      <c r="Q6" s="18">
        <f t="shared" ref="Q6:Q14" si="2">M6/1.12*0.12</f>
        <v>119.89285714285712</v>
      </c>
      <c r="R6" s="17">
        <f t="shared" ref="R6:R14" si="3">M6+P6-Q6</f>
        <v>1009.0982142857142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5" customFormat="1" x14ac:dyDescent="0.2">
      <c r="A7" s="2"/>
      <c r="B7" s="3"/>
      <c r="C7" s="4"/>
      <c r="E7" s="6"/>
      <c r="F7" s="7"/>
      <c r="G7" s="8"/>
      <c r="H7" s="9"/>
      <c r="I7" s="10"/>
      <c r="J7" s="11" t="s">
        <v>167</v>
      </c>
      <c r="K7" s="12">
        <v>5</v>
      </c>
      <c r="L7" s="13">
        <v>86</v>
      </c>
      <c r="M7" s="14">
        <f t="shared" si="0"/>
        <v>430</v>
      </c>
      <c r="N7" s="15"/>
      <c r="O7" s="16" t="s">
        <v>111</v>
      </c>
      <c r="P7" s="17">
        <f t="shared" si="1"/>
        <v>3.839285714285714</v>
      </c>
      <c r="Q7" s="18">
        <f t="shared" si="2"/>
        <v>46.071428571428562</v>
      </c>
      <c r="R7" s="17">
        <f t="shared" si="3"/>
        <v>387.76785714285717</v>
      </c>
      <c r="S7" s="19"/>
      <c r="T7" s="19"/>
      <c r="U7" s="19"/>
      <c r="V7" s="19"/>
      <c r="W7" s="17"/>
      <c r="X7" s="20"/>
      <c r="Y7" s="19"/>
      <c r="Z7" s="19"/>
      <c r="AA7" s="19"/>
      <c r="AB7" s="19"/>
      <c r="AC7" s="19"/>
      <c r="AD7" s="19"/>
      <c r="AF7" s="19"/>
      <c r="AH7" s="17"/>
      <c r="AI7" s="19"/>
      <c r="AJ7" s="19"/>
      <c r="AK7" s="19"/>
      <c r="AL7" s="19"/>
      <c r="AM7" s="17"/>
      <c r="AN7" s="19"/>
      <c r="AO7" s="19"/>
      <c r="AP7" s="19"/>
      <c r="AQ7" s="19"/>
      <c r="AR7" s="19"/>
      <c r="AS7" s="21"/>
      <c r="AU7" s="19"/>
      <c r="AW7" s="22"/>
      <c r="AX7" s="19"/>
      <c r="AZ7" s="19"/>
      <c r="BC7" s="19"/>
      <c r="BD7" s="19"/>
      <c r="BE7" s="19"/>
      <c r="BF7" s="19"/>
      <c r="BG7" s="19"/>
      <c r="BH7" s="19"/>
      <c r="BI7" s="19"/>
      <c r="BJ7" s="19"/>
      <c r="BK7" s="13"/>
      <c r="BN7" s="19"/>
      <c r="BO7" s="17"/>
      <c r="BP7" s="19"/>
      <c r="BQ7" s="17"/>
      <c r="BR7" s="19"/>
      <c r="BS7" s="13"/>
      <c r="BU7" s="23"/>
      <c r="BV7" s="23"/>
      <c r="BW7" s="24"/>
      <c r="CA7" s="24"/>
      <c r="CB7" s="24"/>
      <c r="CC7" s="24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25"/>
      <c r="CW7" s="26"/>
    </row>
    <row r="8" spans="1:103" s="5" customFormat="1" x14ac:dyDescent="0.2">
      <c r="A8" s="2"/>
      <c r="B8" s="3"/>
      <c r="C8" s="4"/>
      <c r="E8" s="6"/>
      <c r="F8" s="7"/>
      <c r="G8" s="8"/>
      <c r="H8" s="9"/>
      <c r="I8" s="10"/>
      <c r="J8" s="11" t="s">
        <v>168</v>
      </c>
      <c r="K8" s="12">
        <v>24</v>
      </c>
      <c r="L8" s="13">
        <v>19.25</v>
      </c>
      <c r="M8" s="14">
        <f t="shared" si="0"/>
        <v>462</v>
      </c>
      <c r="N8" s="15"/>
      <c r="O8" s="16" t="s">
        <v>111</v>
      </c>
      <c r="P8" s="17">
        <f t="shared" si="1"/>
        <v>4.1249999999999991</v>
      </c>
      <c r="Q8" s="18">
        <f t="shared" si="2"/>
        <v>49.499999999999993</v>
      </c>
      <c r="R8" s="17">
        <f t="shared" si="3"/>
        <v>416.625</v>
      </c>
      <c r="S8" s="19"/>
      <c r="T8" s="19"/>
      <c r="U8" s="19"/>
      <c r="V8" s="19"/>
      <c r="W8" s="17"/>
      <c r="X8" s="20"/>
      <c r="Y8" s="19"/>
      <c r="Z8" s="19"/>
      <c r="AA8" s="19"/>
      <c r="AB8" s="19"/>
      <c r="AC8" s="19"/>
      <c r="AD8" s="19"/>
      <c r="AF8" s="19"/>
      <c r="AH8" s="17"/>
      <c r="AI8" s="19"/>
      <c r="AJ8" s="19"/>
      <c r="AK8" s="19"/>
      <c r="AL8" s="19"/>
      <c r="AM8" s="17"/>
      <c r="AN8" s="19"/>
      <c r="AO8" s="19"/>
      <c r="AP8" s="19"/>
      <c r="AQ8" s="19"/>
      <c r="AR8" s="19"/>
      <c r="AS8" s="21"/>
      <c r="AU8" s="19"/>
      <c r="AW8" s="22"/>
      <c r="AX8" s="19"/>
      <c r="AZ8" s="19"/>
      <c r="BC8" s="19"/>
      <c r="BD8" s="19"/>
      <c r="BE8" s="19"/>
      <c r="BF8" s="19"/>
      <c r="BG8" s="19"/>
      <c r="BH8" s="19"/>
      <c r="BI8" s="19"/>
      <c r="BJ8" s="19"/>
      <c r="BK8" s="13"/>
      <c r="BN8" s="19"/>
      <c r="BO8" s="17"/>
      <c r="BP8" s="19"/>
      <c r="BQ8" s="17"/>
      <c r="BR8" s="19"/>
      <c r="BS8" s="13"/>
      <c r="BU8" s="23"/>
      <c r="BV8" s="23"/>
      <c r="BW8" s="24"/>
      <c r="CA8" s="24"/>
      <c r="CB8" s="24"/>
      <c r="CC8" s="24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25"/>
      <c r="CW8" s="26"/>
    </row>
    <row r="9" spans="1:103" s="5" customFormat="1" x14ac:dyDescent="0.2">
      <c r="A9" s="2"/>
      <c r="B9" s="3"/>
      <c r="C9" s="4"/>
      <c r="E9" s="6"/>
      <c r="F9" s="7"/>
      <c r="G9" s="8"/>
      <c r="H9" s="9"/>
      <c r="I9" s="10"/>
      <c r="J9" s="11" t="s">
        <v>169</v>
      </c>
      <c r="K9" s="12">
        <v>7</v>
      </c>
      <c r="L9" s="13">
        <v>195</v>
      </c>
      <c r="M9" s="14">
        <f t="shared" si="0"/>
        <v>1365</v>
      </c>
      <c r="N9" s="15"/>
      <c r="O9" s="16" t="s">
        <v>111</v>
      </c>
      <c r="P9" s="17">
        <f t="shared" si="1"/>
        <v>12.187499999999998</v>
      </c>
      <c r="Q9" s="18">
        <f t="shared" si="2"/>
        <v>146.24999999999997</v>
      </c>
      <c r="R9" s="17">
        <f t="shared" si="3"/>
        <v>1230.9375</v>
      </c>
      <c r="S9" s="19"/>
      <c r="T9" s="19"/>
      <c r="U9" s="19"/>
      <c r="V9" s="19"/>
      <c r="W9" s="17"/>
      <c r="X9" s="20"/>
      <c r="Y9" s="19"/>
      <c r="Z9" s="19"/>
      <c r="AA9" s="19"/>
      <c r="AB9" s="19"/>
      <c r="AC9" s="19"/>
      <c r="AD9" s="19"/>
      <c r="AF9" s="19"/>
      <c r="AH9" s="17"/>
      <c r="AI9" s="19"/>
      <c r="AJ9" s="19"/>
      <c r="AK9" s="19"/>
      <c r="AL9" s="19"/>
      <c r="AM9" s="17"/>
      <c r="AN9" s="19"/>
      <c r="AO9" s="19"/>
      <c r="AP9" s="19"/>
      <c r="AQ9" s="19"/>
      <c r="AR9" s="19"/>
      <c r="AS9" s="21"/>
      <c r="AU9" s="19"/>
      <c r="AW9" s="22"/>
      <c r="AX9" s="19"/>
      <c r="AZ9" s="19"/>
      <c r="BC9" s="19"/>
      <c r="BD9" s="19"/>
      <c r="BE9" s="19"/>
      <c r="BF9" s="19"/>
      <c r="BG9" s="19"/>
      <c r="BH9" s="19"/>
      <c r="BI9" s="19"/>
      <c r="BJ9" s="19"/>
      <c r="BK9" s="13"/>
      <c r="BN9" s="19"/>
      <c r="BO9" s="17"/>
      <c r="BP9" s="19"/>
      <c r="BQ9" s="17"/>
      <c r="BR9" s="19"/>
      <c r="BS9" s="13"/>
      <c r="BU9" s="23"/>
      <c r="BV9" s="23"/>
      <c r="BW9" s="24"/>
      <c r="CA9" s="24"/>
      <c r="CB9" s="24"/>
      <c r="CC9" s="24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25"/>
      <c r="CW9" s="26"/>
    </row>
    <row r="10" spans="1:103" s="5" customFormat="1" x14ac:dyDescent="0.2">
      <c r="A10" s="2"/>
      <c r="B10" s="3"/>
      <c r="C10" s="4"/>
      <c r="E10" s="6"/>
      <c r="F10" s="7"/>
      <c r="G10" s="8"/>
      <c r="H10" s="9"/>
      <c r="I10" s="10"/>
      <c r="J10" s="11" t="s">
        <v>170</v>
      </c>
      <c r="K10" s="12">
        <v>1</v>
      </c>
      <c r="L10" s="13">
        <v>103.05</v>
      </c>
      <c r="M10" s="14">
        <f t="shared" si="0"/>
        <v>103.05</v>
      </c>
      <c r="N10" s="15"/>
      <c r="O10" s="16" t="s">
        <v>111</v>
      </c>
      <c r="P10" s="17">
        <f t="shared" si="1"/>
        <v>0.92008928571428561</v>
      </c>
      <c r="Q10" s="18">
        <f t="shared" si="2"/>
        <v>11.041071428571426</v>
      </c>
      <c r="R10" s="17">
        <f t="shared" si="3"/>
        <v>92.929017857142853</v>
      </c>
      <c r="S10" s="19"/>
      <c r="T10" s="19"/>
      <c r="U10" s="19"/>
      <c r="V10" s="19"/>
      <c r="W10" s="17"/>
      <c r="X10" s="20"/>
      <c r="Y10" s="19"/>
      <c r="Z10" s="19"/>
      <c r="AA10" s="19"/>
      <c r="AB10" s="19"/>
      <c r="AC10" s="19"/>
      <c r="AD10" s="19"/>
      <c r="AF10" s="19"/>
      <c r="AH10" s="17"/>
      <c r="AI10" s="19"/>
      <c r="AJ10" s="19"/>
      <c r="AK10" s="19"/>
      <c r="AL10" s="19"/>
      <c r="AM10" s="17"/>
      <c r="AN10" s="19"/>
      <c r="AO10" s="19"/>
      <c r="AP10" s="19"/>
      <c r="AQ10" s="19"/>
      <c r="AR10" s="19"/>
      <c r="AS10" s="21"/>
      <c r="AU10" s="19"/>
      <c r="AW10" s="22"/>
      <c r="AX10" s="19"/>
      <c r="AZ10" s="19"/>
      <c r="BC10" s="19"/>
      <c r="BD10" s="19"/>
      <c r="BE10" s="19"/>
      <c r="BF10" s="19"/>
      <c r="BG10" s="19"/>
      <c r="BH10" s="19"/>
      <c r="BI10" s="19"/>
      <c r="BJ10" s="19"/>
      <c r="BK10" s="13"/>
      <c r="BN10" s="19"/>
      <c r="BO10" s="17"/>
      <c r="BP10" s="19"/>
      <c r="BQ10" s="17"/>
      <c r="BR10" s="19"/>
      <c r="BS10" s="13"/>
      <c r="BU10" s="23"/>
      <c r="BV10" s="23"/>
      <c r="BW10" s="24"/>
      <c r="CA10" s="24"/>
      <c r="CB10" s="24"/>
      <c r="CC10" s="24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25"/>
      <c r="CW10" s="26"/>
    </row>
    <row r="11" spans="1:103" s="5" customFormat="1" x14ac:dyDescent="0.2">
      <c r="A11" s="2"/>
      <c r="B11" s="3"/>
      <c r="C11" s="4"/>
      <c r="E11" s="6"/>
      <c r="F11" s="7"/>
      <c r="G11" s="8"/>
      <c r="H11" s="9"/>
      <c r="I11" s="10"/>
      <c r="J11" s="11" t="s">
        <v>171</v>
      </c>
      <c r="K11" s="12">
        <v>10</v>
      </c>
      <c r="L11" s="13">
        <v>100.5</v>
      </c>
      <c r="M11" s="14">
        <f t="shared" si="0"/>
        <v>1005</v>
      </c>
      <c r="N11" s="15"/>
      <c r="O11" s="16" t="s">
        <v>111</v>
      </c>
      <c r="P11" s="17">
        <f t="shared" si="1"/>
        <v>8.9732142857142847</v>
      </c>
      <c r="Q11" s="18">
        <f t="shared" si="2"/>
        <v>107.6785714285714</v>
      </c>
      <c r="R11" s="17">
        <f t="shared" si="3"/>
        <v>906.29464285714289</v>
      </c>
      <c r="S11" s="19"/>
      <c r="T11" s="19"/>
      <c r="U11" s="19"/>
      <c r="V11" s="19"/>
      <c r="W11" s="17"/>
      <c r="X11" s="20"/>
      <c r="Y11" s="19"/>
      <c r="Z11" s="19"/>
      <c r="AA11" s="19"/>
      <c r="AB11" s="19"/>
      <c r="AC11" s="19"/>
      <c r="AD11" s="19"/>
      <c r="AF11" s="19"/>
      <c r="AH11" s="17"/>
      <c r="AI11" s="19"/>
      <c r="AJ11" s="19"/>
      <c r="AK11" s="19"/>
      <c r="AL11" s="19"/>
      <c r="AM11" s="17"/>
      <c r="AN11" s="19"/>
      <c r="AO11" s="19"/>
      <c r="AP11" s="19"/>
      <c r="AQ11" s="19"/>
      <c r="AR11" s="19"/>
      <c r="AS11" s="21"/>
      <c r="AU11" s="19"/>
      <c r="AW11" s="22"/>
      <c r="AX11" s="19"/>
      <c r="AZ11" s="19"/>
      <c r="BC11" s="19"/>
      <c r="BD11" s="19"/>
      <c r="BE11" s="19"/>
      <c r="BF11" s="19"/>
      <c r="BG11" s="19"/>
      <c r="BH11" s="19"/>
      <c r="BI11" s="19"/>
      <c r="BJ11" s="19"/>
      <c r="BK11" s="13"/>
      <c r="BN11" s="19"/>
      <c r="BO11" s="17"/>
      <c r="BP11" s="19"/>
      <c r="BQ11" s="17"/>
      <c r="BR11" s="19"/>
      <c r="BS11" s="13"/>
      <c r="BU11" s="23"/>
      <c r="BV11" s="23"/>
      <c r="BW11" s="24"/>
      <c r="CA11" s="24"/>
      <c r="CB11" s="24"/>
      <c r="CC11" s="24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25"/>
      <c r="CW11" s="26"/>
    </row>
    <row r="12" spans="1:103" s="5" customFormat="1" x14ac:dyDescent="0.2">
      <c r="A12" s="2"/>
      <c r="B12" s="3"/>
      <c r="C12" s="4"/>
      <c r="E12" s="6"/>
      <c r="F12" s="7"/>
      <c r="G12" s="8"/>
      <c r="H12" s="9"/>
      <c r="I12" s="10"/>
      <c r="J12" s="11" t="s">
        <v>172</v>
      </c>
      <c r="K12" s="12">
        <v>10</v>
      </c>
      <c r="L12" s="13">
        <v>175.05</v>
      </c>
      <c r="M12" s="14">
        <f t="shared" si="0"/>
        <v>1750.5</v>
      </c>
      <c r="N12" s="15"/>
      <c r="O12" s="16" t="s">
        <v>111</v>
      </c>
      <c r="P12" s="17">
        <f t="shared" si="1"/>
        <v>15.629464285714285</v>
      </c>
      <c r="Q12" s="18">
        <f t="shared" si="2"/>
        <v>187.55357142857142</v>
      </c>
      <c r="R12" s="17">
        <f t="shared" si="3"/>
        <v>1578.5758928571429</v>
      </c>
      <c r="S12" s="19"/>
      <c r="T12" s="19"/>
      <c r="U12" s="19"/>
      <c r="V12" s="19"/>
      <c r="W12" s="17"/>
      <c r="X12" s="20"/>
      <c r="Y12" s="19"/>
      <c r="Z12" s="19"/>
      <c r="AA12" s="19"/>
      <c r="AB12" s="19"/>
      <c r="AC12" s="19"/>
      <c r="AD12" s="19"/>
      <c r="AF12" s="19"/>
      <c r="AH12" s="17"/>
      <c r="AI12" s="19"/>
      <c r="AJ12" s="19"/>
      <c r="AK12" s="19"/>
      <c r="AL12" s="19"/>
      <c r="AM12" s="17"/>
      <c r="AN12" s="19"/>
      <c r="AO12" s="19"/>
      <c r="AP12" s="19"/>
      <c r="AQ12" s="19"/>
      <c r="AR12" s="19"/>
      <c r="AS12" s="21"/>
      <c r="AU12" s="19"/>
      <c r="AW12" s="22"/>
      <c r="AX12" s="19"/>
      <c r="AZ12" s="19"/>
      <c r="BC12" s="19"/>
      <c r="BD12" s="19"/>
      <c r="BE12" s="19"/>
      <c r="BF12" s="19"/>
      <c r="BG12" s="19"/>
      <c r="BH12" s="19"/>
      <c r="BI12" s="19"/>
      <c r="BJ12" s="19"/>
      <c r="BK12" s="13"/>
      <c r="BN12" s="19"/>
      <c r="BO12" s="17"/>
      <c r="BP12" s="19"/>
      <c r="BQ12" s="17"/>
      <c r="BR12" s="19"/>
      <c r="BS12" s="13"/>
      <c r="BU12" s="23"/>
      <c r="BV12" s="23"/>
      <c r="BW12" s="24"/>
      <c r="CA12" s="24"/>
      <c r="CB12" s="24"/>
      <c r="CC12" s="24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25"/>
      <c r="CW12" s="26"/>
    </row>
    <row r="13" spans="1:103" s="5" customFormat="1" x14ac:dyDescent="0.2">
      <c r="A13" s="2"/>
      <c r="B13" s="3"/>
      <c r="C13" s="4"/>
      <c r="E13" s="6"/>
      <c r="F13" s="7"/>
      <c r="G13" s="8"/>
      <c r="H13" s="9"/>
      <c r="I13" s="10"/>
      <c r="J13" s="11" t="s">
        <v>173</v>
      </c>
      <c r="K13" s="12">
        <v>24</v>
      </c>
      <c r="L13" s="13">
        <v>19.25</v>
      </c>
      <c r="M13" s="14">
        <f t="shared" si="0"/>
        <v>462</v>
      </c>
      <c r="N13" s="15"/>
      <c r="O13" s="16" t="s">
        <v>111</v>
      </c>
      <c r="P13" s="17">
        <f t="shared" si="1"/>
        <v>4.1249999999999991</v>
      </c>
      <c r="Q13" s="18">
        <f t="shared" si="2"/>
        <v>49.499999999999993</v>
      </c>
      <c r="R13" s="17">
        <f t="shared" si="3"/>
        <v>416.625</v>
      </c>
      <c r="S13" s="19"/>
      <c r="T13" s="19"/>
      <c r="U13" s="19"/>
      <c r="V13" s="19"/>
      <c r="W13" s="17"/>
      <c r="X13" s="20"/>
      <c r="Y13" s="19"/>
      <c r="Z13" s="19"/>
      <c r="AA13" s="19"/>
      <c r="AB13" s="19"/>
      <c r="AC13" s="19"/>
      <c r="AD13" s="19"/>
      <c r="AF13" s="19"/>
      <c r="AH13" s="17"/>
      <c r="AI13" s="19"/>
      <c r="AJ13" s="19"/>
      <c r="AK13" s="19"/>
      <c r="AL13" s="19"/>
      <c r="AM13" s="17"/>
      <c r="AN13" s="19"/>
      <c r="AO13" s="19"/>
      <c r="AP13" s="19"/>
      <c r="AQ13" s="19"/>
      <c r="AR13" s="19"/>
      <c r="AS13" s="21"/>
      <c r="AU13" s="19"/>
      <c r="AW13" s="22"/>
      <c r="AX13" s="19"/>
      <c r="AZ13" s="19"/>
      <c r="BC13" s="19"/>
      <c r="BD13" s="19"/>
      <c r="BE13" s="19"/>
      <c r="BF13" s="19"/>
      <c r="BG13" s="19"/>
      <c r="BH13" s="19"/>
      <c r="BI13" s="19"/>
      <c r="BJ13" s="19"/>
      <c r="BK13" s="13"/>
      <c r="BN13" s="19"/>
      <c r="BO13" s="17"/>
      <c r="BP13" s="19"/>
      <c r="BQ13" s="17"/>
      <c r="BR13" s="19"/>
      <c r="BS13" s="13"/>
      <c r="BU13" s="23"/>
      <c r="BV13" s="23"/>
      <c r="BW13" s="24"/>
      <c r="CA13" s="24"/>
      <c r="CB13" s="24"/>
      <c r="CC13" s="24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25"/>
      <c r="CW13" s="26"/>
    </row>
    <row r="14" spans="1:103" s="5" customFormat="1" x14ac:dyDescent="0.2">
      <c r="A14" s="2"/>
      <c r="B14" s="3"/>
      <c r="C14" s="4"/>
      <c r="E14" s="6"/>
      <c r="F14" s="7"/>
      <c r="G14" s="8"/>
      <c r="H14" s="9"/>
      <c r="I14" s="10"/>
      <c r="J14" s="11" t="s">
        <v>174</v>
      </c>
      <c r="K14" s="12">
        <v>24</v>
      </c>
      <c r="L14" s="13">
        <v>19.25</v>
      </c>
      <c r="M14" s="14">
        <f t="shared" si="0"/>
        <v>462</v>
      </c>
      <c r="N14" s="15"/>
      <c r="O14" s="16" t="s">
        <v>111</v>
      </c>
      <c r="P14" s="17">
        <f t="shared" si="1"/>
        <v>4.1249999999999991</v>
      </c>
      <c r="Q14" s="18">
        <f t="shared" si="2"/>
        <v>49.499999999999993</v>
      </c>
      <c r="R14" s="17">
        <f t="shared" si="3"/>
        <v>416.625</v>
      </c>
      <c r="S14" s="19"/>
      <c r="T14" s="19"/>
      <c r="U14" s="19"/>
      <c r="V14" s="19"/>
      <c r="W14" s="17"/>
      <c r="X14" s="20"/>
      <c r="Y14" s="19"/>
      <c r="Z14" s="19"/>
      <c r="AA14" s="19"/>
      <c r="AB14" s="19"/>
      <c r="AC14" s="19"/>
      <c r="AD14" s="19"/>
      <c r="AF14" s="19"/>
      <c r="AH14" s="17"/>
      <c r="AI14" s="19"/>
      <c r="AJ14" s="19"/>
      <c r="AK14" s="19"/>
      <c r="AL14" s="19"/>
      <c r="AM14" s="17"/>
      <c r="AN14" s="19"/>
      <c r="AO14" s="19"/>
      <c r="AP14" s="19"/>
      <c r="AQ14" s="19"/>
      <c r="AR14" s="19"/>
      <c r="AS14" s="21"/>
      <c r="AU14" s="19"/>
      <c r="AW14" s="22"/>
      <c r="AX14" s="19"/>
      <c r="AZ14" s="19"/>
      <c r="BC14" s="19"/>
      <c r="BD14" s="19"/>
      <c r="BE14" s="19"/>
      <c r="BF14" s="19"/>
      <c r="BG14" s="19"/>
      <c r="BH14" s="19"/>
      <c r="BI14" s="19"/>
      <c r="BJ14" s="19"/>
      <c r="BK14" s="13"/>
      <c r="BN14" s="19"/>
      <c r="BO14" s="17"/>
      <c r="BP14" s="19"/>
      <c r="BQ14" s="17"/>
      <c r="BR14" s="19"/>
      <c r="BS14" s="13"/>
      <c r="BU14" s="23"/>
      <c r="BV14" s="23"/>
      <c r="BW14" s="24"/>
      <c r="CA14" s="24"/>
      <c r="CB14" s="24"/>
      <c r="CC14" s="24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25"/>
      <c r="CW14" s="26"/>
    </row>
    <row r="15" spans="1:103" s="30" customFormat="1" ht="11.25" x14ac:dyDescent="0.2">
      <c r="A15" s="27"/>
      <c r="B15" s="28"/>
      <c r="C15" s="29"/>
      <c r="E15" s="31"/>
      <c r="F15" s="32"/>
      <c r="G15" s="33"/>
      <c r="H15" s="34"/>
      <c r="I15" s="34"/>
      <c r="J15" s="35"/>
      <c r="K15" s="36"/>
      <c r="L15" s="37"/>
      <c r="M15" s="38">
        <f>SUM(M5:M14)</f>
        <v>7764.55</v>
      </c>
      <c r="N15" s="38">
        <f>M15</f>
        <v>7764.55</v>
      </c>
      <c r="O15" s="39" t="s">
        <v>111</v>
      </c>
      <c r="P15" s="38">
        <f>SUM(P5:P14)</f>
        <v>69.326339285714283</v>
      </c>
      <c r="Q15" s="38">
        <f>SUM(Q5:Q14)</f>
        <v>831.9160714285714</v>
      </c>
      <c r="R15" s="38">
        <f>SUM(R5:R14)</f>
        <v>7001.9602678571428</v>
      </c>
      <c r="S15" s="38">
        <f t="shared" ref="S15:AD15" si="4">SUM(S5:S5)</f>
        <v>0</v>
      </c>
      <c r="T15" s="38">
        <f t="shared" si="4"/>
        <v>0</v>
      </c>
      <c r="U15" s="38">
        <f t="shared" si="4"/>
        <v>0</v>
      </c>
      <c r="V15" s="38">
        <f t="shared" si="4"/>
        <v>0</v>
      </c>
      <c r="W15" s="38">
        <f t="shared" si="4"/>
        <v>0</v>
      </c>
      <c r="X15" s="38">
        <f t="shared" si="4"/>
        <v>0</v>
      </c>
      <c r="Y15" s="38">
        <f t="shared" si="4"/>
        <v>0</v>
      </c>
      <c r="Z15" s="38">
        <f t="shared" si="4"/>
        <v>0</v>
      </c>
      <c r="AA15" s="38">
        <f t="shared" si="4"/>
        <v>0</v>
      </c>
      <c r="AB15" s="38">
        <f t="shared" si="4"/>
        <v>0</v>
      </c>
      <c r="AC15" s="38">
        <f t="shared" si="4"/>
        <v>0</v>
      </c>
      <c r="AD15" s="38">
        <f t="shared" si="4"/>
        <v>0</v>
      </c>
      <c r="AF15" s="38">
        <f>SUM(AF5:AF5)</f>
        <v>0</v>
      </c>
      <c r="AH15" s="38">
        <f t="shared" ref="AH15:AZ15" si="5">SUM(AH5:AH5)</f>
        <v>0</v>
      </c>
      <c r="AI15" s="38">
        <f t="shared" si="5"/>
        <v>0</v>
      </c>
      <c r="AJ15" s="38">
        <f t="shared" si="5"/>
        <v>0</v>
      </c>
      <c r="AK15" s="38">
        <f t="shared" si="5"/>
        <v>0</v>
      </c>
      <c r="AL15" s="38">
        <f t="shared" si="5"/>
        <v>0</v>
      </c>
      <c r="AM15" s="38">
        <f t="shared" si="5"/>
        <v>0</v>
      </c>
      <c r="AN15" s="38">
        <f t="shared" si="5"/>
        <v>0</v>
      </c>
      <c r="AO15" s="38">
        <f t="shared" si="5"/>
        <v>0</v>
      </c>
      <c r="AP15" s="38">
        <f t="shared" si="5"/>
        <v>0</v>
      </c>
      <c r="AQ15" s="38">
        <f t="shared" si="5"/>
        <v>0</v>
      </c>
      <c r="AR15" s="38">
        <f t="shared" si="5"/>
        <v>0</v>
      </c>
      <c r="AS15" s="38">
        <f t="shared" si="5"/>
        <v>0</v>
      </c>
      <c r="AT15" s="38">
        <f t="shared" si="5"/>
        <v>0</v>
      </c>
      <c r="AU15" s="38">
        <f t="shared" si="5"/>
        <v>0</v>
      </c>
      <c r="AV15" s="38">
        <f t="shared" si="5"/>
        <v>0</v>
      </c>
      <c r="AW15" s="38">
        <f t="shared" si="5"/>
        <v>0</v>
      </c>
      <c r="AX15" s="38">
        <f t="shared" si="5"/>
        <v>0</v>
      </c>
      <c r="AY15" s="38">
        <f t="shared" si="5"/>
        <v>0</v>
      </c>
      <c r="AZ15" s="38">
        <f t="shared" si="5"/>
        <v>0</v>
      </c>
      <c r="BB15" s="38">
        <f t="shared" ref="BB15:CV15" si="6">SUM(BB5:BB5)</f>
        <v>0</v>
      </c>
      <c r="BC15" s="38">
        <f t="shared" si="6"/>
        <v>0</v>
      </c>
      <c r="BD15" s="38">
        <f t="shared" si="6"/>
        <v>0</v>
      </c>
      <c r="BE15" s="38">
        <f t="shared" si="6"/>
        <v>0</v>
      </c>
      <c r="BF15" s="38">
        <f t="shared" si="6"/>
        <v>0</v>
      </c>
      <c r="BG15" s="38">
        <f t="shared" si="6"/>
        <v>0</v>
      </c>
      <c r="BH15" s="38">
        <f t="shared" si="6"/>
        <v>0</v>
      </c>
      <c r="BI15" s="38">
        <f t="shared" si="6"/>
        <v>0</v>
      </c>
      <c r="BJ15" s="38">
        <f t="shared" si="6"/>
        <v>0</v>
      </c>
      <c r="BK15" s="38">
        <f t="shared" si="6"/>
        <v>0</v>
      </c>
      <c r="BL15" s="38">
        <f t="shared" si="6"/>
        <v>0</v>
      </c>
      <c r="BM15" s="38">
        <f t="shared" si="6"/>
        <v>0</v>
      </c>
      <c r="BN15" s="38">
        <f t="shared" si="6"/>
        <v>0</v>
      </c>
      <c r="BO15" s="38">
        <f t="shared" si="6"/>
        <v>0</v>
      </c>
      <c r="BP15" s="38">
        <f t="shared" si="6"/>
        <v>0</v>
      </c>
      <c r="BQ15" s="38">
        <f t="shared" si="6"/>
        <v>0</v>
      </c>
      <c r="BR15" s="38">
        <f t="shared" si="6"/>
        <v>0</v>
      </c>
      <c r="BS15" s="38">
        <f t="shared" si="6"/>
        <v>0</v>
      </c>
      <c r="BT15" s="38">
        <f t="shared" si="6"/>
        <v>0</v>
      </c>
      <c r="BU15" s="38">
        <f t="shared" si="6"/>
        <v>0</v>
      </c>
      <c r="BV15" s="38">
        <f t="shared" si="6"/>
        <v>0</v>
      </c>
      <c r="BW15" s="38">
        <f t="shared" si="6"/>
        <v>0</v>
      </c>
      <c r="BX15" s="38">
        <f t="shared" si="6"/>
        <v>0</v>
      </c>
      <c r="BY15" s="38">
        <f t="shared" si="6"/>
        <v>0</v>
      </c>
      <c r="BZ15" s="38">
        <f t="shared" si="6"/>
        <v>0</v>
      </c>
      <c r="CA15" s="38">
        <f t="shared" si="6"/>
        <v>0</v>
      </c>
      <c r="CB15" s="38">
        <f t="shared" si="6"/>
        <v>0</v>
      </c>
      <c r="CC15" s="38">
        <f t="shared" si="6"/>
        <v>0</v>
      </c>
      <c r="CD15" s="38">
        <f t="shared" si="6"/>
        <v>0</v>
      </c>
      <c r="CE15" s="38">
        <f t="shared" si="6"/>
        <v>0</v>
      </c>
      <c r="CF15" s="38">
        <f t="shared" si="6"/>
        <v>0</v>
      </c>
      <c r="CG15" s="38">
        <f t="shared" si="6"/>
        <v>0</v>
      </c>
      <c r="CH15" s="38">
        <f t="shared" si="6"/>
        <v>0</v>
      </c>
      <c r="CI15" s="38">
        <f t="shared" si="6"/>
        <v>0</v>
      </c>
      <c r="CJ15" s="38">
        <f t="shared" si="6"/>
        <v>0</v>
      </c>
      <c r="CK15" s="38">
        <f t="shared" si="6"/>
        <v>0</v>
      </c>
      <c r="CL15" s="38">
        <f t="shared" si="6"/>
        <v>0</v>
      </c>
      <c r="CM15" s="38">
        <f t="shared" si="6"/>
        <v>0</v>
      </c>
      <c r="CN15" s="38">
        <f t="shared" si="6"/>
        <v>0</v>
      </c>
      <c r="CO15" s="38">
        <f t="shared" si="6"/>
        <v>0</v>
      </c>
      <c r="CP15" s="38">
        <f t="shared" si="6"/>
        <v>0</v>
      </c>
      <c r="CQ15" s="38">
        <f t="shared" si="6"/>
        <v>0</v>
      </c>
      <c r="CR15" s="38">
        <f t="shared" si="6"/>
        <v>0</v>
      </c>
      <c r="CS15" s="38">
        <f t="shared" si="6"/>
        <v>0</v>
      </c>
      <c r="CT15" s="38">
        <f t="shared" si="6"/>
        <v>0</v>
      </c>
      <c r="CU15" s="38">
        <f t="shared" si="6"/>
        <v>0</v>
      </c>
      <c r="CV15" s="38">
        <f t="shared" si="6"/>
        <v>0</v>
      </c>
      <c r="CW15" s="40"/>
    </row>
    <row r="16" spans="1:103" customFormat="1" ht="15" x14ac:dyDescent="0.25"/>
    <row r="17" spans="1:16" customFormat="1" ht="15" x14ac:dyDescent="0.25">
      <c r="A17" s="41" t="str">
        <f>E5</f>
        <v>SUPER METRO MANDAUE</v>
      </c>
      <c r="B17" s="42"/>
      <c r="C17" s="43"/>
      <c r="D17" s="44"/>
      <c r="E17" s="44"/>
      <c r="F17" s="45"/>
      <c r="G17" s="46"/>
      <c r="H17" s="47"/>
      <c r="I17" s="48"/>
      <c r="J17" s="49"/>
      <c r="K17" s="50"/>
      <c r="L17" s="51"/>
      <c r="M17" s="52"/>
      <c r="N17" s="53"/>
      <c r="O17" s="54"/>
      <c r="P17" s="55"/>
    </row>
    <row r="18" spans="1:16" customFormat="1" ht="15" x14ac:dyDescent="0.25">
      <c r="A18" s="56"/>
      <c r="B18" s="57"/>
      <c r="C18" s="58"/>
      <c r="D18" s="59" t="s">
        <v>112</v>
      </c>
      <c r="E18" s="59" t="s">
        <v>113</v>
      </c>
      <c r="F18" s="60" t="s">
        <v>114</v>
      </c>
      <c r="G18" s="61"/>
      <c r="H18" s="62"/>
      <c r="I18" s="63"/>
      <c r="J18" s="64"/>
      <c r="K18" s="1"/>
      <c r="L18" s="65"/>
      <c r="M18" s="66"/>
      <c r="N18" s="67"/>
      <c r="O18" s="68"/>
      <c r="P18" s="69"/>
    </row>
    <row r="19" spans="1:16" customFormat="1" ht="13.5" customHeight="1" x14ac:dyDescent="0.25">
      <c r="A19" s="70" t="s">
        <v>151</v>
      </c>
      <c r="B19" s="71"/>
      <c r="C19" s="72"/>
      <c r="D19" s="73">
        <f>R15</f>
        <v>7001.9602678571428</v>
      </c>
      <c r="E19" s="74"/>
      <c r="F19" s="75" t="str">
        <f>"In payment for food inventory for storeroom using housefund received on " &amp; TEXT(A5, "mmmm dd, yyyy") &amp; " with SI#092474 PR#30517,30518,30098 RR#" &amp; " CPO#" &amp;B5</f>
        <v>In payment for food inventory for storeroom using housefund received on August 08, 2025 with SI#092474 PR#30517,30518,30098 RR# CPO#18962</v>
      </c>
      <c r="G19" s="76"/>
      <c r="H19" s="77"/>
      <c r="I19" s="77" t="s">
        <v>255</v>
      </c>
      <c r="J19" s="76"/>
      <c r="K19" s="1"/>
      <c r="L19" s="65"/>
      <c r="M19" s="78"/>
      <c r="N19" s="79"/>
      <c r="O19" s="80"/>
      <c r="P19" s="81"/>
    </row>
    <row r="20" spans="1:16" customFormat="1" ht="15" x14ac:dyDescent="0.25">
      <c r="A20" s="70" t="s">
        <v>115</v>
      </c>
      <c r="B20" s="71"/>
      <c r="C20" s="72"/>
      <c r="D20" s="73">
        <f>Q15</f>
        <v>831.9160714285714</v>
      </c>
      <c r="E20" s="74"/>
      <c r="F20" s="64" t="str">
        <f>"Recording input VAT for expenses and purchases made using house fund for " &amp; TEXT(A5, "mmmm dd, yyyy")</f>
        <v>Recording input VAT for expenses and purchases made using house fund for August 08, 2025</v>
      </c>
      <c r="G20" s="82"/>
      <c r="H20" s="83"/>
      <c r="I20" s="84"/>
      <c r="J20" s="82"/>
      <c r="K20" s="1"/>
      <c r="L20" s="65"/>
      <c r="M20" s="66"/>
      <c r="N20" s="67"/>
      <c r="O20" s="68"/>
      <c r="P20" s="69"/>
    </row>
    <row r="21" spans="1:16" customFormat="1" ht="15" x14ac:dyDescent="0.25">
      <c r="A21" s="85" t="s">
        <v>116</v>
      </c>
      <c r="B21" s="86"/>
      <c r="C21" s="87"/>
      <c r="D21" s="88"/>
      <c r="E21" s="74">
        <f>P15</f>
        <v>69.326339285714283</v>
      </c>
      <c r="F21" s="89" t="str">
        <f>"Recording the tax withheld for expenses and purchases using the house fund received on " &amp; TEXT(A5, "mmmm dd, yyyy")</f>
        <v>Recording the tax withheld for expenses and purchases using the house fund received on August 08, 2025</v>
      </c>
      <c r="G21" s="82"/>
      <c r="H21" s="83"/>
      <c r="I21" s="84"/>
      <c r="J21" s="82"/>
      <c r="K21" s="1"/>
      <c r="L21" s="65"/>
      <c r="M21" s="66"/>
      <c r="N21" s="67"/>
      <c r="O21" s="68"/>
      <c r="P21" s="69"/>
    </row>
    <row r="22" spans="1:16" customFormat="1" ht="15" x14ac:dyDescent="0.25">
      <c r="A22" s="70" t="s">
        <v>117</v>
      </c>
      <c r="B22" s="86"/>
      <c r="C22" s="87"/>
      <c r="D22" s="90"/>
      <c r="E22" s="91">
        <f>M15</f>
        <v>7764.55</v>
      </c>
      <c r="F22" s="89" t="str">
        <f>"Recording house fund expenses for replenishment on " &amp; TEXT(A5, "mmmm dd, yyyy")</f>
        <v>Recording house fund expenses for replenishment on August 08, 2025</v>
      </c>
      <c r="G22" s="82"/>
      <c r="H22" s="83"/>
      <c r="I22" s="84"/>
      <c r="J22" s="82"/>
      <c r="K22" s="1"/>
      <c r="L22" s="65"/>
      <c r="M22" s="66"/>
      <c r="N22" s="67"/>
      <c r="O22" s="68"/>
      <c r="P22" s="69"/>
    </row>
    <row r="23" spans="1:16" customFormat="1" ht="15" x14ac:dyDescent="0.25">
      <c r="A23" s="85"/>
      <c r="B23" s="86"/>
      <c r="C23" s="87"/>
      <c r="D23" s="88">
        <f>SUM(D19:D20)</f>
        <v>7833.8763392857145</v>
      </c>
      <c r="E23" s="88">
        <f>SUM(E19:E22)</f>
        <v>7833.8763392857145</v>
      </c>
      <c r="F23" s="92"/>
      <c r="G23" s="92"/>
      <c r="H23" s="93"/>
      <c r="I23" s="94"/>
      <c r="J23" s="92"/>
      <c r="K23" s="1"/>
      <c r="L23" s="65"/>
      <c r="M23" s="66"/>
      <c r="N23" s="67"/>
      <c r="O23" s="68"/>
      <c r="P23" s="69"/>
    </row>
    <row r="24" spans="1:16" customFormat="1" ht="15" x14ac:dyDescent="0.25">
      <c r="A24" s="95" t="s">
        <v>118</v>
      </c>
      <c r="B24" s="96" t="str">
        <f>"To record house fund expenses on " &amp; TEXT(A5, "mmmm dd, yyyy") &amp; " with PCV#" &amp; C5</f>
        <v>To record house fund expenses on August 08, 2025 with PCV#20868</v>
      </c>
      <c r="C24" s="97"/>
      <c r="D24" s="98"/>
      <c r="E24" s="98"/>
      <c r="F24" s="98"/>
      <c r="G24" s="92"/>
      <c r="H24" s="93"/>
      <c r="I24" s="94"/>
      <c r="J24" s="92"/>
      <c r="K24" s="1"/>
      <c r="L24" s="65"/>
      <c r="M24" s="66"/>
      <c r="N24" s="67"/>
      <c r="O24" s="68"/>
      <c r="P24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DC3EA-24D5-4238-A5DB-AD491BA71474}">
  <sheetPr>
    <tabColor rgb="FFFFC000"/>
  </sheetPr>
  <dimension ref="A1:CY16"/>
  <sheetViews>
    <sheetView workbookViewId="0">
      <selection activeCell="A5" sqref="A5:XFD7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ht="12" x14ac:dyDescent="0.2">
      <c r="A5" s="2">
        <v>45877</v>
      </c>
      <c r="B5" s="3" t="s">
        <v>146</v>
      </c>
      <c r="C5" s="4" t="s">
        <v>496</v>
      </c>
      <c r="D5" s="5" t="s">
        <v>122</v>
      </c>
      <c r="E5" s="156" t="s">
        <v>175</v>
      </c>
      <c r="F5" s="156" t="s">
        <v>176</v>
      </c>
      <c r="G5" s="156" t="s">
        <v>177</v>
      </c>
      <c r="H5" s="156">
        <v>1851920</v>
      </c>
      <c r="I5" s="10" t="s">
        <v>401</v>
      </c>
      <c r="J5" s="11" t="s">
        <v>178</v>
      </c>
      <c r="K5" s="12">
        <v>5</v>
      </c>
      <c r="L5" s="13">
        <v>107.5</v>
      </c>
      <c r="M5" s="14">
        <f t="shared" ref="M5:M6" si="0">L5*K5</f>
        <v>537.5</v>
      </c>
      <c r="N5" s="15"/>
      <c r="O5" s="16" t="s">
        <v>111</v>
      </c>
      <c r="P5" s="17">
        <f>M5/1.12*0.01</f>
        <v>4.7991071428571423</v>
      </c>
      <c r="Q5" s="18">
        <f>M5/1.12*0.12</f>
        <v>57.589285714285701</v>
      </c>
      <c r="R5" s="17">
        <f>M5+P5-Q5</f>
        <v>484.70982142857139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179</v>
      </c>
      <c r="K6" s="12">
        <v>10</v>
      </c>
      <c r="L6" s="13">
        <v>88</v>
      </c>
      <c r="M6" s="14">
        <f t="shared" si="0"/>
        <v>880</v>
      </c>
      <c r="N6" s="15"/>
      <c r="O6" s="16" t="s">
        <v>111</v>
      </c>
      <c r="P6" s="17">
        <f t="shared" ref="P6" si="1">M6/1.12*0.01</f>
        <v>7.8571428571428568</v>
      </c>
      <c r="Q6" s="18">
        <f t="shared" ref="Q6" si="2">M6/1.12*0.12</f>
        <v>94.285714285714278</v>
      </c>
      <c r="R6" s="17">
        <f t="shared" ref="R6" si="3">M6+P6-Q6</f>
        <v>793.57142857142867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30" customFormat="1" ht="11.25" x14ac:dyDescent="0.2">
      <c r="A7" s="27"/>
      <c r="B7" s="28"/>
      <c r="C7" s="29"/>
      <c r="E7" s="31"/>
      <c r="F7" s="32"/>
      <c r="G7" s="33"/>
      <c r="H7" s="34"/>
      <c r="I7" s="34"/>
      <c r="J7" s="35"/>
      <c r="K7" s="36"/>
      <c r="L7" s="37"/>
      <c r="M7" s="38">
        <f>SUM(M5:M6)</f>
        <v>1417.5</v>
      </c>
      <c r="N7" s="38">
        <f>M7</f>
        <v>1417.5</v>
      </c>
      <c r="O7" s="39" t="s">
        <v>111</v>
      </c>
      <c r="P7" s="38">
        <f>SUM(P5:P6)</f>
        <v>12.65625</v>
      </c>
      <c r="Q7" s="38">
        <f>SUM(Q5:Q6)</f>
        <v>151.87499999999997</v>
      </c>
      <c r="R7" s="38">
        <f>SUM(R5:R6)</f>
        <v>1278.28125</v>
      </c>
      <c r="S7" s="38">
        <f t="shared" ref="S7:AD7" si="4">SUM(S5:S5)</f>
        <v>0</v>
      </c>
      <c r="T7" s="38">
        <f t="shared" si="4"/>
        <v>0</v>
      </c>
      <c r="U7" s="38">
        <f t="shared" si="4"/>
        <v>0</v>
      </c>
      <c r="V7" s="38">
        <f t="shared" si="4"/>
        <v>0</v>
      </c>
      <c r="W7" s="38">
        <f t="shared" si="4"/>
        <v>0</v>
      </c>
      <c r="X7" s="38">
        <f t="shared" si="4"/>
        <v>0</v>
      </c>
      <c r="Y7" s="38">
        <f t="shared" si="4"/>
        <v>0</v>
      </c>
      <c r="Z7" s="38">
        <f t="shared" si="4"/>
        <v>0</v>
      </c>
      <c r="AA7" s="38">
        <f t="shared" si="4"/>
        <v>0</v>
      </c>
      <c r="AB7" s="38">
        <f t="shared" si="4"/>
        <v>0</v>
      </c>
      <c r="AC7" s="38">
        <f t="shared" si="4"/>
        <v>0</v>
      </c>
      <c r="AD7" s="38">
        <f t="shared" si="4"/>
        <v>0</v>
      </c>
      <c r="AF7" s="38">
        <f>SUM(AF5:AF5)</f>
        <v>0</v>
      </c>
      <c r="AH7" s="38">
        <f t="shared" ref="AH7:AZ7" si="5">SUM(AH5:AH5)</f>
        <v>0</v>
      </c>
      <c r="AI7" s="38">
        <f t="shared" si="5"/>
        <v>0</v>
      </c>
      <c r="AJ7" s="38">
        <f t="shared" si="5"/>
        <v>0</v>
      </c>
      <c r="AK7" s="38">
        <f t="shared" si="5"/>
        <v>0</v>
      </c>
      <c r="AL7" s="38">
        <f t="shared" si="5"/>
        <v>0</v>
      </c>
      <c r="AM7" s="38">
        <f t="shared" si="5"/>
        <v>0</v>
      </c>
      <c r="AN7" s="38">
        <f t="shared" si="5"/>
        <v>0</v>
      </c>
      <c r="AO7" s="38">
        <f t="shared" si="5"/>
        <v>0</v>
      </c>
      <c r="AP7" s="38">
        <f t="shared" si="5"/>
        <v>0</v>
      </c>
      <c r="AQ7" s="38">
        <f t="shared" si="5"/>
        <v>0</v>
      </c>
      <c r="AR7" s="38">
        <f t="shared" si="5"/>
        <v>0</v>
      </c>
      <c r="AS7" s="38">
        <f t="shared" si="5"/>
        <v>0</v>
      </c>
      <c r="AT7" s="38">
        <f t="shared" si="5"/>
        <v>0</v>
      </c>
      <c r="AU7" s="38">
        <f t="shared" si="5"/>
        <v>0</v>
      </c>
      <c r="AV7" s="38">
        <f t="shared" si="5"/>
        <v>0</v>
      </c>
      <c r="AW7" s="38">
        <f t="shared" si="5"/>
        <v>0</v>
      </c>
      <c r="AX7" s="38">
        <f t="shared" si="5"/>
        <v>0</v>
      </c>
      <c r="AY7" s="38">
        <f t="shared" si="5"/>
        <v>0</v>
      </c>
      <c r="AZ7" s="38">
        <f t="shared" si="5"/>
        <v>0</v>
      </c>
      <c r="BB7" s="38">
        <f t="shared" ref="BB7:CV7" si="6">SUM(BB5:BB5)</f>
        <v>0</v>
      </c>
      <c r="BC7" s="38">
        <f t="shared" si="6"/>
        <v>0</v>
      </c>
      <c r="BD7" s="38">
        <f t="shared" si="6"/>
        <v>0</v>
      </c>
      <c r="BE7" s="38">
        <f t="shared" si="6"/>
        <v>0</v>
      </c>
      <c r="BF7" s="38">
        <f t="shared" si="6"/>
        <v>0</v>
      </c>
      <c r="BG7" s="38">
        <f t="shared" si="6"/>
        <v>0</v>
      </c>
      <c r="BH7" s="38">
        <f t="shared" si="6"/>
        <v>0</v>
      </c>
      <c r="BI7" s="38">
        <f t="shared" si="6"/>
        <v>0</v>
      </c>
      <c r="BJ7" s="38">
        <f t="shared" si="6"/>
        <v>0</v>
      </c>
      <c r="BK7" s="38">
        <f t="shared" si="6"/>
        <v>0</v>
      </c>
      <c r="BL7" s="38">
        <f t="shared" si="6"/>
        <v>0</v>
      </c>
      <c r="BM7" s="38">
        <f t="shared" si="6"/>
        <v>0</v>
      </c>
      <c r="BN7" s="38">
        <f t="shared" si="6"/>
        <v>0</v>
      </c>
      <c r="BO7" s="38">
        <f t="shared" si="6"/>
        <v>0</v>
      </c>
      <c r="BP7" s="38">
        <f t="shared" si="6"/>
        <v>0</v>
      </c>
      <c r="BQ7" s="38">
        <f t="shared" si="6"/>
        <v>0</v>
      </c>
      <c r="BR7" s="38">
        <f t="shared" si="6"/>
        <v>0</v>
      </c>
      <c r="BS7" s="38">
        <f t="shared" si="6"/>
        <v>0</v>
      </c>
      <c r="BT7" s="38">
        <f t="shared" si="6"/>
        <v>0</v>
      </c>
      <c r="BU7" s="38">
        <f t="shared" si="6"/>
        <v>0</v>
      </c>
      <c r="BV7" s="38">
        <f t="shared" si="6"/>
        <v>0</v>
      </c>
      <c r="BW7" s="38">
        <f t="shared" si="6"/>
        <v>0</v>
      </c>
      <c r="BX7" s="38">
        <f t="shared" si="6"/>
        <v>0</v>
      </c>
      <c r="BY7" s="38">
        <f t="shared" si="6"/>
        <v>0</v>
      </c>
      <c r="BZ7" s="38">
        <f t="shared" si="6"/>
        <v>0</v>
      </c>
      <c r="CA7" s="38">
        <f t="shared" si="6"/>
        <v>0</v>
      </c>
      <c r="CB7" s="38">
        <f t="shared" si="6"/>
        <v>0</v>
      </c>
      <c r="CC7" s="38">
        <f t="shared" si="6"/>
        <v>0</v>
      </c>
      <c r="CD7" s="38">
        <f t="shared" si="6"/>
        <v>0</v>
      </c>
      <c r="CE7" s="38">
        <f t="shared" si="6"/>
        <v>0</v>
      </c>
      <c r="CF7" s="38">
        <f t="shared" si="6"/>
        <v>0</v>
      </c>
      <c r="CG7" s="38">
        <f t="shared" si="6"/>
        <v>0</v>
      </c>
      <c r="CH7" s="38">
        <f t="shared" si="6"/>
        <v>0</v>
      </c>
      <c r="CI7" s="38">
        <f t="shared" si="6"/>
        <v>0</v>
      </c>
      <c r="CJ7" s="38">
        <f t="shared" si="6"/>
        <v>0</v>
      </c>
      <c r="CK7" s="38">
        <f t="shared" si="6"/>
        <v>0</v>
      </c>
      <c r="CL7" s="38">
        <f t="shared" si="6"/>
        <v>0</v>
      </c>
      <c r="CM7" s="38">
        <f t="shared" si="6"/>
        <v>0</v>
      </c>
      <c r="CN7" s="38">
        <f t="shared" si="6"/>
        <v>0</v>
      </c>
      <c r="CO7" s="38">
        <f t="shared" si="6"/>
        <v>0</v>
      </c>
      <c r="CP7" s="38">
        <f t="shared" si="6"/>
        <v>0</v>
      </c>
      <c r="CQ7" s="38">
        <f t="shared" si="6"/>
        <v>0</v>
      </c>
      <c r="CR7" s="38">
        <f t="shared" si="6"/>
        <v>0</v>
      </c>
      <c r="CS7" s="38">
        <f t="shared" si="6"/>
        <v>0</v>
      </c>
      <c r="CT7" s="38">
        <f t="shared" si="6"/>
        <v>0</v>
      </c>
      <c r="CU7" s="38">
        <f t="shared" si="6"/>
        <v>0</v>
      </c>
      <c r="CV7" s="38">
        <f t="shared" si="6"/>
        <v>0</v>
      </c>
      <c r="CW7" s="40"/>
    </row>
    <row r="8" spans="1:103" customFormat="1" ht="15" x14ac:dyDescent="0.25"/>
    <row r="9" spans="1:103" customFormat="1" ht="15" x14ac:dyDescent="0.25">
      <c r="A9" s="41" t="str">
        <f>E5</f>
        <v xml:space="preserve">S &amp; R </v>
      </c>
      <c r="B9" s="42"/>
      <c r="C9" s="43"/>
      <c r="D9" s="44"/>
      <c r="E9" s="44"/>
      <c r="F9" s="45"/>
      <c r="G9" s="46"/>
      <c r="H9" s="47"/>
      <c r="I9" s="48"/>
      <c r="J9" s="49"/>
      <c r="K9" s="50"/>
      <c r="L9" s="51"/>
      <c r="M9" s="52"/>
      <c r="N9" s="53"/>
      <c r="O9" s="54"/>
      <c r="P9" s="55"/>
    </row>
    <row r="10" spans="1:103" customFormat="1" ht="15" x14ac:dyDescent="0.25">
      <c r="A10" s="56"/>
      <c r="B10" s="57"/>
      <c r="C10" s="58"/>
      <c r="D10" s="59" t="s">
        <v>112</v>
      </c>
      <c r="E10" s="59" t="s">
        <v>113</v>
      </c>
      <c r="F10" s="60" t="s">
        <v>114</v>
      </c>
      <c r="G10" s="61"/>
      <c r="H10" s="62"/>
      <c r="I10" s="63"/>
      <c r="J10" s="64"/>
      <c r="K10" s="1"/>
      <c r="L10" s="65"/>
      <c r="M10" s="66"/>
      <c r="N10" s="67"/>
      <c r="O10" s="68"/>
      <c r="P10" s="69"/>
    </row>
    <row r="11" spans="1:103" customFormat="1" ht="13.5" customHeight="1" x14ac:dyDescent="0.25">
      <c r="A11" s="70" t="s">
        <v>151</v>
      </c>
      <c r="B11" s="71"/>
      <c r="C11" s="72"/>
      <c r="D11" s="73">
        <f>R7</f>
        <v>1278.28125</v>
      </c>
      <c r="E11" s="74"/>
      <c r="F11" s="75" t="str">
        <f>"In payment for 5 packs of \baguette and 10 burger white for store room using housefund received on " &amp; TEXT(A5, "mmmm dd, yyyy") &amp; " with SI#1851920 PR#30517 RR#" &amp; " CPO#" &amp;B5</f>
        <v>In payment for 5 packs of \baguette and 10 burger white for store room using housefund received on August 08, 2025 with SI#1851920 PR#30517 RR# CPO#18962</v>
      </c>
      <c r="G11" s="76"/>
      <c r="H11" s="77"/>
      <c r="I11" s="77"/>
      <c r="J11" s="76"/>
      <c r="K11" s="1"/>
      <c r="L11" s="65"/>
      <c r="M11" s="78"/>
      <c r="N11" s="79"/>
      <c r="O11" s="80"/>
      <c r="P11" s="81"/>
    </row>
    <row r="12" spans="1:103" customFormat="1" ht="15" x14ac:dyDescent="0.25">
      <c r="A12" s="70" t="s">
        <v>115</v>
      </c>
      <c r="B12" s="71"/>
      <c r="C12" s="72"/>
      <c r="D12" s="73">
        <f>Q7</f>
        <v>151.87499999999997</v>
      </c>
      <c r="E12" s="74"/>
      <c r="F12" s="64" t="str">
        <f>"Recording input VAT for expenses and purchases made using house fund for " &amp; TEXT(A5, "mmmm dd, yyyy")</f>
        <v>Recording input VAT for expenses and purchases made using house fund for August 08,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85" t="s">
        <v>116</v>
      </c>
      <c r="B13" s="86"/>
      <c r="C13" s="87"/>
      <c r="D13" s="88"/>
      <c r="E13" s="74">
        <f>P7</f>
        <v>12.65625</v>
      </c>
      <c r="F13" s="89" t="str">
        <f>"Recording the tax withheld for expenses and purchases using the house fund received on " &amp; TEXT(A5, "mmmm dd, yyyy")</f>
        <v>Recording the tax withheld for expenses and purchases using the house fund received on August 08,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70" t="s">
        <v>117</v>
      </c>
      <c r="B14" s="86"/>
      <c r="C14" s="87"/>
      <c r="D14" s="90"/>
      <c r="E14" s="91">
        <f>M7</f>
        <v>1417.5</v>
      </c>
      <c r="F14" s="89" t="str">
        <f>"Recording house fund expenses for replenishment on " &amp; TEXT(A5, "mmmm dd, yyyy")</f>
        <v>Recording house fund expenses for replenishment on August 08,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85"/>
      <c r="B15" s="86"/>
      <c r="C15" s="87"/>
      <c r="D15" s="88">
        <f>SUM(D11:D12)</f>
        <v>1430.15625</v>
      </c>
      <c r="E15" s="88">
        <f>SUM(E11:E14)</f>
        <v>1430.15625</v>
      </c>
      <c r="F15" s="92"/>
      <c r="G15" s="92"/>
      <c r="H15" s="93"/>
      <c r="I15" s="94"/>
      <c r="J15" s="92"/>
      <c r="K15" s="1"/>
      <c r="L15" s="65"/>
      <c r="M15" s="66"/>
      <c r="N15" s="67"/>
      <c r="O15" s="68"/>
      <c r="P15" s="69"/>
    </row>
    <row r="16" spans="1:103" customFormat="1" ht="15" x14ac:dyDescent="0.25">
      <c r="A16" s="95" t="s">
        <v>118</v>
      </c>
      <c r="B16" s="96" t="str">
        <f>"To record house fund expenses on " &amp; TEXT(A5, "mmmm dd, yyyy") &amp; " with PCV#" &amp; C5</f>
        <v>To record house fund expenses on August 08, 2025 with PCV#20869</v>
      </c>
      <c r="C16" s="97"/>
      <c r="D16" s="98"/>
      <c r="E16" s="98"/>
      <c r="F16" s="98"/>
      <c r="G16" s="92"/>
      <c r="H16" s="93"/>
      <c r="I16" s="94"/>
      <c r="J16" s="92"/>
      <c r="K16" s="1"/>
      <c r="L16" s="65"/>
      <c r="M16" s="66"/>
      <c r="N16" s="67"/>
      <c r="O16" s="68"/>
      <c r="P16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EA956-5CDC-401A-93F2-D0267269F020}">
  <sheetPr>
    <tabColor rgb="FFFFC000"/>
  </sheetPr>
  <dimension ref="A1:CY20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45877</v>
      </c>
      <c r="B5" s="3" t="s">
        <v>146</v>
      </c>
      <c r="C5" s="4" t="s">
        <v>497</v>
      </c>
      <c r="D5" s="5" t="s">
        <v>122</v>
      </c>
      <c r="E5" s="6" t="s">
        <v>180</v>
      </c>
      <c r="F5" s="7"/>
      <c r="G5" s="8"/>
      <c r="H5" s="9">
        <v>2797465</v>
      </c>
      <c r="I5" s="10"/>
      <c r="J5" s="11" t="s">
        <v>181</v>
      </c>
      <c r="K5" s="12">
        <v>1</v>
      </c>
      <c r="L5" s="13">
        <v>115</v>
      </c>
      <c r="M5" s="14">
        <f t="shared" ref="M5" si="0">L5*K5</f>
        <v>115</v>
      </c>
      <c r="N5" s="15"/>
      <c r="O5" s="16" t="s">
        <v>182</v>
      </c>
      <c r="P5" s="17"/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7">
        <f>M5+P5-Q5</f>
        <v>115</v>
      </c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115</v>
      </c>
      <c r="N6" s="38">
        <f>M6</f>
        <v>115</v>
      </c>
      <c r="O6" s="39" t="s">
        <v>137</v>
      </c>
      <c r="P6" s="38">
        <f>SUM(P5:P5)</f>
        <v>0</v>
      </c>
      <c r="Q6" s="38">
        <f>SUM(Q5:Q5)</f>
        <v>0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>SUM(BC5:BC5)</f>
        <v>115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 xml:space="preserve">MARKET 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183</v>
      </c>
      <c r="B10" s="71"/>
      <c r="C10" s="72"/>
      <c r="D10" s="73">
        <f>BC6</f>
        <v>115</v>
      </c>
      <c r="E10" s="74"/>
      <c r="F10" s="75" t="str">
        <f>"In payment for meal during purchasing trip using housefund received on " &amp; TEXT(A5, "mmmm dd, yyyy") &amp; " with SI#2797465" &amp; " CPO#" &amp;B5</f>
        <v>In payment for meal during purchasing trip using housefund received on August 08, 2025 with SI#2797465 CPO#18962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08,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08,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115</v>
      </c>
      <c r="F13" s="89" t="str">
        <f>"Recording house fund expenses for replenishment on " &amp; TEXT(A5, "mmmm dd, yyyy")</f>
        <v>Recording house fund expenses for replenishment on August 08,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115</v>
      </c>
      <c r="E14" s="88">
        <f>SUM(E10:E13)</f>
        <v>115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08, 2025 with PCV#20870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  <row r="20" spans="7:7" x14ac:dyDescent="0.2">
      <c r="G20" s="155" t="s">
        <v>397</v>
      </c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9181D-6BE8-464A-909D-83AF4CB72602}">
  <sheetPr>
    <tabColor rgb="FFFFC0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45877</v>
      </c>
      <c r="B5" s="3" t="s">
        <v>146</v>
      </c>
      <c r="C5" s="4" t="s">
        <v>498</v>
      </c>
      <c r="D5" s="5" t="s">
        <v>122</v>
      </c>
      <c r="E5" s="6" t="s">
        <v>184</v>
      </c>
      <c r="F5" s="7" t="s">
        <v>185</v>
      </c>
      <c r="G5" s="8" t="s">
        <v>186</v>
      </c>
      <c r="H5" s="9">
        <v>809984</v>
      </c>
      <c r="I5" s="10" t="s">
        <v>402</v>
      </c>
      <c r="J5" s="11" t="s">
        <v>187</v>
      </c>
      <c r="K5" s="12">
        <v>3</v>
      </c>
      <c r="L5" s="13">
        <v>1573</v>
      </c>
      <c r="M5" s="14">
        <f t="shared" ref="M5" si="0">L5*K5</f>
        <v>4719</v>
      </c>
      <c r="N5" s="15"/>
      <c r="O5" s="16" t="s">
        <v>111</v>
      </c>
      <c r="P5" s="17">
        <f>M5/1.12*0.01</f>
        <v>42.133928571428569</v>
      </c>
      <c r="Q5" s="18">
        <f>M5/1.12*0.12</f>
        <v>505.60714285714283</v>
      </c>
      <c r="R5" s="17">
        <f>M5+P5-Q5</f>
        <v>4255.5267857142853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4719</v>
      </c>
      <c r="N6" s="38">
        <f>M6</f>
        <v>4719</v>
      </c>
      <c r="O6" s="39" t="s">
        <v>111</v>
      </c>
      <c r="P6" s="38">
        <f>SUM(P5:P5)</f>
        <v>42.133928571428569</v>
      </c>
      <c r="Q6" s="38">
        <f>SUM(Q5:Q5)</f>
        <v>505.60714285714283</v>
      </c>
      <c r="R6" s="38">
        <f>SUM(R5:R5)</f>
        <v>4255.5267857142853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INTERNATIONAL PHARMACEUTICALS INC.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4255.5267857142853</v>
      </c>
      <c r="E10" s="74"/>
      <c r="F10" s="75" t="str">
        <f>"In payment for 3 containers of palm oil for storeroom using housefund received on " &amp; TEXT(A5, "mmmm dd, yyyy") &amp; " with SI#0809984 PR#30517 RR#" &amp; " CPO#" &amp;B5</f>
        <v>In payment for 3 containers of palm oil for storeroom using housefund received on August 08, 2025 with SI#0809984 PR#30517 RR# CPO#18962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505.60714285714283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08,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42.133928571428569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08,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4719</v>
      </c>
      <c r="F13" s="89" t="str">
        <f>"Recording house fund expenses for replenishment on " &amp; TEXT(A5, "mmmm dd, yyyy")</f>
        <v>Recording house fund expenses for replenishment on August 08,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4761.1339285714284</v>
      </c>
      <c r="E14" s="88">
        <f>SUM(E10:E13)</f>
        <v>4761.1339285714284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08, 2025 with PCV#20871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BB094-73F7-4607-A6A0-08E6241483DF}">
  <sheetPr>
    <tabColor rgb="FFFFC000"/>
  </sheetPr>
  <dimension ref="A1:CY17"/>
  <sheetViews>
    <sheetView workbookViewId="0">
      <selection activeCell="A5" sqref="A5:XFD8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45878</v>
      </c>
      <c r="B5" s="3" t="s">
        <v>188</v>
      </c>
      <c r="C5" s="4" t="s">
        <v>499</v>
      </c>
      <c r="D5" s="5" t="s">
        <v>189</v>
      </c>
      <c r="E5" s="6" t="s">
        <v>190</v>
      </c>
      <c r="F5" s="7" t="s">
        <v>191</v>
      </c>
      <c r="G5" s="8" t="s">
        <v>192</v>
      </c>
      <c r="H5" s="9">
        <v>12474</v>
      </c>
      <c r="I5" s="10" t="s">
        <v>403</v>
      </c>
      <c r="J5" s="11" t="s">
        <v>193</v>
      </c>
      <c r="K5" s="12">
        <v>15</v>
      </c>
      <c r="L5" s="12">
        <v>77.3</v>
      </c>
      <c r="M5" s="14">
        <f>L5*K5</f>
        <v>1159.5</v>
      </c>
      <c r="N5" s="15"/>
      <c r="O5" s="16" t="s">
        <v>137</v>
      </c>
      <c r="P5" s="17">
        <f>M5*0.01</f>
        <v>11.595000000000001</v>
      </c>
      <c r="Q5" s="18"/>
      <c r="R5" s="17">
        <f>M5+P5-Q5</f>
        <v>1171.095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 t="s">
        <v>351</v>
      </c>
      <c r="J6" s="11" t="s">
        <v>194</v>
      </c>
      <c r="K6" s="12">
        <v>15</v>
      </c>
      <c r="L6" s="12">
        <v>87.25</v>
      </c>
      <c r="M6" s="14">
        <f>L6*K6</f>
        <v>1308.75</v>
      </c>
      <c r="N6" s="15"/>
      <c r="O6" s="16" t="s">
        <v>137</v>
      </c>
      <c r="P6" s="17">
        <f t="shared" ref="P6:P7" si="0">M6*0.01</f>
        <v>13.0875</v>
      </c>
      <c r="Q6" s="18"/>
      <c r="R6" s="17">
        <f t="shared" ref="R6:R7" si="1">M6+P6-Q6</f>
        <v>1321.8375000000001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5" customFormat="1" x14ac:dyDescent="0.2">
      <c r="A7" s="2"/>
      <c r="B7" s="3"/>
      <c r="C7" s="4"/>
      <c r="E7" s="6"/>
      <c r="F7" s="7"/>
      <c r="G7" s="8"/>
      <c r="H7" s="9"/>
      <c r="I7" s="10"/>
      <c r="J7" s="11" t="s">
        <v>195</v>
      </c>
      <c r="K7" s="12">
        <v>10</v>
      </c>
      <c r="L7" s="12">
        <v>50.9</v>
      </c>
      <c r="M7" s="14">
        <f>L7*K7</f>
        <v>509</v>
      </c>
      <c r="N7" s="15"/>
      <c r="O7" s="16" t="s">
        <v>137</v>
      </c>
      <c r="P7" s="17">
        <f t="shared" si="0"/>
        <v>5.09</v>
      </c>
      <c r="Q7" s="18"/>
      <c r="R7" s="17">
        <f t="shared" si="1"/>
        <v>514.09</v>
      </c>
      <c r="S7" s="19"/>
      <c r="T7" s="19"/>
      <c r="U7" s="19"/>
      <c r="V7" s="19"/>
      <c r="W7" s="17"/>
      <c r="X7" s="20"/>
      <c r="Y7" s="19"/>
      <c r="Z7" s="19"/>
      <c r="AA7" s="19"/>
      <c r="AB7" s="19"/>
      <c r="AC7" s="19"/>
      <c r="AD7" s="19"/>
      <c r="AF7" s="19"/>
      <c r="AH7" s="17"/>
      <c r="AI7" s="19"/>
      <c r="AJ7" s="19"/>
      <c r="AK7" s="19"/>
      <c r="AL7" s="19"/>
      <c r="AM7" s="17"/>
      <c r="AN7" s="19"/>
      <c r="AO7" s="19"/>
      <c r="AP7" s="19"/>
      <c r="AQ7" s="19"/>
      <c r="AR7" s="19"/>
      <c r="AS7" s="21"/>
      <c r="AU7" s="19"/>
      <c r="AW7" s="22"/>
      <c r="AX7" s="19"/>
      <c r="AZ7" s="19"/>
      <c r="BC7" s="19"/>
      <c r="BD7" s="19"/>
      <c r="BE7" s="19"/>
      <c r="BF7" s="19"/>
      <c r="BG7" s="19"/>
      <c r="BH7" s="19"/>
      <c r="BI7" s="19"/>
      <c r="BJ7" s="19"/>
      <c r="BK7" s="13"/>
      <c r="BN7" s="19"/>
      <c r="BO7" s="17"/>
      <c r="BP7" s="19"/>
      <c r="BQ7" s="17"/>
      <c r="BR7" s="19"/>
      <c r="BS7" s="13"/>
      <c r="BU7" s="23"/>
      <c r="BV7" s="23"/>
      <c r="BW7" s="24"/>
      <c r="CA7" s="24"/>
      <c r="CB7" s="24"/>
      <c r="CC7" s="24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25"/>
      <c r="CW7" s="26"/>
    </row>
    <row r="8" spans="1:103" s="30" customFormat="1" ht="11.25" x14ac:dyDescent="0.2">
      <c r="A8" s="27"/>
      <c r="B8" s="28"/>
      <c r="C8" s="29"/>
      <c r="E8" s="31"/>
      <c r="F8" s="32"/>
      <c r="G8" s="33"/>
      <c r="H8" s="34"/>
      <c r="I8" s="34"/>
      <c r="J8" s="35"/>
      <c r="K8" s="36"/>
      <c r="L8" s="37"/>
      <c r="M8" s="38">
        <f>SUM(M5:M7)</f>
        <v>2977.25</v>
      </c>
      <c r="N8" s="38">
        <f>M8</f>
        <v>2977.25</v>
      </c>
      <c r="O8" s="39" t="s">
        <v>137</v>
      </c>
      <c r="P8" s="38">
        <f>SUM(P5:P7)</f>
        <v>29.772500000000001</v>
      </c>
      <c r="Q8" s="38">
        <f>SUM(Q5:Q7)</f>
        <v>0</v>
      </c>
      <c r="R8" s="38">
        <f>SUM(R5:R7)</f>
        <v>3007.0225</v>
      </c>
      <c r="S8" s="38">
        <f t="shared" ref="S8:AD8" si="2">SUM(S5:S5)</f>
        <v>0</v>
      </c>
      <c r="T8" s="38">
        <f t="shared" si="2"/>
        <v>0</v>
      </c>
      <c r="U8" s="38">
        <f t="shared" si="2"/>
        <v>0</v>
      </c>
      <c r="V8" s="38">
        <f t="shared" si="2"/>
        <v>0</v>
      </c>
      <c r="W8" s="38">
        <f t="shared" si="2"/>
        <v>0</v>
      </c>
      <c r="X8" s="38">
        <f t="shared" si="2"/>
        <v>0</v>
      </c>
      <c r="Y8" s="38">
        <f t="shared" si="2"/>
        <v>0</v>
      </c>
      <c r="Z8" s="38">
        <f t="shared" si="2"/>
        <v>0</v>
      </c>
      <c r="AA8" s="38">
        <f t="shared" si="2"/>
        <v>0</v>
      </c>
      <c r="AB8" s="38">
        <f t="shared" si="2"/>
        <v>0</v>
      </c>
      <c r="AC8" s="38">
        <f t="shared" si="2"/>
        <v>0</v>
      </c>
      <c r="AD8" s="38">
        <f t="shared" si="2"/>
        <v>0</v>
      </c>
      <c r="AF8" s="38">
        <f>SUM(AF5:AF5)</f>
        <v>0</v>
      </c>
      <c r="AH8" s="38">
        <f t="shared" ref="AH8:AZ8" si="3">SUM(AH5:AH5)</f>
        <v>0</v>
      </c>
      <c r="AI8" s="38">
        <f t="shared" si="3"/>
        <v>0</v>
      </c>
      <c r="AJ8" s="38">
        <f t="shared" si="3"/>
        <v>0</v>
      </c>
      <c r="AK8" s="38">
        <f t="shared" si="3"/>
        <v>0</v>
      </c>
      <c r="AL8" s="38">
        <f t="shared" si="3"/>
        <v>0</v>
      </c>
      <c r="AM8" s="38">
        <f t="shared" si="3"/>
        <v>0</v>
      </c>
      <c r="AN8" s="38">
        <f t="shared" si="3"/>
        <v>0</v>
      </c>
      <c r="AO8" s="38">
        <f t="shared" si="3"/>
        <v>0</v>
      </c>
      <c r="AP8" s="38">
        <f t="shared" si="3"/>
        <v>0</v>
      </c>
      <c r="AQ8" s="38">
        <f t="shared" si="3"/>
        <v>0</v>
      </c>
      <c r="AR8" s="38">
        <f t="shared" si="3"/>
        <v>0</v>
      </c>
      <c r="AS8" s="38">
        <f t="shared" si="3"/>
        <v>0</v>
      </c>
      <c r="AT8" s="38">
        <f t="shared" si="3"/>
        <v>0</v>
      </c>
      <c r="AU8" s="38">
        <f t="shared" si="3"/>
        <v>0</v>
      </c>
      <c r="AV8" s="38">
        <f t="shared" si="3"/>
        <v>0</v>
      </c>
      <c r="AW8" s="38">
        <f t="shared" si="3"/>
        <v>0</v>
      </c>
      <c r="AX8" s="38">
        <f t="shared" si="3"/>
        <v>0</v>
      </c>
      <c r="AY8" s="38">
        <f t="shared" si="3"/>
        <v>0</v>
      </c>
      <c r="AZ8" s="38">
        <f t="shared" si="3"/>
        <v>0</v>
      </c>
      <c r="BB8" s="38">
        <f t="shared" ref="BB8:CV8" si="4">SUM(BB5:BB5)</f>
        <v>0</v>
      </c>
      <c r="BC8" s="38">
        <f t="shared" si="4"/>
        <v>0</v>
      </c>
      <c r="BD8" s="38">
        <f t="shared" si="4"/>
        <v>0</v>
      </c>
      <c r="BE8" s="38">
        <f t="shared" si="4"/>
        <v>0</v>
      </c>
      <c r="BF8" s="38">
        <f t="shared" si="4"/>
        <v>0</v>
      </c>
      <c r="BG8" s="38">
        <f t="shared" si="4"/>
        <v>0</v>
      </c>
      <c r="BH8" s="38">
        <f t="shared" si="4"/>
        <v>0</v>
      </c>
      <c r="BI8" s="38">
        <f t="shared" si="4"/>
        <v>0</v>
      </c>
      <c r="BJ8" s="38">
        <f t="shared" si="4"/>
        <v>0</v>
      </c>
      <c r="BK8" s="38">
        <f t="shared" si="4"/>
        <v>0</v>
      </c>
      <c r="BL8" s="38">
        <f t="shared" si="4"/>
        <v>0</v>
      </c>
      <c r="BM8" s="38">
        <f t="shared" si="4"/>
        <v>0</v>
      </c>
      <c r="BN8" s="38">
        <f t="shared" si="4"/>
        <v>0</v>
      </c>
      <c r="BO8" s="38">
        <f t="shared" si="4"/>
        <v>0</v>
      </c>
      <c r="BP8" s="38">
        <f t="shared" si="4"/>
        <v>0</v>
      </c>
      <c r="BQ8" s="38">
        <f t="shared" si="4"/>
        <v>0</v>
      </c>
      <c r="BR8" s="38">
        <f t="shared" si="4"/>
        <v>0</v>
      </c>
      <c r="BS8" s="38">
        <f t="shared" si="4"/>
        <v>0</v>
      </c>
      <c r="BT8" s="38">
        <f t="shared" si="4"/>
        <v>0</v>
      </c>
      <c r="BU8" s="38">
        <f t="shared" si="4"/>
        <v>0</v>
      </c>
      <c r="BV8" s="38">
        <f t="shared" si="4"/>
        <v>0</v>
      </c>
      <c r="BW8" s="38">
        <f t="shared" si="4"/>
        <v>0</v>
      </c>
      <c r="BX8" s="38">
        <f t="shared" si="4"/>
        <v>0</v>
      </c>
      <c r="BY8" s="38">
        <f t="shared" si="4"/>
        <v>0</v>
      </c>
      <c r="BZ8" s="38">
        <f t="shared" si="4"/>
        <v>0</v>
      </c>
      <c r="CA8" s="38">
        <f t="shared" si="4"/>
        <v>0</v>
      </c>
      <c r="CB8" s="38">
        <f t="shared" si="4"/>
        <v>0</v>
      </c>
      <c r="CC8" s="38">
        <f t="shared" si="4"/>
        <v>0</v>
      </c>
      <c r="CD8" s="38">
        <f t="shared" si="4"/>
        <v>0</v>
      </c>
      <c r="CE8" s="38">
        <f t="shared" si="4"/>
        <v>0</v>
      </c>
      <c r="CF8" s="38">
        <f t="shared" si="4"/>
        <v>0</v>
      </c>
      <c r="CG8" s="38">
        <f t="shared" si="4"/>
        <v>0</v>
      </c>
      <c r="CH8" s="38">
        <f t="shared" si="4"/>
        <v>0</v>
      </c>
      <c r="CI8" s="38">
        <f t="shared" si="4"/>
        <v>0</v>
      </c>
      <c r="CJ8" s="38">
        <f t="shared" si="4"/>
        <v>0</v>
      </c>
      <c r="CK8" s="38">
        <f t="shared" si="4"/>
        <v>0</v>
      </c>
      <c r="CL8" s="38">
        <f t="shared" si="4"/>
        <v>0</v>
      </c>
      <c r="CM8" s="38">
        <f t="shared" si="4"/>
        <v>0</v>
      </c>
      <c r="CN8" s="38">
        <f t="shared" si="4"/>
        <v>0</v>
      </c>
      <c r="CO8" s="38">
        <f t="shared" si="4"/>
        <v>0</v>
      </c>
      <c r="CP8" s="38">
        <f t="shared" si="4"/>
        <v>0</v>
      </c>
      <c r="CQ8" s="38">
        <f t="shared" si="4"/>
        <v>0</v>
      </c>
      <c r="CR8" s="38">
        <f t="shared" si="4"/>
        <v>0</v>
      </c>
      <c r="CS8" s="38">
        <f t="shared" si="4"/>
        <v>0</v>
      </c>
      <c r="CT8" s="38">
        <f t="shared" si="4"/>
        <v>0</v>
      </c>
      <c r="CU8" s="38">
        <f t="shared" si="4"/>
        <v>0</v>
      </c>
      <c r="CV8" s="38">
        <f t="shared" si="4"/>
        <v>0</v>
      </c>
      <c r="CW8" s="40"/>
    </row>
    <row r="9" spans="1:103" customFormat="1" ht="15" x14ac:dyDescent="0.25"/>
    <row r="10" spans="1:103" customFormat="1" ht="15" x14ac:dyDescent="0.25">
      <c r="A10" s="41" t="str">
        <f>E5</f>
        <v>QUEEN-V PERSIHABLE FOOD DELIVERY SERVICES</v>
      </c>
      <c r="B10" s="42"/>
      <c r="C10" s="43"/>
      <c r="D10" s="44"/>
      <c r="E10" s="44"/>
      <c r="F10" s="45"/>
      <c r="G10" s="46"/>
      <c r="H10" s="47"/>
      <c r="I10" s="48"/>
      <c r="J10" s="49"/>
      <c r="K10" s="50"/>
      <c r="L10" s="51"/>
      <c r="M10" s="52"/>
      <c r="N10" s="53"/>
      <c r="O10" s="54"/>
      <c r="P10" s="55"/>
    </row>
    <row r="11" spans="1:103" customFormat="1" ht="15" x14ac:dyDescent="0.25">
      <c r="A11" s="56"/>
      <c r="B11" s="57"/>
      <c r="C11" s="58"/>
      <c r="D11" s="59" t="s">
        <v>112</v>
      </c>
      <c r="E11" s="59" t="s">
        <v>113</v>
      </c>
      <c r="F11" s="60" t="s">
        <v>114</v>
      </c>
      <c r="G11" s="61"/>
      <c r="H11" s="62"/>
      <c r="I11" s="63"/>
      <c r="J11" s="64"/>
      <c r="K11" s="1"/>
      <c r="L11" s="65"/>
      <c r="M11" s="66"/>
      <c r="N11" s="67"/>
      <c r="O11" s="68"/>
      <c r="P11" s="69"/>
    </row>
    <row r="12" spans="1:103" customFormat="1" ht="13.5" customHeight="1" x14ac:dyDescent="0.25">
      <c r="A12" s="70" t="s">
        <v>151</v>
      </c>
      <c r="B12" s="71"/>
      <c r="C12" s="72"/>
      <c r="D12" s="73">
        <f>R8</f>
        <v>3007.0225</v>
      </c>
      <c r="E12" s="74"/>
      <c r="F12" s="75" t="str">
        <f>"In payment for 15 classic white bread, 15 high fiber wheat bread, and 10 premium pandesal for bar using housefund received on " &amp; TEXT(A5, "mmmm dd, yyyy") &amp; " with SI#0012474 PR#30098 RR#" &amp; " CPO#" &amp;B5</f>
        <v>In payment for 15 classic white bread, 15 high fiber wheat bread, and 10 premium pandesal for bar using housefund received on August 09, 2025 with SI#0012474 PR#30098 RR# CPO#18964</v>
      </c>
      <c r="G12" s="76"/>
      <c r="H12" s="77"/>
      <c r="I12" s="77"/>
      <c r="J12" s="76"/>
      <c r="K12" s="1"/>
      <c r="L12" s="65"/>
      <c r="M12" s="78"/>
      <c r="N12" s="79"/>
      <c r="O12" s="80"/>
      <c r="P12" s="81"/>
    </row>
    <row r="13" spans="1:103" customFormat="1" ht="15" x14ac:dyDescent="0.25">
      <c r="A13" s="70" t="s">
        <v>115</v>
      </c>
      <c r="B13" s="71"/>
      <c r="C13" s="72"/>
      <c r="D13" s="73">
        <f>Q8</f>
        <v>0</v>
      </c>
      <c r="E13" s="74"/>
      <c r="F13" s="64" t="str">
        <f>"Recording input VAT for expenses and purchases made using house fund for " &amp; TEXT(A5, "mmmm dd, yyyy")</f>
        <v>Recording input VAT for expenses and purchases made using house fund for August 09,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 t="s">
        <v>116</v>
      </c>
      <c r="B14" s="86"/>
      <c r="C14" s="87"/>
      <c r="D14" s="88"/>
      <c r="E14" s="74">
        <f>P8</f>
        <v>29.772500000000001</v>
      </c>
      <c r="F14" s="89" t="str">
        <f>"Recording the tax withheld for expenses and purchases using the house fund received on " &amp; TEXT(A5, "mmmm dd, yyyy")</f>
        <v>Recording the tax withheld for expenses and purchases using the house fund received on August 09,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70" t="s">
        <v>117</v>
      </c>
      <c r="B15" s="86"/>
      <c r="C15" s="87"/>
      <c r="D15" s="90"/>
      <c r="E15" s="91">
        <f>M8</f>
        <v>2977.25</v>
      </c>
      <c r="F15" s="89" t="str">
        <f>"Recording house fund expenses for replenishment on " &amp; TEXT(A5, "mmmm dd, yyyy")</f>
        <v>Recording house fund expenses for replenishment on August 09, 2025</v>
      </c>
      <c r="G15" s="82"/>
      <c r="H15" s="83"/>
      <c r="I15" s="84"/>
      <c r="J15" s="82"/>
      <c r="K15" s="1"/>
      <c r="L15" s="65"/>
      <c r="M15" s="66"/>
      <c r="N15" s="67"/>
      <c r="O15" s="68"/>
      <c r="P15" s="69"/>
    </row>
    <row r="16" spans="1:103" customFormat="1" ht="15" x14ac:dyDescent="0.25">
      <c r="A16" s="85"/>
      <c r="B16" s="86"/>
      <c r="C16" s="87"/>
      <c r="D16" s="88">
        <f>SUM(D12:D13)</f>
        <v>3007.0225</v>
      </c>
      <c r="E16" s="88">
        <f>SUM(E12:E15)</f>
        <v>3007.0225</v>
      </c>
      <c r="F16" s="92"/>
      <c r="G16" s="92"/>
      <c r="H16" s="93"/>
      <c r="I16" s="94"/>
      <c r="J16" s="92"/>
      <c r="K16" s="1"/>
      <c r="L16" s="65"/>
      <c r="M16" s="66"/>
      <c r="N16" s="67"/>
      <c r="O16" s="68"/>
      <c r="P16" s="69"/>
    </row>
    <row r="17" spans="1:16" customFormat="1" ht="15" x14ac:dyDescent="0.25">
      <c r="A17" s="95" t="s">
        <v>118</v>
      </c>
      <c r="B17" s="96" t="str">
        <f>"To record house fund expenses on " &amp; TEXT(A5, "mmmm dd, yyyy") &amp; " with PCV#" &amp; C5</f>
        <v>To record house fund expenses on August 09, 2025 with PCV#20872</v>
      </c>
      <c r="C17" s="97"/>
      <c r="D17" s="98"/>
      <c r="E17" s="98"/>
      <c r="F17" s="98"/>
      <c r="G17" s="92"/>
      <c r="H17" s="93"/>
      <c r="I17" s="94"/>
      <c r="J17" s="92"/>
      <c r="K17" s="1"/>
      <c r="L17" s="65"/>
      <c r="M17" s="66"/>
      <c r="N17" s="67"/>
      <c r="O17" s="68"/>
      <c r="P17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33116-F040-4E41-B3C7-AE75006A29DD}">
  <sheetPr>
    <tabColor rgb="FFFFC0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45878</v>
      </c>
      <c r="B5" s="3" t="s">
        <v>196</v>
      </c>
      <c r="C5" s="4" t="s">
        <v>500</v>
      </c>
      <c r="D5" s="5" t="s">
        <v>122</v>
      </c>
      <c r="E5" s="6" t="s">
        <v>197</v>
      </c>
      <c r="F5" s="7" t="s">
        <v>198</v>
      </c>
      <c r="G5" s="8" t="s">
        <v>199</v>
      </c>
      <c r="H5" s="9" t="s">
        <v>200</v>
      </c>
      <c r="I5" s="10" t="s">
        <v>404</v>
      </c>
      <c r="J5" s="11" t="s">
        <v>201</v>
      </c>
      <c r="K5" s="12">
        <v>20</v>
      </c>
      <c r="L5" s="13">
        <v>45.5</v>
      </c>
      <c r="M5" s="14">
        <f t="shared" ref="M5" si="0">L5*K5</f>
        <v>910</v>
      </c>
      <c r="N5" s="15"/>
      <c r="O5" s="16" t="s">
        <v>111</v>
      </c>
      <c r="P5" s="17">
        <f>M5/1.12*0.01</f>
        <v>8.1249999999999982</v>
      </c>
      <c r="Q5" s="18">
        <f>M5/1.12*0.12</f>
        <v>97.499999999999986</v>
      </c>
      <c r="R5" s="17">
        <f>M5+P5-Q5</f>
        <v>820.625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910</v>
      </c>
      <c r="N6" s="38">
        <f>M6</f>
        <v>910</v>
      </c>
      <c r="O6" s="39" t="s">
        <v>111</v>
      </c>
      <c r="P6" s="38">
        <f>SUM(P5:P5)</f>
        <v>8.1249999999999982</v>
      </c>
      <c r="Q6" s="38">
        <f>SUM(Q5:Q5)</f>
        <v>97.499999999999986</v>
      </c>
      <c r="R6" s="38">
        <f>SUM(R5:R5)</f>
        <v>820.625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SAVEMORE MARIBAGO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820.625</v>
      </c>
      <c r="E10" s="74"/>
      <c r="F10" s="75" t="str">
        <f>"In payment for 20 alaska all purpose cream for storeroom using housefund received on " &amp; TEXT(A5, "mmmm dd, yyyy") &amp; " with SI#03-00307397 PR#30524 RR#" &amp; " CPO#" &amp;B5</f>
        <v>In payment for 20 alaska all purpose cream for storeroom using housefund received on August 09, 2025 with SI#03-00307397 PR#30524 RR# CPO#18965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97.499999999999986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09,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8.1249999999999982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09,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910</v>
      </c>
      <c r="F13" s="89" t="str">
        <f>"Recording house fund expenses for replenishment on " &amp; TEXT(A5, "mmmm dd, yyyy")</f>
        <v>Recording house fund expenses for replenishment on August 09,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918.125</v>
      </c>
      <c r="E14" s="88">
        <f>SUM(E10:E13)</f>
        <v>918.125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09, 2025 with PCV#20873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78DF7-C807-4D8B-8E73-07F426801514}">
  <sheetPr>
    <tabColor rgb="FFFFC000"/>
  </sheetPr>
  <dimension ref="A1:CY17"/>
  <sheetViews>
    <sheetView workbookViewId="0">
      <selection activeCell="A5" sqref="A5:XFD8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10.85546875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45882</v>
      </c>
      <c r="B5" s="3" t="s">
        <v>256</v>
      </c>
      <c r="C5" s="4" t="s">
        <v>501</v>
      </c>
      <c r="D5" s="5" t="s">
        <v>122</v>
      </c>
      <c r="E5" s="6" t="s">
        <v>257</v>
      </c>
      <c r="F5" s="7" t="s">
        <v>258</v>
      </c>
      <c r="G5" s="8" t="s">
        <v>259</v>
      </c>
      <c r="H5" s="9">
        <v>100287488</v>
      </c>
      <c r="I5" s="10" t="s">
        <v>405</v>
      </c>
      <c r="J5" s="11" t="s">
        <v>260</v>
      </c>
      <c r="K5" s="12">
        <v>2</v>
      </c>
      <c r="L5" s="13">
        <v>900</v>
      </c>
      <c r="M5" s="14">
        <f>L5*K5</f>
        <v>1800</v>
      </c>
      <c r="N5" s="15"/>
      <c r="O5" s="16" t="s">
        <v>111</v>
      </c>
      <c r="P5" s="17">
        <f>M5/1.12*0.01</f>
        <v>16.071428571428569</v>
      </c>
      <c r="Q5" s="18">
        <f>M5/1.12*0.12</f>
        <v>192.85714285714283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>
        <f>M5+P5-Q5</f>
        <v>1623.2142857142858</v>
      </c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261</v>
      </c>
      <c r="K6" s="12">
        <v>0</v>
      </c>
      <c r="L6" s="13">
        <v>0</v>
      </c>
      <c r="M6" s="14">
        <f t="shared" ref="M6:M7" si="0">L6*K6</f>
        <v>0</v>
      </c>
      <c r="N6" s="15"/>
      <c r="O6" s="16" t="s">
        <v>111</v>
      </c>
      <c r="P6" s="17"/>
      <c r="Q6" s="18"/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>
        <f>M6+P6-Q6</f>
        <v>0</v>
      </c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5" customFormat="1" x14ac:dyDescent="0.2">
      <c r="A7" s="2"/>
      <c r="B7" s="3"/>
      <c r="C7" s="4"/>
      <c r="E7" s="6"/>
      <c r="F7" s="7"/>
      <c r="G7" s="8"/>
      <c r="H7" s="9"/>
      <c r="I7" s="10"/>
      <c r="J7" s="11" t="s">
        <v>262</v>
      </c>
      <c r="K7" s="12">
        <v>0</v>
      </c>
      <c r="L7" s="13">
        <v>0</v>
      </c>
      <c r="M7" s="14">
        <f t="shared" si="0"/>
        <v>0</v>
      </c>
      <c r="N7" s="15"/>
      <c r="O7" s="16" t="s">
        <v>111</v>
      </c>
      <c r="P7" s="17"/>
      <c r="Q7" s="18"/>
      <c r="S7" s="19"/>
      <c r="T7" s="19"/>
      <c r="U7" s="19"/>
      <c r="V7" s="19"/>
      <c r="W7" s="17"/>
      <c r="X7" s="20"/>
      <c r="Y7" s="19"/>
      <c r="Z7" s="19"/>
      <c r="AA7" s="19"/>
      <c r="AB7" s="19"/>
      <c r="AC7" s="19"/>
      <c r="AD7" s="19"/>
      <c r="AF7" s="19"/>
      <c r="AH7" s="17">
        <f>M7+P7-Q7</f>
        <v>0</v>
      </c>
      <c r="AI7" s="19"/>
      <c r="AJ7" s="19"/>
      <c r="AK7" s="19"/>
      <c r="AL7" s="19"/>
      <c r="AM7" s="17"/>
      <c r="AN7" s="19"/>
      <c r="AO7" s="19"/>
      <c r="AP7" s="19"/>
      <c r="AQ7" s="19"/>
      <c r="AR7" s="19"/>
      <c r="AS7" s="21"/>
      <c r="AU7" s="19"/>
      <c r="AW7" s="22"/>
      <c r="AX7" s="19"/>
      <c r="AZ7" s="19"/>
      <c r="BC7" s="19"/>
      <c r="BD7" s="19"/>
      <c r="BE7" s="19"/>
      <c r="BF7" s="19"/>
      <c r="BG7" s="19"/>
      <c r="BH7" s="19"/>
      <c r="BI7" s="19"/>
      <c r="BJ7" s="19"/>
      <c r="BK7" s="13"/>
      <c r="BN7" s="19"/>
      <c r="BO7" s="17"/>
      <c r="BP7" s="19"/>
      <c r="BQ7" s="17"/>
      <c r="BR7" s="19"/>
      <c r="BS7" s="13"/>
      <c r="BU7" s="23"/>
      <c r="BV7" s="23"/>
      <c r="BW7" s="24"/>
      <c r="CA7" s="24"/>
      <c r="CB7" s="24"/>
      <c r="CC7" s="24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25"/>
      <c r="CW7" s="26"/>
    </row>
    <row r="8" spans="1:103" s="30" customFormat="1" ht="11.25" x14ac:dyDescent="0.2">
      <c r="A8" s="27"/>
      <c r="B8" s="28"/>
      <c r="C8" s="29"/>
      <c r="E8" s="31"/>
      <c r="F8" s="32"/>
      <c r="G8" s="33"/>
      <c r="H8" s="34"/>
      <c r="I8" s="34"/>
      <c r="J8" s="35"/>
      <c r="K8" s="36"/>
      <c r="L8" s="37"/>
      <c r="M8" s="38">
        <f>SUM(M5:M5)</f>
        <v>1800</v>
      </c>
      <c r="N8" s="38">
        <f>M8</f>
        <v>1800</v>
      </c>
      <c r="O8" s="39" t="s">
        <v>111</v>
      </c>
      <c r="P8" s="38">
        <f>SUM(P5:P5)</f>
        <v>16.071428571428569</v>
      </c>
      <c r="Q8" s="38">
        <f>SUM(Q5:Q5)</f>
        <v>192.85714285714283</v>
      </c>
      <c r="S8" s="38">
        <f t="shared" ref="S8:AD8" si="1">SUM(S5:S5)</f>
        <v>0</v>
      </c>
      <c r="T8" s="38">
        <f t="shared" si="1"/>
        <v>0</v>
      </c>
      <c r="U8" s="38">
        <f t="shared" si="1"/>
        <v>0</v>
      </c>
      <c r="V8" s="38">
        <f t="shared" si="1"/>
        <v>0</v>
      </c>
      <c r="W8" s="38">
        <f t="shared" si="1"/>
        <v>0</v>
      </c>
      <c r="X8" s="38">
        <f t="shared" si="1"/>
        <v>0</v>
      </c>
      <c r="Y8" s="38">
        <f t="shared" si="1"/>
        <v>0</v>
      </c>
      <c r="Z8" s="38">
        <f t="shared" si="1"/>
        <v>0</v>
      </c>
      <c r="AA8" s="38">
        <f t="shared" si="1"/>
        <v>0</v>
      </c>
      <c r="AB8" s="38">
        <f t="shared" si="1"/>
        <v>0</v>
      </c>
      <c r="AC8" s="38">
        <f t="shared" si="1"/>
        <v>0</v>
      </c>
      <c r="AD8" s="38">
        <f t="shared" si="1"/>
        <v>0</v>
      </c>
      <c r="AF8" s="38">
        <f>SUM(AF5:AF5)</f>
        <v>0</v>
      </c>
      <c r="AH8" s="38">
        <f>SUM(AH5:AH5)</f>
        <v>1623.2142857142858</v>
      </c>
      <c r="AI8" s="38">
        <f t="shared" ref="AI8:AZ8" si="2">SUM(AI5:AI5)</f>
        <v>0</v>
      </c>
      <c r="AJ8" s="38">
        <f t="shared" si="2"/>
        <v>0</v>
      </c>
      <c r="AK8" s="38">
        <f t="shared" si="2"/>
        <v>0</v>
      </c>
      <c r="AL8" s="38">
        <f t="shared" si="2"/>
        <v>0</v>
      </c>
      <c r="AM8" s="38">
        <f t="shared" si="2"/>
        <v>0</v>
      </c>
      <c r="AN8" s="38">
        <f t="shared" si="2"/>
        <v>0</v>
      </c>
      <c r="AO8" s="38">
        <f t="shared" si="2"/>
        <v>0</v>
      </c>
      <c r="AP8" s="38">
        <f t="shared" si="2"/>
        <v>0</v>
      </c>
      <c r="AQ8" s="38">
        <f t="shared" si="2"/>
        <v>0</v>
      </c>
      <c r="AR8" s="38">
        <f t="shared" si="2"/>
        <v>0</v>
      </c>
      <c r="AS8" s="38">
        <f t="shared" si="2"/>
        <v>0</v>
      </c>
      <c r="AT8" s="38">
        <f t="shared" si="2"/>
        <v>0</v>
      </c>
      <c r="AU8" s="38">
        <f t="shared" si="2"/>
        <v>0</v>
      </c>
      <c r="AV8" s="38">
        <f t="shared" si="2"/>
        <v>0</v>
      </c>
      <c r="AW8" s="38">
        <f t="shared" si="2"/>
        <v>0</v>
      </c>
      <c r="AX8" s="38">
        <f t="shared" si="2"/>
        <v>0</v>
      </c>
      <c r="AY8" s="38">
        <f t="shared" si="2"/>
        <v>0</v>
      </c>
      <c r="AZ8" s="38">
        <f t="shared" si="2"/>
        <v>0</v>
      </c>
      <c r="BB8" s="38">
        <f t="shared" ref="BB8:CV8" si="3">SUM(BB5:BB5)</f>
        <v>0</v>
      </c>
      <c r="BC8" s="38">
        <f t="shared" si="3"/>
        <v>0</v>
      </c>
      <c r="BD8" s="38">
        <f t="shared" si="3"/>
        <v>0</v>
      </c>
      <c r="BE8" s="38">
        <f t="shared" si="3"/>
        <v>0</v>
      </c>
      <c r="BF8" s="38">
        <f t="shared" si="3"/>
        <v>0</v>
      </c>
      <c r="BG8" s="38">
        <f t="shared" si="3"/>
        <v>0</v>
      </c>
      <c r="BH8" s="38">
        <f t="shared" si="3"/>
        <v>0</v>
      </c>
      <c r="BI8" s="38">
        <f t="shared" si="3"/>
        <v>0</v>
      </c>
      <c r="BJ8" s="38">
        <f t="shared" si="3"/>
        <v>0</v>
      </c>
      <c r="BK8" s="38">
        <f t="shared" si="3"/>
        <v>0</v>
      </c>
      <c r="BL8" s="38">
        <f t="shared" si="3"/>
        <v>0</v>
      </c>
      <c r="BM8" s="38">
        <f t="shared" si="3"/>
        <v>0</v>
      </c>
      <c r="BN8" s="38">
        <f t="shared" si="3"/>
        <v>0</v>
      </c>
      <c r="BO8" s="38">
        <f t="shared" si="3"/>
        <v>0</v>
      </c>
      <c r="BP8" s="38">
        <f t="shared" si="3"/>
        <v>0</v>
      </c>
      <c r="BQ8" s="38">
        <f t="shared" si="3"/>
        <v>0</v>
      </c>
      <c r="BR8" s="38">
        <f t="shared" si="3"/>
        <v>0</v>
      </c>
      <c r="BS8" s="38">
        <f t="shared" si="3"/>
        <v>0</v>
      </c>
      <c r="BT8" s="38">
        <f t="shared" si="3"/>
        <v>0</v>
      </c>
      <c r="BU8" s="38">
        <f t="shared" si="3"/>
        <v>0</v>
      </c>
      <c r="BV8" s="38">
        <f t="shared" si="3"/>
        <v>0</v>
      </c>
      <c r="BW8" s="38">
        <f t="shared" si="3"/>
        <v>0</v>
      </c>
      <c r="BX8" s="38">
        <f t="shared" si="3"/>
        <v>0</v>
      </c>
      <c r="BY8" s="38">
        <f t="shared" si="3"/>
        <v>0</v>
      </c>
      <c r="BZ8" s="38">
        <f t="shared" si="3"/>
        <v>0</v>
      </c>
      <c r="CA8" s="38">
        <f t="shared" si="3"/>
        <v>0</v>
      </c>
      <c r="CB8" s="38">
        <f t="shared" si="3"/>
        <v>0</v>
      </c>
      <c r="CC8" s="38">
        <f t="shared" si="3"/>
        <v>0</v>
      </c>
      <c r="CD8" s="38">
        <f t="shared" si="3"/>
        <v>0</v>
      </c>
      <c r="CE8" s="38">
        <f t="shared" si="3"/>
        <v>0</v>
      </c>
      <c r="CF8" s="38">
        <f t="shared" si="3"/>
        <v>0</v>
      </c>
      <c r="CG8" s="38">
        <f t="shared" si="3"/>
        <v>0</v>
      </c>
      <c r="CH8" s="38">
        <f t="shared" si="3"/>
        <v>0</v>
      </c>
      <c r="CI8" s="38">
        <f t="shared" si="3"/>
        <v>0</v>
      </c>
      <c r="CJ8" s="38">
        <f t="shared" si="3"/>
        <v>0</v>
      </c>
      <c r="CK8" s="38">
        <f t="shared" si="3"/>
        <v>0</v>
      </c>
      <c r="CL8" s="38">
        <f t="shared" si="3"/>
        <v>0</v>
      </c>
      <c r="CM8" s="38">
        <f t="shared" si="3"/>
        <v>0</v>
      </c>
      <c r="CN8" s="38">
        <f t="shared" si="3"/>
        <v>0</v>
      </c>
      <c r="CO8" s="38">
        <f t="shared" si="3"/>
        <v>0</v>
      </c>
      <c r="CP8" s="38">
        <f t="shared" si="3"/>
        <v>0</v>
      </c>
      <c r="CQ8" s="38">
        <f t="shared" si="3"/>
        <v>0</v>
      </c>
      <c r="CR8" s="38">
        <f t="shared" si="3"/>
        <v>0</v>
      </c>
      <c r="CS8" s="38">
        <f t="shared" si="3"/>
        <v>0</v>
      </c>
      <c r="CT8" s="38">
        <f t="shared" si="3"/>
        <v>0</v>
      </c>
      <c r="CU8" s="38">
        <f t="shared" si="3"/>
        <v>0</v>
      </c>
      <c r="CV8" s="38">
        <f t="shared" si="3"/>
        <v>0</v>
      </c>
      <c r="CW8" s="40"/>
    </row>
    <row r="9" spans="1:103" customFormat="1" ht="15" x14ac:dyDescent="0.25"/>
    <row r="10" spans="1:103" customFormat="1" ht="15" x14ac:dyDescent="0.25">
      <c r="A10" s="41" t="str">
        <f>E5</f>
        <v>WILCON DEPOT, INC.</v>
      </c>
      <c r="B10" s="42"/>
      <c r="C10" s="43"/>
      <c r="D10" s="44"/>
      <c r="E10" s="44"/>
      <c r="F10" s="45"/>
      <c r="G10" s="46"/>
      <c r="H10" s="47"/>
      <c r="I10" s="48"/>
      <c r="J10" s="49"/>
      <c r="K10" s="50"/>
      <c r="L10" s="51"/>
      <c r="M10" s="52"/>
      <c r="N10" s="53"/>
      <c r="O10" s="54"/>
      <c r="P10" s="55"/>
    </row>
    <row r="11" spans="1:103" customFormat="1" ht="15" x14ac:dyDescent="0.25">
      <c r="A11" s="56"/>
      <c r="B11" s="57"/>
      <c r="C11" s="58"/>
      <c r="D11" s="59" t="s">
        <v>112</v>
      </c>
      <c r="E11" s="59" t="s">
        <v>113</v>
      </c>
      <c r="F11" s="60" t="s">
        <v>114</v>
      </c>
      <c r="G11" s="61"/>
      <c r="H11" s="62"/>
      <c r="I11" s="63"/>
      <c r="J11" s="64"/>
      <c r="K11" s="1"/>
      <c r="L11" s="65"/>
      <c r="M11" s="66"/>
      <c r="N11" s="67"/>
      <c r="O11" s="68"/>
      <c r="P11" s="69"/>
    </row>
    <row r="12" spans="1:103" customFormat="1" ht="13.5" customHeight="1" x14ac:dyDescent="0.25">
      <c r="A12" s="70" t="s">
        <v>263</v>
      </c>
      <c r="B12" s="71"/>
      <c r="C12" s="72"/>
      <c r="D12" s="73">
        <f>AH8</f>
        <v>1623.2142857142858</v>
      </c>
      <c r="E12" s="74"/>
      <c r="F12" s="75" t="str">
        <f>"In payment for 2pc shower head for room 302 and 202 using housefund received on " &amp; TEXT(A5, "mmmm dd, yyyy") &amp; " with SI#100287488 PR#29996 RR#" &amp; " CPO#" &amp;B5</f>
        <v>In payment for 2pc shower head for room 302 and 202 using housefund received on August 13, 2025 with SI#100287488 PR#29996 RR# CPO#18967</v>
      </c>
      <c r="G12" s="76"/>
      <c r="H12" s="77"/>
      <c r="I12" s="77"/>
      <c r="J12" s="76"/>
      <c r="K12" s="1"/>
      <c r="L12" s="65"/>
      <c r="M12" s="78"/>
      <c r="N12" s="79"/>
      <c r="O12" s="80"/>
      <c r="P12" s="81"/>
    </row>
    <row r="13" spans="1:103" customFormat="1" ht="15" x14ac:dyDescent="0.25">
      <c r="A13" s="70" t="s">
        <v>115</v>
      </c>
      <c r="B13" s="71"/>
      <c r="C13" s="72"/>
      <c r="D13" s="73">
        <f>Q8</f>
        <v>192.85714285714283</v>
      </c>
      <c r="E13" s="74"/>
      <c r="F13" s="64" t="str">
        <f>"Recording input VAT for expenses and purchases made using house fund for " &amp; TEXT(A5, "mmmm dd, yyyy")</f>
        <v>Recording input VAT for expenses and purchases made using house fund for August 13,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 t="s">
        <v>116</v>
      </c>
      <c r="B14" s="86"/>
      <c r="C14" s="87"/>
      <c r="D14" s="88"/>
      <c r="E14" s="74">
        <f>P8</f>
        <v>16.071428571428569</v>
      </c>
      <c r="F14" s="89" t="str">
        <f>"Recording the tax withheld for expenses and purchases using the house fund received on " &amp; TEXT(A5, "mmmm dd, yyyy")</f>
        <v>Recording the tax withheld for expenses and purchases using the house fund received on August 13,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70" t="s">
        <v>117</v>
      </c>
      <c r="B15" s="86"/>
      <c r="C15" s="87"/>
      <c r="D15" s="90"/>
      <c r="E15" s="91">
        <f>M8</f>
        <v>1800</v>
      </c>
      <c r="F15" s="89" t="str">
        <f>"Recording house fund expenses for replenishment on " &amp; TEXT(A5, "mmmm dd, yyyy")</f>
        <v>Recording house fund expenses for replenishment on August 13, 2025</v>
      </c>
      <c r="G15" s="82"/>
      <c r="H15" s="83"/>
      <c r="I15" s="84"/>
      <c r="J15" s="82"/>
      <c r="K15" s="1"/>
      <c r="L15" s="65"/>
      <c r="M15" s="66"/>
      <c r="N15" s="67"/>
      <c r="O15" s="68"/>
      <c r="P15" s="69"/>
    </row>
    <row r="16" spans="1:103" customFormat="1" ht="15" x14ac:dyDescent="0.25">
      <c r="A16" s="85"/>
      <c r="B16" s="86"/>
      <c r="C16" s="87"/>
      <c r="D16" s="88">
        <f>SUM(D12:D13)</f>
        <v>1816.0714285714287</v>
      </c>
      <c r="E16" s="88">
        <f>SUM(E12:E15)</f>
        <v>1816.0714285714287</v>
      </c>
      <c r="F16" s="92"/>
      <c r="G16" s="92"/>
      <c r="H16" s="93"/>
      <c r="I16" s="94"/>
      <c r="J16" s="92"/>
      <c r="K16" s="1"/>
      <c r="L16" s="65"/>
      <c r="M16" s="66"/>
      <c r="N16" s="67"/>
      <c r="O16" s="68"/>
      <c r="P16" s="69"/>
    </row>
    <row r="17" spans="1:16" customFormat="1" ht="15" x14ac:dyDescent="0.25">
      <c r="A17" s="95" t="s">
        <v>118</v>
      </c>
      <c r="B17" s="96" t="str">
        <f>"To record house fund expenses on " &amp; TEXT(A5, "mmmm dd, yyyy") &amp; " with PCV#" &amp; C5</f>
        <v>To record house fund expenses on August 13, 2025 with PCV#20874</v>
      </c>
      <c r="C17" s="97"/>
      <c r="D17" s="98"/>
      <c r="E17" s="98"/>
      <c r="F17" s="98"/>
      <c r="G17" s="92"/>
      <c r="H17" s="93"/>
      <c r="I17" s="94"/>
      <c r="J17" s="92"/>
      <c r="K17" s="1"/>
      <c r="L17" s="65"/>
      <c r="M17" s="66"/>
      <c r="N17" s="67"/>
      <c r="O17" s="68"/>
      <c r="P17" s="69"/>
    </row>
  </sheetData>
  <mergeCells count="48"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</mergeCells>
  <pageMargins left="0.7" right="0.7" top="0.75" bottom="0.75" header="0.3" footer="0.3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919FA-85A9-40CA-A17E-7FC9D55946D5}">
  <sheetPr>
    <tabColor rgb="FFFFC000"/>
  </sheetPr>
  <dimension ref="A1:CY17"/>
  <sheetViews>
    <sheetView workbookViewId="0">
      <selection activeCell="A5" sqref="A5:XFD8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10.85546875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45880</v>
      </c>
      <c r="B5" s="3" t="s">
        <v>256</v>
      </c>
      <c r="C5" s="4" t="s">
        <v>502</v>
      </c>
      <c r="D5" s="5" t="s">
        <v>122</v>
      </c>
      <c r="E5" s="6" t="s">
        <v>264</v>
      </c>
      <c r="F5" s="7" t="s">
        <v>258</v>
      </c>
      <c r="G5" s="8" t="s">
        <v>259</v>
      </c>
      <c r="H5" s="9">
        <v>100287122</v>
      </c>
      <c r="I5" s="10" t="s">
        <v>406</v>
      </c>
      <c r="J5" s="11" t="s">
        <v>267</v>
      </c>
      <c r="K5" s="12">
        <v>3</v>
      </c>
      <c r="L5" s="13">
        <v>412.5</v>
      </c>
      <c r="M5" s="14">
        <f>L5*K5</f>
        <v>1237.5</v>
      </c>
      <c r="N5" s="15"/>
      <c r="O5" s="16" t="s">
        <v>111</v>
      </c>
      <c r="P5" s="17">
        <f>M5/1.12*0.01</f>
        <v>11.049107142857142</v>
      </c>
      <c r="Q5" s="18">
        <f>M5/1.12*0.12</f>
        <v>132.58928571428569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>
        <f>M5+P5-Q5</f>
        <v>1115.9598214285713</v>
      </c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265</v>
      </c>
      <c r="K6" s="12">
        <v>4</v>
      </c>
      <c r="L6" s="13">
        <v>249</v>
      </c>
      <c r="M6" s="14">
        <f t="shared" ref="M6:M7" si="0">L6*K6</f>
        <v>996</v>
      </c>
      <c r="N6" s="15"/>
      <c r="O6" s="16" t="s">
        <v>111</v>
      </c>
      <c r="P6" s="17">
        <f t="shared" ref="P6:P7" si="1">M6/1.12*0.01</f>
        <v>8.8928571428571423</v>
      </c>
      <c r="Q6" s="18">
        <f t="shared" ref="Q6:Q7" si="2">M6/1.12*0.12</f>
        <v>106.71428571428571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>
        <f>M6+P6-Q6</f>
        <v>898.17857142857144</v>
      </c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5" customFormat="1" x14ac:dyDescent="0.2">
      <c r="A7" s="2"/>
      <c r="B7" s="3"/>
      <c r="C7" s="4"/>
      <c r="E7" s="6"/>
      <c r="F7" s="7"/>
      <c r="G7" s="8"/>
      <c r="H7" s="9"/>
      <c r="I7" s="10"/>
      <c r="J7" s="11" t="s">
        <v>268</v>
      </c>
      <c r="K7" s="12">
        <v>2</v>
      </c>
      <c r="L7" s="13">
        <v>1742.5</v>
      </c>
      <c r="M7" s="14">
        <f t="shared" si="0"/>
        <v>3485</v>
      </c>
      <c r="N7" s="15"/>
      <c r="O7" s="16" t="s">
        <v>111</v>
      </c>
      <c r="P7" s="17">
        <f t="shared" si="1"/>
        <v>31.116071428571427</v>
      </c>
      <c r="Q7" s="18">
        <f t="shared" si="2"/>
        <v>373.39285714285711</v>
      </c>
      <c r="S7" s="19"/>
      <c r="T7" s="19"/>
      <c r="U7" s="19"/>
      <c r="V7" s="19"/>
      <c r="W7" s="17"/>
      <c r="X7" s="20"/>
      <c r="Y7" s="19"/>
      <c r="Z7" s="19"/>
      <c r="AA7" s="19"/>
      <c r="AB7" s="19"/>
      <c r="AC7" s="19"/>
      <c r="AD7" s="19"/>
      <c r="AF7" s="19"/>
      <c r="AH7" s="17">
        <f>M7+P7-Q7</f>
        <v>3142.7232142857147</v>
      </c>
      <c r="AI7" s="19"/>
      <c r="AJ7" s="19"/>
      <c r="AK7" s="19"/>
      <c r="AL7" s="19"/>
      <c r="AM7" s="17"/>
      <c r="AN7" s="19"/>
      <c r="AO7" s="19"/>
      <c r="AP7" s="19"/>
      <c r="AQ7" s="19"/>
      <c r="AR7" s="19"/>
      <c r="AS7" s="21"/>
      <c r="AU7" s="19"/>
      <c r="AW7" s="22"/>
      <c r="AX7" s="19"/>
      <c r="AZ7" s="19"/>
      <c r="BC7" s="19"/>
      <c r="BD7" s="19"/>
      <c r="BE7" s="19"/>
      <c r="BF7" s="19"/>
      <c r="BG7" s="19"/>
      <c r="BH7" s="19"/>
      <c r="BI7" s="19"/>
      <c r="BJ7" s="19"/>
      <c r="BK7" s="13"/>
      <c r="BN7" s="19"/>
      <c r="BO7" s="17"/>
      <c r="BP7" s="19"/>
      <c r="BQ7" s="17"/>
      <c r="BR7" s="19"/>
      <c r="BS7" s="13"/>
      <c r="BU7" s="23"/>
      <c r="BV7" s="23"/>
      <c r="BW7" s="24"/>
      <c r="CA7" s="24"/>
      <c r="CB7" s="24"/>
      <c r="CC7" s="24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25"/>
      <c r="CW7" s="26"/>
    </row>
    <row r="8" spans="1:103" s="30" customFormat="1" ht="11.25" x14ac:dyDescent="0.2">
      <c r="A8" s="27"/>
      <c r="B8" s="28"/>
      <c r="C8" s="29"/>
      <c r="E8" s="31"/>
      <c r="F8" s="32"/>
      <c r="G8" s="33"/>
      <c r="H8" s="34"/>
      <c r="I8" s="34"/>
      <c r="J8" s="35"/>
      <c r="K8" s="36"/>
      <c r="L8" s="37">
        <f>SUM(L5:L7)</f>
        <v>2404</v>
      </c>
      <c r="M8" s="38">
        <f>SUM(M5:M7)</f>
        <v>5718.5</v>
      </c>
      <c r="N8" s="38">
        <f>M8</f>
        <v>5718.5</v>
      </c>
      <c r="O8" s="39" t="s">
        <v>111</v>
      </c>
      <c r="P8" s="38">
        <f>SUM(P5:P7)</f>
        <v>51.058035714285708</v>
      </c>
      <c r="Q8" s="38">
        <f>SUM(Q5:Q7)</f>
        <v>612.69642857142844</v>
      </c>
      <c r="S8" s="38">
        <f t="shared" ref="S8:AD8" si="3">SUM(S5:S5)</f>
        <v>0</v>
      </c>
      <c r="T8" s="38">
        <f t="shared" si="3"/>
        <v>0</v>
      </c>
      <c r="U8" s="38">
        <f t="shared" si="3"/>
        <v>0</v>
      </c>
      <c r="V8" s="38">
        <f t="shared" si="3"/>
        <v>0</v>
      </c>
      <c r="W8" s="38">
        <f t="shared" si="3"/>
        <v>0</v>
      </c>
      <c r="X8" s="38">
        <f t="shared" si="3"/>
        <v>0</v>
      </c>
      <c r="Y8" s="38">
        <f t="shared" si="3"/>
        <v>0</v>
      </c>
      <c r="Z8" s="38">
        <f t="shared" si="3"/>
        <v>0</v>
      </c>
      <c r="AA8" s="38">
        <f t="shared" si="3"/>
        <v>0</v>
      </c>
      <c r="AB8" s="38">
        <f t="shared" si="3"/>
        <v>0</v>
      </c>
      <c r="AC8" s="38">
        <f t="shared" si="3"/>
        <v>0</v>
      </c>
      <c r="AD8" s="38">
        <f t="shared" si="3"/>
        <v>0</v>
      </c>
      <c r="AF8" s="38">
        <f>SUM(AF5:AF5)</f>
        <v>0</v>
      </c>
      <c r="AH8" s="159">
        <f>SUM(AH5:AH7)</f>
        <v>5156.8616071428569</v>
      </c>
      <c r="AI8" s="38">
        <f t="shared" ref="AI8:AZ8" si="4">SUM(AI5:AI5)</f>
        <v>0</v>
      </c>
      <c r="AJ8" s="38">
        <f t="shared" si="4"/>
        <v>0</v>
      </c>
      <c r="AK8" s="38">
        <f t="shared" si="4"/>
        <v>0</v>
      </c>
      <c r="AL8" s="38">
        <f t="shared" si="4"/>
        <v>0</v>
      </c>
      <c r="AM8" s="38">
        <f t="shared" si="4"/>
        <v>0</v>
      </c>
      <c r="AN8" s="38">
        <f t="shared" si="4"/>
        <v>0</v>
      </c>
      <c r="AO8" s="38">
        <f t="shared" si="4"/>
        <v>0</v>
      </c>
      <c r="AP8" s="38">
        <f t="shared" si="4"/>
        <v>0</v>
      </c>
      <c r="AQ8" s="38">
        <f t="shared" si="4"/>
        <v>0</v>
      </c>
      <c r="AR8" s="38">
        <f t="shared" si="4"/>
        <v>0</v>
      </c>
      <c r="AS8" s="38">
        <f t="shared" si="4"/>
        <v>0</v>
      </c>
      <c r="AT8" s="38">
        <f t="shared" si="4"/>
        <v>0</v>
      </c>
      <c r="AU8" s="38">
        <f t="shared" si="4"/>
        <v>0</v>
      </c>
      <c r="AV8" s="38">
        <f t="shared" si="4"/>
        <v>0</v>
      </c>
      <c r="AW8" s="38">
        <f t="shared" si="4"/>
        <v>0</v>
      </c>
      <c r="AX8" s="38">
        <f t="shared" si="4"/>
        <v>0</v>
      </c>
      <c r="AY8" s="38">
        <f t="shared" si="4"/>
        <v>0</v>
      </c>
      <c r="AZ8" s="38">
        <f t="shared" si="4"/>
        <v>0</v>
      </c>
      <c r="BB8" s="38">
        <f t="shared" ref="BB8:CV8" si="5">SUM(BB5:BB5)</f>
        <v>0</v>
      </c>
      <c r="BC8" s="38">
        <f t="shared" si="5"/>
        <v>0</v>
      </c>
      <c r="BD8" s="38">
        <f t="shared" si="5"/>
        <v>0</v>
      </c>
      <c r="BE8" s="38">
        <f t="shared" si="5"/>
        <v>0</v>
      </c>
      <c r="BF8" s="38">
        <f t="shared" si="5"/>
        <v>0</v>
      </c>
      <c r="BG8" s="38">
        <f t="shared" si="5"/>
        <v>0</v>
      </c>
      <c r="BH8" s="38">
        <f t="shared" si="5"/>
        <v>0</v>
      </c>
      <c r="BI8" s="38">
        <f t="shared" si="5"/>
        <v>0</v>
      </c>
      <c r="BJ8" s="38">
        <f t="shared" si="5"/>
        <v>0</v>
      </c>
      <c r="BK8" s="38">
        <f t="shared" si="5"/>
        <v>0</v>
      </c>
      <c r="BL8" s="38">
        <f t="shared" si="5"/>
        <v>0</v>
      </c>
      <c r="BM8" s="38">
        <f t="shared" si="5"/>
        <v>0</v>
      </c>
      <c r="BN8" s="38">
        <f t="shared" si="5"/>
        <v>0</v>
      </c>
      <c r="BO8" s="38">
        <f t="shared" si="5"/>
        <v>0</v>
      </c>
      <c r="BP8" s="38">
        <f t="shared" si="5"/>
        <v>0</v>
      </c>
      <c r="BQ8" s="38">
        <f t="shared" si="5"/>
        <v>0</v>
      </c>
      <c r="BR8" s="38">
        <f t="shared" si="5"/>
        <v>0</v>
      </c>
      <c r="BS8" s="38">
        <f t="shared" si="5"/>
        <v>0</v>
      </c>
      <c r="BT8" s="38">
        <f t="shared" si="5"/>
        <v>0</v>
      </c>
      <c r="BU8" s="38">
        <f t="shared" si="5"/>
        <v>0</v>
      </c>
      <c r="BV8" s="38">
        <f t="shared" si="5"/>
        <v>0</v>
      </c>
      <c r="BW8" s="38">
        <f t="shared" si="5"/>
        <v>0</v>
      </c>
      <c r="BX8" s="38">
        <f t="shared" si="5"/>
        <v>0</v>
      </c>
      <c r="BY8" s="38">
        <f t="shared" si="5"/>
        <v>0</v>
      </c>
      <c r="BZ8" s="38">
        <f t="shared" si="5"/>
        <v>0</v>
      </c>
      <c r="CA8" s="38">
        <f t="shared" si="5"/>
        <v>0</v>
      </c>
      <c r="CB8" s="38">
        <f t="shared" si="5"/>
        <v>0</v>
      </c>
      <c r="CC8" s="38">
        <f t="shared" si="5"/>
        <v>0</v>
      </c>
      <c r="CD8" s="38">
        <f t="shared" si="5"/>
        <v>0</v>
      </c>
      <c r="CE8" s="38">
        <f t="shared" si="5"/>
        <v>0</v>
      </c>
      <c r="CF8" s="38">
        <f t="shared" si="5"/>
        <v>0</v>
      </c>
      <c r="CG8" s="38">
        <f t="shared" si="5"/>
        <v>0</v>
      </c>
      <c r="CH8" s="38">
        <f t="shared" si="5"/>
        <v>0</v>
      </c>
      <c r="CI8" s="38">
        <f t="shared" si="5"/>
        <v>0</v>
      </c>
      <c r="CJ8" s="38">
        <f t="shared" si="5"/>
        <v>0</v>
      </c>
      <c r="CK8" s="38">
        <f t="shared" si="5"/>
        <v>0</v>
      </c>
      <c r="CL8" s="38">
        <f t="shared" si="5"/>
        <v>0</v>
      </c>
      <c r="CM8" s="38">
        <f t="shared" si="5"/>
        <v>0</v>
      </c>
      <c r="CN8" s="38">
        <f t="shared" si="5"/>
        <v>0</v>
      </c>
      <c r="CO8" s="38">
        <f t="shared" si="5"/>
        <v>0</v>
      </c>
      <c r="CP8" s="38">
        <f t="shared" si="5"/>
        <v>0</v>
      </c>
      <c r="CQ8" s="38">
        <f t="shared" si="5"/>
        <v>0</v>
      </c>
      <c r="CR8" s="38">
        <f t="shared" si="5"/>
        <v>0</v>
      </c>
      <c r="CS8" s="38">
        <f t="shared" si="5"/>
        <v>0</v>
      </c>
      <c r="CT8" s="38">
        <f t="shared" si="5"/>
        <v>0</v>
      </c>
      <c r="CU8" s="38">
        <f t="shared" si="5"/>
        <v>0</v>
      </c>
      <c r="CV8" s="38">
        <f t="shared" si="5"/>
        <v>0</v>
      </c>
      <c r="CW8" s="40"/>
    </row>
    <row r="9" spans="1:103" customFormat="1" ht="15" x14ac:dyDescent="0.25"/>
    <row r="10" spans="1:103" customFormat="1" ht="15" x14ac:dyDescent="0.25">
      <c r="A10" s="41" t="str">
        <f>E5</f>
        <v>WILCON DEPOT, INC</v>
      </c>
      <c r="B10" s="42"/>
      <c r="C10" s="43"/>
      <c r="D10" s="44"/>
      <c r="E10" s="44"/>
      <c r="F10" s="45"/>
      <c r="G10" s="46"/>
      <c r="H10" s="47"/>
      <c r="I10" s="48"/>
      <c r="J10" s="49"/>
      <c r="K10" s="50"/>
      <c r="L10" s="51"/>
      <c r="M10" s="52"/>
      <c r="N10" s="53"/>
      <c r="O10" s="54"/>
      <c r="P10" s="55"/>
    </row>
    <row r="11" spans="1:103" customFormat="1" ht="15" x14ac:dyDescent="0.25">
      <c r="A11" s="56"/>
      <c r="B11" s="57"/>
      <c r="C11" s="58"/>
      <c r="D11" s="59" t="s">
        <v>112</v>
      </c>
      <c r="E11" s="59" t="s">
        <v>113</v>
      </c>
      <c r="F11" s="60" t="s">
        <v>114</v>
      </c>
      <c r="G11" s="61"/>
      <c r="H11" s="62"/>
      <c r="I11" s="63"/>
      <c r="J11" s="64"/>
      <c r="K11" s="1"/>
      <c r="L11" s="65"/>
      <c r="M11" s="66"/>
      <c r="N11" s="67"/>
      <c r="O11" s="68"/>
      <c r="P11" s="69"/>
    </row>
    <row r="12" spans="1:103" customFormat="1" ht="13.5" customHeight="1" x14ac:dyDescent="0.25">
      <c r="A12" s="70" t="s">
        <v>263</v>
      </c>
      <c r="B12" s="71"/>
      <c r="C12" s="72"/>
      <c r="D12" s="73">
        <f>AH8</f>
        <v>5156.8616071428569</v>
      </c>
      <c r="E12" s="74"/>
      <c r="F12" s="75" t="str">
        <f>"In payment for 2pc shower head for room 302 and 202 using housefund received on " &amp; TEXT(A5, "mmmm dd, yyyy") &amp; " with SI#100287122 PR#29996 RR#" &amp; " CPO#" &amp;B5</f>
        <v>In payment for 2pc shower head for room 302 and 202 using housefund received on August 11, 2025 with SI#100287122 PR#29996 RR# CPO#18967</v>
      </c>
      <c r="G12" s="76"/>
      <c r="H12" s="77"/>
      <c r="I12" s="77"/>
      <c r="J12" s="76"/>
      <c r="K12" s="1"/>
      <c r="L12" s="65"/>
      <c r="M12" s="78"/>
      <c r="N12" s="79"/>
      <c r="O12" s="80"/>
      <c r="P12" s="81"/>
    </row>
    <row r="13" spans="1:103" customFormat="1" ht="15" x14ac:dyDescent="0.25">
      <c r="A13" s="70" t="s">
        <v>115</v>
      </c>
      <c r="B13" s="71"/>
      <c r="C13" s="72"/>
      <c r="D13" s="73">
        <f>Q8</f>
        <v>612.69642857142844</v>
      </c>
      <c r="E13" s="74"/>
      <c r="F13" s="64" t="str">
        <f>"Recording input VAT for expenses and purchases made using house fund for " &amp; TEXT(A5, "mmmm dd, yyyy")</f>
        <v>Recording input VAT for expenses and purchases made using house fund for August 11,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 t="s">
        <v>116</v>
      </c>
      <c r="B14" s="86"/>
      <c r="C14" s="87"/>
      <c r="D14" s="88"/>
      <c r="E14" s="74">
        <f>P8</f>
        <v>51.058035714285708</v>
      </c>
      <c r="F14" s="89" t="str">
        <f>"Recording the tax withheld for expenses and purchases using the house fund received on " &amp; TEXT(A5, "mmmm dd, yyyy")</f>
        <v>Recording the tax withheld for expenses and purchases using the house fund received on August 11,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70" t="s">
        <v>117</v>
      </c>
      <c r="B15" s="86"/>
      <c r="C15" s="87"/>
      <c r="D15" s="90"/>
      <c r="E15" s="91">
        <f>M8</f>
        <v>5718.5</v>
      </c>
      <c r="F15" s="89" t="str">
        <f>"Recording house fund expenses for replenishment on " &amp; TEXT(A5, "mmmm dd, yyyy")</f>
        <v>Recording house fund expenses for replenishment on August 11, 2025</v>
      </c>
      <c r="G15" s="82"/>
      <c r="H15" s="83"/>
      <c r="I15" s="84"/>
      <c r="J15" s="82"/>
      <c r="K15" s="1"/>
      <c r="L15" s="65"/>
      <c r="M15" s="66"/>
      <c r="N15" s="67"/>
      <c r="O15" s="68"/>
      <c r="P15" s="69"/>
    </row>
    <row r="16" spans="1:103" customFormat="1" ht="15" x14ac:dyDescent="0.25">
      <c r="A16" s="85"/>
      <c r="B16" s="86"/>
      <c r="C16" s="87"/>
      <c r="D16" s="88">
        <f>SUM(D12:D13)</f>
        <v>5769.5580357142853</v>
      </c>
      <c r="E16" s="88">
        <f>SUM(E12:E15)</f>
        <v>5769.5580357142853</v>
      </c>
      <c r="F16" s="92"/>
      <c r="G16" s="92"/>
      <c r="H16" s="93"/>
      <c r="I16" s="94"/>
      <c r="J16" s="92"/>
      <c r="K16" s="1"/>
      <c r="L16" s="65"/>
      <c r="M16" s="66"/>
      <c r="N16" s="67"/>
      <c r="O16" s="68"/>
      <c r="P16" s="69"/>
    </row>
    <row r="17" spans="1:16" customFormat="1" ht="15" x14ac:dyDescent="0.25">
      <c r="A17" s="95" t="s">
        <v>118</v>
      </c>
      <c r="B17" s="96" t="str">
        <f>"To record house fund expenses on " &amp; TEXT(A5, "mmmm dd, yyyy") &amp; " with PCV#" &amp; C5</f>
        <v>To record house fund expenses on August 11, 2025 with PCV#20875</v>
      </c>
      <c r="C17" s="97"/>
      <c r="D17" s="98"/>
      <c r="E17" s="98"/>
      <c r="F17" s="98"/>
      <c r="G17" s="92"/>
      <c r="H17" s="93"/>
      <c r="I17" s="94"/>
      <c r="J17" s="92"/>
      <c r="K17" s="1"/>
      <c r="L17" s="65"/>
      <c r="M17" s="66"/>
      <c r="N17" s="67"/>
      <c r="O17" s="68"/>
      <c r="P17" s="69"/>
    </row>
  </sheetData>
  <mergeCells count="48"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</mergeCells>
  <pageMargins left="0.7" right="0.7" top="0.75" bottom="0.75" header="0.3" footer="0.3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AA2D6-CB1E-472C-BB0D-BAA24349EE8F}">
  <sheetPr>
    <tabColor rgb="FFFFC0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10.85546875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45882</v>
      </c>
      <c r="B5" s="3" t="s">
        <v>256</v>
      </c>
      <c r="C5" s="4" t="s">
        <v>503</v>
      </c>
      <c r="D5" s="5" t="s">
        <v>122</v>
      </c>
      <c r="E5" s="6" t="s">
        <v>266</v>
      </c>
      <c r="F5" s="7"/>
      <c r="G5" s="8"/>
      <c r="H5" s="9">
        <v>2797481</v>
      </c>
      <c r="I5" s="10"/>
      <c r="J5" s="11" t="s">
        <v>226</v>
      </c>
      <c r="K5" s="12">
        <v>1</v>
      </c>
      <c r="L5" s="13">
        <v>115</v>
      </c>
      <c r="M5" s="14">
        <f>L5*K5</f>
        <v>115</v>
      </c>
      <c r="N5" s="15"/>
      <c r="O5" s="16" t="s">
        <v>137</v>
      </c>
      <c r="P5" s="17"/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7">
        <f>M5+P5-Q5</f>
        <v>115</v>
      </c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>
        <f>SUM(L5:L5)</f>
        <v>115</v>
      </c>
      <c r="M6" s="38">
        <f>SUM(M5:M5)</f>
        <v>115</v>
      </c>
      <c r="N6" s="38">
        <f>M6</f>
        <v>115</v>
      </c>
      <c r="O6" s="39" t="s">
        <v>137</v>
      </c>
      <c r="P6" s="38">
        <f>SUM(P5:P5)</f>
        <v>0</v>
      </c>
      <c r="Q6" s="38">
        <f>SUM(Q5:Q5)</f>
        <v>0</v>
      </c>
      <c r="S6" s="38">
        <f t="shared" ref="S6:AD6" si="0">SUM(S5:S5)</f>
        <v>0</v>
      </c>
      <c r="T6" s="38">
        <f t="shared" si="0"/>
        <v>0</v>
      </c>
      <c r="U6" s="38">
        <f t="shared" si="0"/>
        <v>0</v>
      </c>
      <c r="V6" s="38">
        <f t="shared" si="0"/>
        <v>0</v>
      </c>
      <c r="W6" s="38">
        <f t="shared" si="0"/>
        <v>0</v>
      </c>
      <c r="X6" s="38">
        <f t="shared" si="0"/>
        <v>0</v>
      </c>
      <c r="Y6" s="38">
        <f t="shared" si="0"/>
        <v>0</v>
      </c>
      <c r="Z6" s="38">
        <f t="shared" si="0"/>
        <v>0</v>
      </c>
      <c r="AA6" s="38">
        <f t="shared" si="0"/>
        <v>0</v>
      </c>
      <c r="AB6" s="38">
        <f t="shared" si="0"/>
        <v>0</v>
      </c>
      <c r="AC6" s="38">
        <f t="shared" si="0"/>
        <v>0</v>
      </c>
      <c r="AD6" s="38">
        <f t="shared" si="0"/>
        <v>0</v>
      </c>
      <c r="AF6" s="38">
        <f>SUM(AF5:AF5)</f>
        <v>0</v>
      </c>
      <c r="AH6" s="159">
        <f t="shared" ref="AH6:AZ6" si="1">SUM(AH5:AH5)</f>
        <v>0</v>
      </c>
      <c r="AI6" s="38">
        <f t="shared" si="1"/>
        <v>0</v>
      </c>
      <c r="AJ6" s="38">
        <f t="shared" si="1"/>
        <v>0</v>
      </c>
      <c r="AK6" s="38">
        <f t="shared" si="1"/>
        <v>0</v>
      </c>
      <c r="AL6" s="38">
        <f t="shared" si="1"/>
        <v>0</v>
      </c>
      <c r="AM6" s="38">
        <f t="shared" si="1"/>
        <v>0</v>
      </c>
      <c r="AN6" s="38">
        <f t="shared" si="1"/>
        <v>0</v>
      </c>
      <c r="AO6" s="38">
        <f t="shared" si="1"/>
        <v>0</v>
      </c>
      <c r="AP6" s="38">
        <f t="shared" si="1"/>
        <v>0</v>
      </c>
      <c r="AQ6" s="38">
        <f t="shared" si="1"/>
        <v>0</v>
      </c>
      <c r="AR6" s="38">
        <f t="shared" si="1"/>
        <v>0</v>
      </c>
      <c r="AS6" s="38">
        <f t="shared" si="1"/>
        <v>0</v>
      </c>
      <c r="AT6" s="38">
        <f t="shared" si="1"/>
        <v>0</v>
      </c>
      <c r="AU6" s="38">
        <f t="shared" si="1"/>
        <v>0</v>
      </c>
      <c r="AV6" s="38">
        <f t="shared" si="1"/>
        <v>0</v>
      </c>
      <c r="AW6" s="38">
        <f t="shared" si="1"/>
        <v>0</v>
      </c>
      <c r="AX6" s="38">
        <f t="shared" si="1"/>
        <v>0</v>
      </c>
      <c r="AY6" s="38">
        <f t="shared" si="1"/>
        <v>0</v>
      </c>
      <c r="AZ6" s="38">
        <f t="shared" si="1"/>
        <v>0</v>
      </c>
      <c r="BB6" s="38">
        <f>SUM(BB5:BB5)</f>
        <v>0</v>
      </c>
      <c r="BC6" s="159">
        <f>BC5</f>
        <v>115</v>
      </c>
      <c r="BD6" s="38">
        <f t="shared" ref="BD6:CV6" si="2">SUM(BD5:BD5)</f>
        <v>0</v>
      </c>
      <c r="BE6" s="38">
        <f t="shared" si="2"/>
        <v>0</v>
      </c>
      <c r="BF6" s="38">
        <f t="shared" si="2"/>
        <v>0</v>
      </c>
      <c r="BG6" s="38">
        <f t="shared" si="2"/>
        <v>0</v>
      </c>
      <c r="BH6" s="38">
        <f t="shared" si="2"/>
        <v>0</v>
      </c>
      <c r="BI6" s="38">
        <f t="shared" si="2"/>
        <v>0</v>
      </c>
      <c r="BJ6" s="38">
        <f t="shared" si="2"/>
        <v>0</v>
      </c>
      <c r="BK6" s="38">
        <f t="shared" si="2"/>
        <v>0</v>
      </c>
      <c r="BL6" s="38">
        <f t="shared" si="2"/>
        <v>0</v>
      </c>
      <c r="BM6" s="38">
        <f t="shared" si="2"/>
        <v>0</v>
      </c>
      <c r="BN6" s="38">
        <f t="shared" si="2"/>
        <v>0</v>
      </c>
      <c r="BO6" s="38">
        <f t="shared" si="2"/>
        <v>0</v>
      </c>
      <c r="BP6" s="38">
        <f t="shared" si="2"/>
        <v>0</v>
      </c>
      <c r="BQ6" s="38">
        <f t="shared" si="2"/>
        <v>0</v>
      </c>
      <c r="BR6" s="38">
        <f t="shared" si="2"/>
        <v>0</v>
      </c>
      <c r="BS6" s="38">
        <f t="shared" si="2"/>
        <v>0</v>
      </c>
      <c r="BT6" s="38">
        <f t="shared" si="2"/>
        <v>0</v>
      </c>
      <c r="BU6" s="38">
        <f t="shared" si="2"/>
        <v>0</v>
      </c>
      <c r="BV6" s="38">
        <f t="shared" si="2"/>
        <v>0</v>
      </c>
      <c r="BW6" s="38">
        <f t="shared" si="2"/>
        <v>0</v>
      </c>
      <c r="BX6" s="38">
        <f t="shared" si="2"/>
        <v>0</v>
      </c>
      <c r="BY6" s="38">
        <f t="shared" si="2"/>
        <v>0</v>
      </c>
      <c r="BZ6" s="38">
        <f t="shared" si="2"/>
        <v>0</v>
      </c>
      <c r="CA6" s="38">
        <f t="shared" si="2"/>
        <v>0</v>
      </c>
      <c r="CB6" s="38">
        <f t="shared" si="2"/>
        <v>0</v>
      </c>
      <c r="CC6" s="38">
        <f t="shared" si="2"/>
        <v>0</v>
      </c>
      <c r="CD6" s="38">
        <f t="shared" si="2"/>
        <v>0</v>
      </c>
      <c r="CE6" s="38">
        <f t="shared" si="2"/>
        <v>0</v>
      </c>
      <c r="CF6" s="38">
        <f t="shared" si="2"/>
        <v>0</v>
      </c>
      <c r="CG6" s="38">
        <f t="shared" si="2"/>
        <v>0</v>
      </c>
      <c r="CH6" s="38">
        <f t="shared" si="2"/>
        <v>0</v>
      </c>
      <c r="CI6" s="38">
        <f t="shared" si="2"/>
        <v>0</v>
      </c>
      <c r="CJ6" s="38">
        <f t="shared" si="2"/>
        <v>0</v>
      </c>
      <c r="CK6" s="38">
        <f t="shared" si="2"/>
        <v>0</v>
      </c>
      <c r="CL6" s="38">
        <f t="shared" si="2"/>
        <v>0</v>
      </c>
      <c r="CM6" s="38">
        <f t="shared" si="2"/>
        <v>0</v>
      </c>
      <c r="CN6" s="38">
        <f t="shared" si="2"/>
        <v>0</v>
      </c>
      <c r="CO6" s="38">
        <f t="shared" si="2"/>
        <v>0</v>
      </c>
      <c r="CP6" s="38">
        <f t="shared" si="2"/>
        <v>0</v>
      </c>
      <c r="CQ6" s="38">
        <f t="shared" si="2"/>
        <v>0</v>
      </c>
      <c r="CR6" s="38">
        <f t="shared" si="2"/>
        <v>0</v>
      </c>
      <c r="CS6" s="38">
        <f t="shared" si="2"/>
        <v>0</v>
      </c>
      <c r="CT6" s="38">
        <f t="shared" si="2"/>
        <v>0</v>
      </c>
      <c r="CU6" s="38">
        <f t="shared" si="2"/>
        <v>0</v>
      </c>
      <c r="CV6" s="38">
        <f t="shared" si="2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MARKET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269</v>
      </c>
      <c r="B10" s="71"/>
      <c r="C10" s="72"/>
      <c r="D10" s="73">
        <f>BC6</f>
        <v>115</v>
      </c>
      <c r="E10" s="74"/>
      <c r="F10" s="75" t="str">
        <f>"In payment for meal during purchasing trip using housefund received on " &amp; TEXT(A5, "mmmm dd, yyyy") &amp; " with SI#2797481 PR#29996 RR#" &amp; " CPO#" &amp;B5</f>
        <v>In payment for meal during purchasing trip using housefund received on August 13, 2025 with SI#2797481 PR#29996 RR# CPO#18967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13,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13,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115</v>
      </c>
      <c r="F13" s="89" t="str">
        <f>"Recording house fund expenses for replenishment on " &amp; TEXT(A5, "mmmm dd, yyyy")</f>
        <v>Recording house fund expenses for replenishment on August 13,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115</v>
      </c>
      <c r="E14" s="88">
        <f>SUM(E10:E13)</f>
        <v>115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13, 2025 with PCV#20876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</mergeCells>
  <pageMargins left="0.7" right="0.7" top="0.75" bottom="0.75" header="0.3" footer="0.3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2FE1-CF66-4253-A302-79290E29C749}">
  <sheetPr>
    <tabColor rgb="FFFFC000"/>
  </sheetPr>
  <dimension ref="A1:CY16"/>
  <sheetViews>
    <sheetView workbookViewId="0">
      <selection activeCell="A5" sqref="A5:XFD7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45878</v>
      </c>
      <c r="B5" s="3" t="s">
        <v>202</v>
      </c>
      <c r="C5" s="4" t="s">
        <v>504</v>
      </c>
      <c r="D5" s="5" t="s">
        <v>203</v>
      </c>
      <c r="E5" s="6" t="s">
        <v>204</v>
      </c>
      <c r="F5" s="7" t="s">
        <v>205</v>
      </c>
      <c r="G5" s="8" t="s">
        <v>206</v>
      </c>
      <c r="H5" s="9">
        <v>25286</v>
      </c>
      <c r="I5" s="10" t="s">
        <v>407</v>
      </c>
      <c r="J5" s="11" t="s">
        <v>207</v>
      </c>
      <c r="K5" s="12">
        <v>3</v>
      </c>
      <c r="L5" s="157">
        <v>69.214290000000005</v>
      </c>
      <c r="M5" s="14">
        <f>K5*L5</f>
        <v>207.64287000000002</v>
      </c>
      <c r="N5" s="15"/>
      <c r="O5" s="16" t="s">
        <v>111</v>
      </c>
      <c r="P5" s="17">
        <f>M5/1.12*0.01</f>
        <v>1.8539541964285715</v>
      </c>
      <c r="Q5" s="158">
        <f>M5/1.12*0.12</f>
        <v>22.247450357142856</v>
      </c>
      <c r="R5" s="17">
        <f>M5+P5-Q5</f>
        <v>187.24937383928571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57"/>
      <c r="BN5" s="19"/>
      <c r="BO5" s="17"/>
      <c r="BP5" s="19"/>
      <c r="BQ5" s="17"/>
      <c r="BR5" s="19"/>
      <c r="BS5" s="157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208</v>
      </c>
      <c r="K6" s="12">
        <v>30</v>
      </c>
      <c r="L6" s="13">
        <v>69.214290000000005</v>
      </c>
      <c r="M6" s="14">
        <f t="shared" ref="M6" si="0">L6*K6</f>
        <v>2076.4287000000004</v>
      </c>
      <c r="N6" s="15"/>
      <c r="O6" s="16" t="s">
        <v>111</v>
      </c>
      <c r="P6" s="17">
        <f t="shared" ref="P6" si="1">M6/1.12*0.01</f>
        <v>18.539541964285714</v>
      </c>
      <c r="Q6" s="18">
        <f t="shared" ref="Q6" si="2">M6/1.12*0.12</f>
        <v>222.47450357142858</v>
      </c>
      <c r="R6" s="17">
        <f t="shared" ref="R6" si="3">M6+P6-Q6</f>
        <v>1872.4937383928573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30" customFormat="1" ht="11.25" x14ac:dyDescent="0.2">
      <c r="A7" s="27"/>
      <c r="B7" s="28"/>
      <c r="C7" s="29"/>
      <c r="E7" s="31"/>
      <c r="F7" s="32"/>
      <c r="G7" s="33"/>
      <c r="H7" s="34"/>
      <c r="I7" s="34"/>
      <c r="J7" s="35"/>
      <c r="K7" s="36"/>
      <c r="L7" s="37"/>
      <c r="M7" s="38">
        <f>SUM(M5:M6)</f>
        <v>2284.0715700000005</v>
      </c>
      <c r="N7" s="38">
        <f>M7</f>
        <v>2284.0715700000005</v>
      </c>
      <c r="O7" s="39" t="s">
        <v>111</v>
      </c>
      <c r="P7" s="38">
        <f>SUM(P5:P6)</f>
        <v>20.393496160714285</v>
      </c>
      <c r="Q7" s="38">
        <f>SUM(Q5:Q6)</f>
        <v>244.72195392857145</v>
      </c>
      <c r="R7" s="38">
        <f>SUM(R5:R6)</f>
        <v>2059.7431122321432</v>
      </c>
      <c r="S7" s="38">
        <f t="shared" ref="S7:AD7" si="4">SUM(S5:S5)</f>
        <v>0</v>
      </c>
      <c r="T7" s="38">
        <f t="shared" si="4"/>
        <v>0</v>
      </c>
      <c r="U7" s="38">
        <f t="shared" si="4"/>
        <v>0</v>
      </c>
      <c r="V7" s="38">
        <f t="shared" si="4"/>
        <v>0</v>
      </c>
      <c r="W7" s="38">
        <f t="shared" si="4"/>
        <v>0</v>
      </c>
      <c r="X7" s="38">
        <f t="shared" si="4"/>
        <v>0</v>
      </c>
      <c r="Y7" s="38">
        <f t="shared" si="4"/>
        <v>0</v>
      </c>
      <c r="Z7" s="38">
        <f t="shared" si="4"/>
        <v>0</v>
      </c>
      <c r="AA7" s="38">
        <f t="shared" si="4"/>
        <v>0</v>
      </c>
      <c r="AB7" s="38">
        <f t="shared" si="4"/>
        <v>0</v>
      </c>
      <c r="AC7" s="38">
        <f t="shared" si="4"/>
        <v>0</v>
      </c>
      <c r="AD7" s="38">
        <f t="shared" si="4"/>
        <v>0</v>
      </c>
      <c r="AF7" s="38">
        <f>SUM(AF5:AF5)</f>
        <v>0</v>
      </c>
      <c r="AH7" s="38">
        <f t="shared" ref="AH7:AZ7" si="5">SUM(AH5:AH5)</f>
        <v>0</v>
      </c>
      <c r="AI7" s="38">
        <f t="shared" si="5"/>
        <v>0</v>
      </c>
      <c r="AJ7" s="38">
        <f t="shared" si="5"/>
        <v>0</v>
      </c>
      <c r="AK7" s="38">
        <f t="shared" si="5"/>
        <v>0</v>
      </c>
      <c r="AL7" s="38">
        <f t="shared" si="5"/>
        <v>0</v>
      </c>
      <c r="AM7" s="38">
        <f t="shared" si="5"/>
        <v>0</v>
      </c>
      <c r="AN7" s="38">
        <f t="shared" si="5"/>
        <v>0</v>
      </c>
      <c r="AO7" s="38">
        <f t="shared" si="5"/>
        <v>0</v>
      </c>
      <c r="AP7" s="38">
        <f t="shared" si="5"/>
        <v>0</v>
      </c>
      <c r="AQ7" s="38">
        <f t="shared" si="5"/>
        <v>0</v>
      </c>
      <c r="AR7" s="38">
        <f t="shared" si="5"/>
        <v>0</v>
      </c>
      <c r="AS7" s="38">
        <f t="shared" si="5"/>
        <v>0</v>
      </c>
      <c r="AT7" s="38">
        <f t="shared" si="5"/>
        <v>0</v>
      </c>
      <c r="AU7" s="38">
        <f t="shared" si="5"/>
        <v>0</v>
      </c>
      <c r="AV7" s="38">
        <f t="shared" si="5"/>
        <v>0</v>
      </c>
      <c r="AW7" s="38">
        <f t="shared" si="5"/>
        <v>0</v>
      </c>
      <c r="AX7" s="38">
        <f t="shared" si="5"/>
        <v>0</v>
      </c>
      <c r="AY7" s="38">
        <f t="shared" si="5"/>
        <v>0</v>
      </c>
      <c r="AZ7" s="38">
        <f t="shared" si="5"/>
        <v>0</v>
      </c>
      <c r="BB7" s="38">
        <f t="shared" ref="BB7:CV7" si="6">SUM(BB5:BB5)</f>
        <v>0</v>
      </c>
      <c r="BC7" s="38">
        <f t="shared" si="6"/>
        <v>0</v>
      </c>
      <c r="BD7" s="38">
        <f t="shared" si="6"/>
        <v>0</v>
      </c>
      <c r="BE7" s="38">
        <f t="shared" si="6"/>
        <v>0</v>
      </c>
      <c r="BF7" s="38">
        <f t="shared" si="6"/>
        <v>0</v>
      </c>
      <c r="BG7" s="38">
        <f t="shared" si="6"/>
        <v>0</v>
      </c>
      <c r="BH7" s="38">
        <f t="shared" si="6"/>
        <v>0</v>
      </c>
      <c r="BI7" s="38">
        <f t="shared" si="6"/>
        <v>0</v>
      </c>
      <c r="BJ7" s="38">
        <f t="shared" si="6"/>
        <v>0</v>
      </c>
      <c r="BK7" s="38">
        <f t="shared" si="6"/>
        <v>0</v>
      </c>
      <c r="BL7" s="38">
        <f t="shared" si="6"/>
        <v>0</v>
      </c>
      <c r="BM7" s="38">
        <f t="shared" si="6"/>
        <v>0</v>
      </c>
      <c r="BN7" s="38">
        <f t="shared" si="6"/>
        <v>0</v>
      </c>
      <c r="BO7" s="38">
        <f t="shared" si="6"/>
        <v>0</v>
      </c>
      <c r="BP7" s="38">
        <f t="shared" si="6"/>
        <v>0</v>
      </c>
      <c r="BQ7" s="38">
        <f t="shared" si="6"/>
        <v>0</v>
      </c>
      <c r="BR7" s="38">
        <f t="shared" si="6"/>
        <v>0</v>
      </c>
      <c r="BS7" s="38">
        <f t="shared" si="6"/>
        <v>0</v>
      </c>
      <c r="BT7" s="38">
        <f t="shared" si="6"/>
        <v>0</v>
      </c>
      <c r="BU7" s="38">
        <f t="shared" si="6"/>
        <v>0</v>
      </c>
      <c r="BV7" s="38">
        <f t="shared" si="6"/>
        <v>0</v>
      </c>
      <c r="BW7" s="38">
        <f t="shared" si="6"/>
        <v>0</v>
      </c>
      <c r="BX7" s="38">
        <f t="shared" si="6"/>
        <v>0</v>
      </c>
      <c r="BY7" s="38">
        <f t="shared" si="6"/>
        <v>0</v>
      </c>
      <c r="BZ7" s="38">
        <f t="shared" si="6"/>
        <v>0</v>
      </c>
      <c r="CA7" s="38">
        <f t="shared" si="6"/>
        <v>0</v>
      </c>
      <c r="CB7" s="38">
        <f t="shared" si="6"/>
        <v>0</v>
      </c>
      <c r="CC7" s="38">
        <f t="shared" si="6"/>
        <v>0</v>
      </c>
      <c r="CD7" s="38">
        <f t="shared" si="6"/>
        <v>0</v>
      </c>
      <c r="CE7" s="38">
        <f t="shared" si="6"/>
        <v>0</v>
      </c>
      <c r="CF7" s="38">
        <f t="shared" si="6"/>
        <v>0</v>
      </c>
      <c r="CG7" s="38">
        <f t="shared" si="6"/>
        <v>0</v>
      </c>
      <c r="CH7" s="38">
        <f t="shared" si="6"/>
        <v>0</v>
      </c>
      <c r="CI7" s="38">
        <f t="shared" si="6"/>
        <v>0</v>
      </c>
      <c r="CJ7" s="38">
        <f t="shared" si="6"/>
        <v>0</v>
      </c>
      <c r="CK7" s="38">
        <f t="shared" si="6"/>
        <v>0</v>
      </c>
      <c r="CL7" s="38">
        <f t="shared" si="6"/>
        <v>0</v>
      </c>
      <c r="CM7" s="38">
        <f t="shared" si="6"/>
        <v>0</v>
      </c>
      <c r="CN7" s="38">
        <f t="shared" si="6"/>
        <v>0</v>
      </c>
      <c r="CO7" s="38">
        <f t="shared" si="6"/>
        <v>0</v>
      </c>
      <c r="CP7" s="38">
        <f t="shared" si="6"/>
        <v>0</v>
      </c>
      <c r="CQ7" s="38">
        <f t="shared" si="6"/>
        <v>0</v>
      </c>
      <c r="CR7" s="38">
        <f t="shared" si="6"/>
        <v>0</v>
      </c>
      <c r="CS7" s="38">
        <f t="shared" si="6"/>
        <v>0</v>
      </c>
      <c r="CT7" s="38">
        <f t="shared" si="6"/>
        <v>0</v>
      </c>
      <c r="CU7" s="38">
        <f t="shared" si="6"/>
        <v>0</v>
      </c>
      <c r="CV7" s="38">
        <f t="shared" si="6"/>
        <v>0</v>
      </c>
      <c r="CW7" s="40"/>
    </row>
    <row r="8" spans="1:103" customFormat="1" ht="15" x14ac:dyDescent="0.25"/>
    <row r="9" spans="1:103" customFormat="1" ht="15" x14ac:dyDescent="0.25">
      <c r="A9" s="41" t="str">
        <f>E5</f>
        <v>5S DISTRIBUTORS, INC.</v>
      </c>
      <c r="B9" s="42"/>
      <c r="C9" s="43"/>
      <c r="D9" s="44"/>
      <c r="E9" s="44"/>
      <c r="F9" s="45"/>
      <c r="G9" s="46"/>
      <c r="H9" s="47"/>
      <c r="I9" s="48"/>
      <c r="J9" s="49"/>
      <c r="K9" s="50"/>
      <c r="L9" s="51"/>
      <c r="M9" s="52"/>
      <c r="N9" s="53"/>
      <c r="O9" s="54"/>
      <c r="P9" s="55"/>
    </row>
    <row r="10" spans="1:103" customFormat="1" ht="15" x14ac:dyDescent="0.25">
      <c r="A10" s="56"/>
      <c r="B10" s="57"/>
      <c r="C10" s="58"/>
      <c r="D10" s="59" t="s">
        <v>112</v>
      </c>
      <c r="E10" s="59" t="s">
        <v>113</v>
      </c>
      <c r="F10" s="60" t="s">
        <v>114</v>
      </c>
      <c r="G10" s="61"/>
      <c r="H10" s="62"/>
      <c r="I10" s="63"/>
      <c r="J10" s="64"/>
      <c r="K10" s="1"/>
      <c r="L10" s="65"/>
      <c r="M10" s="66"/>
      <c r="N10" s="67"/>
      <c r="O10" s="68"/>
      <c r="P10" s="69"/>
    </row>
    <row r="11" spans="1:103" customFormat="1" ht="13.5" customHeight="1" x14ac:dyDescent="0.25">
      <c r="A11" s="70" t="s">
        <v>151</v>
      </c>
      <c r="B11" s="71"/>
      <c r="C11" s="72"/>
      <c r="D11" s="73">
        <f>R7</f>
        <v>2059.7431122321432</v>
      </c>
      <c r="E11" s="74"/>
      <c r="F11" s="75" t="str">
        <f>"In payment for 3 packs of san remo fettucine and 30 packs of san remo spaghetti for storeroom using housefund received on " &amp; TEXT(A5, "mmmm dd, yyyy") &amp; " with SI#25286 PR#30517" &amp; " CPO#" &amp;B5</f>
        <v>In payment for 3 packs of san remo fettucine and 30 packs of san remo spaghetti for storeroom using housefund received on August 09, 2025 with SI#25286 PR#30517 CPO#18968</v>
      </c>
      <c r="G11" s="76"/>
      <c r="H11" s="77"/>
      <c r="I11" s="77"/>
      <c r="J11" s="76"/>
      <c r="K11" s="1"/>
      <c r="L11" s="65"/>
      <c r="M11" s="78"/>
      <c r="N11" s="79"/>
      <c r="O11" s="80"/>
      <c r="P11" s="81"/>
    </row>
    <row r="12" spans="1:103" customFormat="1" ht="15" x14ac:dyDescent="0.25">
      <c r="A12" s="70" t="s">
        <v>115</v>
      </c>
      <c r="B12" s="71"/>
      <c r="C12" s="72"/>
      <c r="D12" s="73">
        <f>Q7</f>
        <v>244.72195392857145</v>
      </c>
      <c r="E12" s="74"/>
      <c r="F12" s="64" t="str">
        <f>"Recording input VAT for expenses and purchases made using house fund for " &amp; TEXT(A5, "mmmm dd, yyyy")</f>
        <v>Recording input VAT for expenses and purchases made using house fund for August 09,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85" t="s">
        <v>116</v>
      </c>
      <c r="B13" s="86"/>
      <c r="C13" s="87"/>
      <c r="D13" s="88"/>
      <c r="E13" s="74">
        <f>P7</f>
        <v>20.393496160714285</v>
      </c>
      <c r="F13" s="89" t="str">
        <f>"Recording the tax withheld for expenses and purchases using the house fund received on " &amp; TEXT(A5, "mmmm dd, yyyy")</f>
        <v>Recording the tax withheld for expenses and purchases using the house fund received on August 09,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70" t="s">
        <v>117</v>
      </c>
      <c r="B14" s="86"/>
      <c r="C14" s="87"/>
      <c r="D14" s="90"/>
      <c r="E14" s="91">
        <f>M7</f>
        <v>2284.0715700000005</v>
      </c>
      <c r="F14" s="89" t="str">
        <f>"Recording house fund expenses for replenishment on " &amp; TEXT(A5, "mmmm dd, yyyy")</f>
        <v>Recording house fund expenses for replenishment on August 09,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85"/>
      <c r="B15" s="86"/>
      <c r="C15" s="87"/>
      <c r="D15" s="88">
        <f>SUM(D11:D12)</f>
        <v>2304.4650661607147</v>
      </c>
      <c r="E15" s="88">
        <f>SUM(E11:E14)</f>
        <v>2304.4650661607147</v>
      </c>
      <c r="F15" s="92"/>
      <c r="G15" s="92"/>
      <c r="H15" s="93"/>
      <c r="I15" s="94"/>
      <c r="J15" s="92"/>
      <c r="K15" s="1"/>
      <c r="L15" s="65"/>
      <c r="M15" s="66"/>
      <c r="N15" s="67"/>
      <c r="O15" s="68"/>
      <c r="P15" s="69"/>
    </row>
    <row r="16" spans="1:103" customFormat="1" ht="15" x14ac:dyDescent="0.25">
      <c r="A16" s="95" t="s">
        <v>118</v>
      </c>
      <c r="B16" s="96" t="str">
        <f>"To record house fund expenses on " &amp; TEXT(A5, "mmmm dd, yyyy") &amp; " with PCV#" &amp; C5</f>
        <v>To record house fund expenses on August 09, 2025 with PCV#20877</v>
      </c>
      <c r="C16" s="97"/>
      <c r="D16" s="98"/>
      <c r="E16" s="98"/>
      <c r="F16" s="98"/>
      <c r="G16" s="92"/>
      <c r="H16" s="93"/>
      <c r="I16" s="94"/>
      <c r="J16" s="92"/>
      <c r="K16" s="1"/>
      <c r="L16" s="65"/>
      <c r="M16" s="66"/>
      <c r="N16" s="67"/>
      <c r="O16" s="68"/>
      <c r="P16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EC0D7-F8A8-452B-A74A-CCED37E97E4B}">
  <sheetPr>
    <tabColor rgb="FFFF0066"/>
  </sheetPr>
  <dimension ref="A1:CY15"/>
  <sheetViews>
    <sheetView workbookViewId="0">
      <selection activeCell="K17" sqref="K17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45878</v>
      </c>
      <c r="B5" s="3" t="s">
        <v>209</v>
      </c>
      <c r="C5" s="4"/>
      <c r="D5" s="5" t="s">
        <v>210</v>
      </c>
      <c r="E5" s="6" t="s">
        <v>211</v>
      </c>
      <c r="F5" s="7" t="s">
        <v>212</v>
      </c>
      <c r="G5" s="8" t="s">
        <v>213</v>
      </c>
      <c r="H5" s="9">
        <v>214693</v>
      </c>
      <c r="I5" s="10"/>
      <c r="J5" s="11" t="s">
        <v>214</v>
      </c>
      <c r="K5" s="12">
        <v>1</v>
      </c>
      <c r="L5" s="13">
        <v>10</v>
      </c>
      <c r="M5" s="14">
        <f t="shared" ref="M5" si="0">L5*K5</f>
        <v>10</v>
      </c>
      <c r="N5" s="15"/>
      <c r="O5" s="16" t="s">
        <v>111</v>
      </c>
      <c r="P5" s="17">
        <f>M5/1.12*0.02</f>
        <v>0.17857142857142855</v>
      </c>
      <c r="Q5" s="18">
        <f>M5/1.12*0.12</f>
        <v>1.0714285714285712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>
        <f>M5+P5-Q5</f>
        <v>9.1071428571428577</v>
      </c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10</v>
      </c>
      <c r="N6" s="38">
        <f>M6</f>
        <v>10</v>
      </c>
      <c r="O6" s="39" t="s">
        <v>111</v>
      </c>
      <c r="P6" s="38">
        <f>SUM(P5:P5)</f>
        <v>0.17857142857142855</v>
      </c>
      <c r="Q6" s="38">
        <f>SUM(Q5:Q5)</f>
        <v>1.0714285714285712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>SUM(BO5:BO5)</f>
        <v>9.1071428571428577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 xml:space="preserve">INSULAR SQUARE 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215</v>
      </c>
      <c r="B10" s="71"/>
      <c r="C10" s="72"/>
      <c r="D10" s="73">
        <f>BO6</f>
        <v>9.1071428571428577</v>
      </c>
      <c r="E10" s="74"/>
      <c r="F10" s="75" t="str">
        <f>"In payment for parking fee during bank transaction using housefund received on " &amp; TEXT(A5, "mmmm dd, yyyy") &amp; " with SI#214693" &amp; " CPO#" &amp;B5</f>
        <v>In payment for parking fee during bank transaction using housefund received on August 09, 2025 with SI#214693 CPO#18969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1.0714285714285712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09,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0.17857142857142855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09,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10</v>
      </c>
      <c r="F13" s="89" t="str">
        <f>"Recording house fund expenses for replenishment on " &amp; TEXT(A5, "mmmm dd, yyyy")</f>
        <v>Recording house fund expenses for replenishment on August 09,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10.178571428571429</v>
      </c>
      <c r="E14" s="88">
        <f>SUM(E10:E13)</f>
        <v>10.178571428571429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09, 2025 with PCV#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6AB21-575E-4465-8742-E9124704AE8A}">
  <sheetPr>
    <tabColor rgb="FFFF0066"/>
  </sheetPr>
  <dimension ref="A1:CY15"/>
  <sheetViews>
    <sheetView topLeftCell="A4" workbookViewId="0">
      <selection activeCell="L13" sqref="L13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45878</v>
      </c>
      <c r="B5" s="3" t="s">
        <v>209</v>
      </c>
      <c r="C5" s="4"/>
      <c r="D5" s="5" t="s">
        <v>210</v>
      </c>
      <c r="E5" s="6" t="s">
        <v>211</v>
      </c>
      <c r="F5" s="7" t="s">
        <v>212</v>
      </c>
      <c r="G5" s="8" t="s">
        <v>213</v>
      </c>
      <c r="H5" s="9">
        <v>214692</v>
      </c>
      <c r="I5" s="10"/>
      <c r="J5" s="11" t="s">
        <v>214</v>
      </c>
      <c r="K5" s="12">
        <v>1</v>
      </c>
      <c r="L5" s="13">
        <v>10</v>
      </c>
      <c r="M5" s="14">
        <f t="shared" ref="M5" si="0">L5*K5</f>
        <v>10</v>
      </c>
      <c r="N5" s="15"/>
      <c r="O5" s="16" t="s">
        <v>111</v>
      </c>
      <c r="P5" s="17">
        <f>M5/1.12*0.02</f>
        <v>0.17857142857142855</v>
      </c>
      <c r="Q5" s="18">
        <f>M5/1.12*0.12</f>
        <v>1.0714285714285712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>
        <f>M5+P5-Q5</f>
        <v>9.1071428571428577</v>
      </c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10</v>
      </c>
      <c r="N6" s="38">
        <f>M6</f>
        <v>10</v>
      </c>
      <c r="O6" s="39" t="s">
        <v>111</v>
      </c>
      <c r="P6" s="38">
        <f>SUM(P5:P5)</f>
        <v>0.17857142857142855</v>
      </c>
      <c r="Q6" s="38">
        <f>SUM(Q5:Q5)</f>
        <v>1.0714285714285712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>SUM(BO5:BO5)</f>
        <v>9.1071428571428577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 xml:space="preserve">INSULAR SQUARE 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215</v>
      </c>
      <c r="B10" s="71"/>
      <c r="C10" s="72"/>
      <c r="D10" s="73">
        <f>BO6</f>
        <v>9.1071428571428577</v>
      </c>
      <c r="E10" s="74"/>
      <c r="F10" s="75" t="str">
        <f>"In payment for parking fee during bank transaction using housefund received on " &amp; TEXT(A5, "mmmm dd, yyyy") &amp; " with SI#214692" &amp; " CPO#" &amp;B5</f>
        <v>In payment for parking fee during bank transaction using housefund received on August 09, 2025 with SI#214692 CPO#18969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1.0714285714285712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09,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0.17857142857142855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09,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10</v>
      </c>
      <c r="F13" s="89" t="str">
        <f>"Recording house fund expenses for replenishment on " &amp; TEXT(A5, "mmmm dd, yyyy")</f>
        <v>Recording house fund expenses for replenishment on August 09,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10.178571428571429</v>
      </c>
      <c r="E14" s="88">
        <f>SUM(E10:E13)</f>
        <v>10.178571428571429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09, 2025 with PCV#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</mergeCells>
  <pageMargins left="0.7" right="0.7" top="0.75" bottom="0.75" header="0.3" footer="0.3"/>
  <legacy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C78C0-446F-4D37-A587-C42FFEDFC5A2}">
  <sheetPr>
    <tabColor rgb="FFFF0066"/>
  </sheetPr>
  <dimension ref="A1:CY20"/>
  <sheetViews>
    <sheetView topLeftCell="A3" workbookViewId="0">
      <selection activeCell="G19" sqref="G19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45880</v>
      </c>
      <c r="B5" s="3" t="s">
        <v>209</v>
      </c>
      <c r="C5" s="4" t="s">
        <v>514</v>
      </c>
      <c r="D5" s="5" t="s">
        <v>210</v>
      </c>
      <c r="E5" s="6" t="s">
        <v>216</v>
      </c>
      <c r="F5" s="7"/>
      <c r="G5" s="8"/>
      <c r="H5" s="9"/>
      <c r="I5" s="10"/>
      <c r="J5" s="11" t="s">
        <v>217</v>
      </c>
      <c r="K5" s="12">
        <v>1</v>
      </c>
      <c r="L5" s="13">
        <v>599</v>
      </c>
      <c r="M5" s="14">
        <f t="shared" ref="M5:M9" si="0">L5*K5</f>
        <v>599</v>
      </c>
      <c r="N5" s="15"/>
      <c r="O5" s="16" t="s">
        <v>136</v>
      </c>
      <c r="P5" s="17"/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7">
        <f>M5+P5-Q5</f>
        <v>599</v>
      </c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218</v>
      </c>
      <c r="K6" s="12">
        <v>1</v>
      </c>
      <c r="L6" s="13">
        <v>599</v>
      </c>
      <c r="M6" s="14">
        <f t="shared" si="0"/>
        <v>599</v>
      </c>
      <c r="N6" s="15"/>
      <c r="O6" s="16" t="s">
        <v>136</v>
      </c>
      <c r="P6" s="17"/>
      <c r="Q6" s="18"/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7">
        <f>M6+P6-Q6</f>
        <v>599</v>
      </c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5" customFormat="1" x14ac:dyDescent="0.2">
      <c r="A7" s="2"/>
      <c r="B7" s="3"/>
      <c r="C7" s="4"/>
      <c r="E7" s="6"/>
      <c r="F7" s="7"/>
      <c r="G7" s="8"/>
      <c r="H7" s="9"/>
      <c r="I7" s="10"/>
      <c r="J7" s="11" t="s">
        <v>219</v>
      </c>
      <c r="K7" s="12">
        <v>1</v>
      </c>
      <c r="L7" s="13">
        <v>999</v>
      </c>
      <c r="M7" s="14">
        <f t="shared" si="0"/>
        <v>999</v>
      </c>
      <c r="N7" s="15"/>
      <c r="O7" s="16" t="s">
        <v>136</v>
      </c>
      <c r="P7" s="17"/>
      <c r="Q7" s="18"/>
      <c r="S7" s="19"/>
      <c r="T7" s="19"/>
      <c r="U7" s="19"/>
      <c r="V7" s="19"/>
      <c r="W7" s="17"/>
      <c r="X7" s="20"/>
      <c r="Y7" s="19"/>
      <c r="Z7" s="19"/>
      <c r="AA7" s="19"/>
      <c r="AB7" s="19"/>
      <c r="AC7" s="19"/>
      <c r="AD7" s="19"/>
      <c r="AF7" s="19"/>
      <c r="AH7" s="17"/>
      <c r="AI7" s="19"/>
      <c r="AJ7" s="19"/>
      <c r="AK7" s="19"/>
      <c r="AL7" s="19"/>
      <c r="AM7" s="17"/>
      <c r="AN7" s="19"/>
      <c r="AO7" s="19"/>
      <c r="AP7" s="19"/>
      <c r="AQ7" s="19"/>
      <c r="AR7" s="19"/>
      <c r="AS7" s="21"/>
      <c r="AU7" s="19"/>
      <c r="AW7" s="22"/>
      <c r="AX7" s="19"/>
      <c r="AZ7" s="19"/>
      <c r="BC7" s="19"/>
      <c r="BD7" s="19"/>
      <c r="BE7" s="19"/>
      <c r="BF7" s="19"/>
      <c r="BG7" s="19"/>
      <c r="BH7" s="19"/>
      <c r="BI7" s="19"/>
      <c r="BJ7" s="19"/>
      <c r="BK7" s="13"/>
      <c r="BN7" s="19"/>
      <c r="BO7" s="17"/>
      <c r="BP7" s="19"/>
      <c r="BQ7" s="17"/>
      <c r="BR7" s="19"/>
      <c r="BS7" s="17">
        <f>M7+P7-Q7</f>
        <v>999</v>
      </c>
      <c r="BU7" s="23"/>
      <c r="BV7" s="23"/>
      <c r="BW7" s="24"/>
      <c r="CA7" s="24"/>
      <c r="CB7" s="24"/>
      <c r="CC7" s="24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25"/>
      <c r="CW7" s="26"/>
    </row>
    <row r="8" spans="1:103" s="5" customFormat="1" x14ac:dyDescent="0.2">
      <c r="A8" s="2"/>
      <c r="B8" s="3"/>
      <c r="C8" s="4"/>
      <c r="E8" s="6"/>
      <c r="F8" s="7"/>
      <c r="G8" s="8"/>
      <c r="H8" s="9"/>
      <c r="I8" s="10"/>
      <c r="J8" s="11" t="s">
        <v>220</v>
      </c>
      <c r="K8" s="12">
        <v>1</v>
      </c>
      <c r="L8" s="13">
        <v>599</v>
      </c>
      <c r="M8" s="14">
        <f t="shared" si="0"/>
        <v>599</v>
      </c>
      <c r="N8" s="15"/>
      <c r="O8" s="16" t="s">
        <v>136</v>
      </c>
      <c r="P8" s="17"/>
      <c r="Q8" s="18"/>
      <c r="S8" s="19"/>
      <c r="T8" s="19"/>
      <c r="U8" s="19"/>
      <c r="V8" s="19"/>
      <c r="W8" s="17"/>
      <c r="X8" s="20"/>
      <c r="Y8" s="19"/>
      <c r="Z8" s="19"/>
      <c r="AA8" s="19"/>
      <c r="AB8" s="19"/>
      <c r="AC8" s="19"/>
      <c r="AD8" s="19"/>
      <c r="AF8" s="19"/>
      <c r="AH8" s="17"/>
      <c r="AI8" s="19"/>
      <c r="AJ8" s="19"/>
      <c r="AK8" s="19"/>
      <c r="AL8" s="19"/>
      <c r="AM8" s="17"/>
      <c r="AN8" s="19"/>
      <c r="AO8" s="19"/>
      <c r="AP8" s="19"/>
      <c r="AQ8" s="19"/>
      <c r="AR8" s="19"/>
      <c r="AS8" s="21"/>
      <c r="AU8" s="19"/>
      <c r="AW8" s="22"/>
      <c r="AX8" s="19"/>
      <c r="AZ8" s="19"/>
      <c r="BC8" s="19"/>
      <c r="BD8" s="19"/>
      <c r="BE8" s="19"/>
      <c r="BF8" s="19"/>
      <c r="BG8" s="19"/>
      <c r="BH8" s="19"/>
      <c r="BI8" s="19"/>
      <c r="BJ8" s="19"/>
      <c r="BK8" s="13"/>
      <c r="BN8" s="19"/>
      <c r="BO8" s="17"/>
      <c r="BP8" s="19"/>
      <c r="BQ8" s="17"/>
      <c r="BR8" s="19"/>
      <c r="BS8" s="17">
        <f>M8+P8-Q8</f>
        <v>599</v>
      </c>
      <c r="BU8" s="23"/>
      <c r="BV8" s="23"/>
      <c r="BW8" s="24"/>
      <c r="CA8" s="24"/>
      <c r="CB8" s="24"/>
      <c r="CC8" s="24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25"/>
      <c r="CW8" s="26"/>
    </row>
    <row r="9" spans="1:103" s="5" customFormat="1" x14ac:dyDescent="0.2">
      <c r="A9" s="2"/>
      <c r="B9" s="3"/>
      <c r="C9" s="4"/>
      <c r="E9" s="6"/>
      <c r="F9" s="7"/>
      <c r="G9" s="8"/>
      <c r="H9" s="9"/>
      <c r="I9" s="10"/>
      <c r="J9" s="11" t="s">
        <v>221</v>
      </c>
      <c r="K9" s="12">
        <v>1</v>
      </c>
      <c r="L9" s="13">
        <v>100</v>
      </c>
      <c r="M9" s="14">
        <f t="shared" si="0"/>
        <v>100</v>
      </c>
      <c r="N9" s="15"/>
      <c r="O9" s="16" t="s">
        <v>136</v>
      </c>
      <c r="P9" s="17"/>
      <c r="Q9" s="18"/>
      <c r="S9" s="19"/>
      <c r="T9" s="19"/>
      <c r="U9" s="19"/>
      <c r="V9" s="19"/>
      <c r="W9" s="17"/>
      <c r="X9" s="20"/>
      <c r="Y9" s="19"/>
      <c r="Z9" s="19"/>
      <c r="AA9" s="19"/>
      <c r="AB9" s="19"/>
      <c r="AC9" s="19"/>
      <c r="AD9" s="19"/>
      <c r="AF9" s="19"/>
      <c r="AH9" s="17"/>
      <c r="AI9" s="19"/>
      <c r="AJ9" s="19"/>
      <c r="AK9" s="19"/>
      <c r="AL9" s="19"/>
      <c r="AM9" s="17"/>
      <c r="AN9" s="19"/>
      <c r="AO9" s="19"/>
      <c r="AP9" s="19"/>
      <c r="AQ9" s="19"/>
      <c r="AR9" s="19"/>
      <c r="AS9" s="21"/>
      <c r="AU9" s="19"/>
      <c r="AW9" s="22"/>
      <c r="AX9" s="19"/>
      <c r="AZ9" s="19"/>
      <c r="BC9" s="19"/>
      <c r="BD9" s="19"/>
      <c r="BE9" s="19"/>
      <c r="BF9" s="19"/>
      <c r="BG9" s="19"/>
      <c r="BH9" s="19"/>
      <c r="BI9" s="19"/>
      <c r="BJ9" s="19"/>
      <c r="BK9" s="13"/>
      <c r="BN9" s="19"/>
      <c r="BO9" s="17"/>
      <c r="BP9" s="19"/>
      <c r="BQ9" s="17"/>
      <c r="BR9" s="19"/>
      <c r="BU9" s="23"/>
      <c r="BV9" s="17">
        <f>M9+P9-Q9</f>
        <v>100</v>
      </c>
      <c r="BW9" s="24"/>
      <c r="CA9" s="24"/>
      <c r="CB9" s="24"/>
      <c r="CC9" s="24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25"/>
      <c r="CW9" s="26"/>
    </row>
    <row r="10" spans="1:103" s="30" customFormat="1" ht="11.25" x14ac:dyDescent="0.2">
      <c r="A10" s="27"/>
      <c r="B10" s="28"/>
      <c r="C10" s="29"/>
      <c r="E10" s="31"/>
      <c r="F10" s="32"/>
      <c r="G10" s="33"/>
      <c r="H10" s="34"/>
      <c r="I10" s="34"/>
      <c r="J10" s="35"/>
      <c r="K10" s="36"/>
      <c r="L10" s="37"/>
      <c r="M10" s="38">
        <f>SUM(M5:M9)</f>
        <v>2896</v>
      </c>
      <c r="N10" s="38">
        <f>M10</f>
        <v>2896</v>
      </c>
      <c r="O10" s="39" t="s">
        <v>137</v>
      </c>
      <c r="P10" s="38">
        <f>SUM(P5:P9)</f>
        <v>0</v>
      </c>
      <c r="Q10" s="38">
        <f>SUM(Q5:Q9)</f>
        <v>0</v>
      </c>
      <c r="S10" s="38">
        <f t="shared" ref="S10:AD10" si="1">SUM(S5:S5)</f>
        <v>0</v>
      </c>
      <c r="T10" s="38">
        <f t="shared" si="1"/>
        <v>0</v>
      </c>
      <c r="U10" s="38">
        <f t="shared" si="1"/>
        <v>0</v>
      </c>
      <c r="V10" s="38">
        <f t="shared" si="1"/>
        <v>0</v>
      </c>
      <c r="W10" s="38">
        <f t="shared" si="1"/>
        <v>0</v>
      </c>
      <c r="X10" s="38">
        <f t="shared" si="1"/>
        <v>0</v>
      </c>
      <c r="Y10" s="38">
        <f t="shared" si="1"/>
        <v>0</v>
      </c>
      <c r="Z10" s="38">
        <f t="shared" si="1"/>
        <v>0</v>
      </c>
      <c r="AA10" s="38">
        <f t="shared" si="1"/>
        <v>0</v>
      </c>
      <c r="AB10" s="38">
        <f t="shared" si="1"/>
        <v>0</v>
      </c>
      <c r="AC10" s="38">
        <f t="shared" si="1"/>
        <v>0</v>
      </c>
      <c r="AD10" s="38">
        <f t="shared" si="1"/>
        <v>0</v>
      </c>
      <c r="AF10" s="38">
        <f>SUM(AF5:AF5)</f>
        <v>0</v>
      </c>
      <c r="AH10" s="38">
        <f t="shared" ref="AH10:AZ10" si="2">SUM(AH5:AH5)</f>
        <v>0</v>
      </c>
      <c r="AI10" s="38">
        <f t="shared" si="2"/>
        <v>0</v>
      </c>
      <c r="AJ10" s="38">
        <f t="shared" si="2"/>
        <v>0</v>
      </c>
      <c r="AK10" s="38">
        <f t="shared" si="2"/>
        <v>0</v>
      </c>
      <c r="AL10" s="38">
        <f t="shared" si="2"/>
        <v>0</v>
      </c>
      <c r="AM10" s="38">
        <f t="shared" si="2"/>
        <v>0</v>
      </c>
      <c r="AN10" s="38">
        <f t="shared" si="2"/>
        <v>0</v>
      </c>
      <c r="AO10" s="38">
        <f t="shared" si="2"/>
        <v>0</v>
      </c>
      <c r="AP10" s="38">
        <f t="shared" si="2"/>
        <v>0</v>
      </c>
      <c r="AQ10" s="38">
        <f t="shared" si="2"/>
        <v>0</v>
      </c>
      <c r="AR10" s="38">
        <f t="shared" si="2"/>
        <v>0</v>
      </c>
      <c r="AS10" s="38">
        <f t="shared" si="2"/>
        <v>0</v>
      </c>
      <c r="AT10" s="38">
        <f t="shared" si="2"/>
        <v>0</v>
      </c>
      <c r="AU10" s="38">
        <f t="shared" si="2"/>
        <v>0</v>
      </c>
      <c r="AV10" s="38">
        <f t="shared" si="2"/>
        <v>0</v>
      </c>
      <c r="AW10" s="38">
        <f t="shared" si="2"/>
        <v>0</v>
      </c>
      <c r="AX10" s="38">
        <f t="shared" si="2"/>
        <v>0</v>
      </c>
      <c r="AY10" s="38">
        <f t="shared" si="2"/>
        <v>0</v>
      </c>
      <c r="AZ10" s="38">
        <f t="shared" si="2"/>
        <v>0</v>
      </c>
      <c r="BB10" s="38">
        <f t="shared" ref="BB10:BR10" si="3">SUM(BB5:BB5)</f>
        <v>0</v>
      </c>
      <c r="BC10" s="38">
        <f t="shared" si="3"/>
        <v>0</v>
      </c>
      <c r="BD10" s="38">
        <f t="shared" si="3"/>
        <v>0</v>
      </c>
      <c r="BE10" s="38">
        <f t="shared" si="3"/>
        <v>0</v>
      </c>
      <c r="BF10" s="38">
        <f t="shared" si="3"/>
        <v>0</v>
      </c>
      <c r="BG10" s="38">
        <f t="shared" si="3"/>
        <v>0</v>
      </c>
      <c r="BH10" s="38">
        <f t="shared" si="3"/>
        <v>0</v>
      </c>
      <c r="BI10" s="38">
        <f t="shared" si="3"/>
        <v>0</v>
      </c>
      <c r="BJ10" s="38">
        <f t="shared" si="3"/>
        <v>0</v>
      </c>
      <c r="BK10" s="38">
        <f t="shared" si="3"/>
        <v>0</v>
      </c>
      <c r="BL10" s="38">
        <f t="shared" si="3"/>
        <v>0</v>
      </c>
      <c r="BM10" s="38">
        <f t="shared" si="3"/>
        <v>0</v>
      </c>
      <c r="BN10" s="38">
        <f t="shared" si="3"/>
        <v>0</v>
      </c>
      <c r="BO10" s="38">
        <f t="shared" si="3"/>
        <v>0</v>
      </c>
      <c r="BP10" s="38">
        <f t="shared" si="3"/>
        <v>0</v>
      </c>
      <c r="BQ10" s="38">
        <f t="shared" si="3"/>
        <v>0</v>
      </c>
      <c r="BR10" s="38">
        <f t="shared" si="3"/>
        <v>0</v>
      </c>
      <c r="BS10" s="38">
        <f>SUM(BS5:BS9)</f>
        <v>2796</v>
      </c>
      <c r="BT10" s="38">
        <f>SUM(BT5:BT9)</f>
        <v>0</v>
      </c>
      <c r="BU10" s="38">
        <f>SUM(BU5:BU9)</f>
        <v>0</v>
      </c>
      <c r="BV10" s="38">
        <f>SUM(BV5:BV9)</f>
        <v>100</v>
      </c>
      <c r="BW10" s="38">
        <f t="shared" ref="BW10:CV10" si="4">SUM(BW5:BW5)</f>
        <v>0</v>
      </c>
      <c r="BX10" s="38">
        <f t="shared" si="4"/>
        <v>0</v>
      </c>
      <c r="BY10" s="38">
        <f t="shared" si="4"/>
        <v>0</v>
      </c>
      <c r="BZ10" s="38">
        <f t="shared" si="4"/>
        <v>0</v>
      </c>
      <c r="CA10" s="38">
        <f t="shared" si="4"/>
        <v>0</v>
      </c>
      <c r="CB10" s="38">
        <f t="shared" si="4"/>
        <v>0</v>
      </c>
      <c r="CC10" s="38">
        <f t="shared" si="4"/>
        <v>0</v>
      </c>
      <c r="CD10" s="38">
        <f t="shared" si="4"/>
        <v>0</v>
      </c>
      <c r="CE10" s="38">
        <f t="shared" si="4"/>
        <v>0</v>
      </c>
      <c r="CF10" s="38">
        <f t="shared" si="4"/>
        <v>0</v>
      </c>
      <c r="CG10" s="38">
        <f t="shared" si="4"/>
        <v>0</v>
      </c>
      <c r="CH10" s="38">
        <f t="shared" si="4"/>
        <v>0</v>
      </c>
      <c r="CI10" s="38">
        <f t="shared" si="4"/>
        <v>0</v>
      </c>
      <c r="CJ10" s="38">
        <f t="shared" si="4"/>
        <v>0</v>
      </c>
      <c r="CK10" s="38">
        <f t="shared" si="4"/>
        <v>0</v>
      </c>
      <c r="CL10" s="38">
        <f t="shared" si="4"/>
        <v>0</v>
      </c>
      <c r="CM10" s="38">
        <f t="shared" si="4"/>
        <v>0</v>
      </c>
      <c r="CN10" s="38">
        <f t="shared" si="4"/>
        <v>0</v>
      </c>
      <c r="CO10" s="38">
        <f t="shared" si="4"/>
        <v>0</v>
      </c>
      <c r="CP10" s="38">
        <f t="shared" si="4"/>
        <v>0</v>
      </c>
      <c r="CQ10" s="38">
        <f t="shared" si="4"/>
        <v>0</v>
      </c>
      <c r="CR10" s="38">
        <f t="shared" si="4"/>
        <v>0</v>
      </c>
      <c r="CS10" s="38">
        <f t="shared" si="4"/>
        <v>0</v>
      </c>
      <c r="CT10" s="38">
        <f t="shared" si="4"/>
        <v>0</v>
      </c>
      <c r="CU10" s="38">
        <f t="shared" si="4"/>
        <v>0</v>
      </c>
      <c r="CV10" s="38">
        <f t="shared" si="4"/>
        <v>0</v>
      </c>
      <c r="CW10" s="40"/>
    </row>
    <row r="11" spans="1:103" customFormat="1" ht="15" x14ac:dyDescent="0.25"/>
    <row r="12" spans="1:103" customFormat="1" ht="15" x14ac:dyDescent="0.25">
      <c r="A12" s="41" t="str">
        <f>E5</f>
        <v>BPI</v>
      </c>
      <c r="B12" s="42"/>
      <c r="C12" s="43"/>
      <c r="D12" s="44"/>
      <c r="E12" s="44"/>
      <c r="F12" s="45"/>
      <c r="G12" s="46"/>
      <c r="H12" s="47"/>
      <c r="I12" s="48"/>
      <c r="J12" s="49"/>
      <c r="K12" s="50"/>
      <c r="L12" s="51"/>
      <c r="M12" s="52"/>
      <c r="N12" s="53"/>
      <c r="O12" s="54"/>
      <c r="P12" s="55"/>
    </row>
    <row r="13" spans="1:103" customFormat="1" ht="15" x14ac:dyDescent="0.25">
      <c r="A13" s="56"/>
      <c r="B13" s="57"/>
      <c r="C13" s="58"/>
      <c r="D13" s="59" t="s">
        <v>112</v>
      </c>
      <c r="E13" s="59" t="s">
        <v>113</v>
      </c>
      <c r="F13" s="60" t="s">
        <v>114</v>
      </c>
      <c r="G13" s="61"/>
      <c r="H13" s="62"/>
      <c r="I13" s="63"/>
      <c r="J13" s="64"/>
      <c r="K13" s="1"/>
      <c r="L13" s="65"/>
      <c r="M13" s="66"/>
      <c r="N13" s="67"/>
      <c r="O13" s="68"/>
      <c r="P13" s="69"/>
    </row>
    <row r="14" spans="1:103" customFormat="1" ht="13.5" customHeight="1" x14ac:dyDescent="0.25">
      <c r="A14" s="70" t="s">
        <v>39</v>
      </c>
      <c r="B14" s="71"/>
      <c r="C14" s="72"/>
      <c r="D14" s="73">
        <f>BS10</f>
        <v>2796</v>
      </c>
      <c r="E14" s="74"/>
      <c r="F14" s="75" t="str">
        <f>"In payment for mobile load for soto reservation(09176385160), sales telemarketing (09171496537), soto fo (09171354304), and ma'am rechie (09177996174) using housefund received on " &amp; TEXT(A5, "mmmm dd, yyyy") &amp; " with" &amp; " CPO#" &amp;B5</f>
        <v>In payment for mobile load for soto reservation(09176385160), sales telemarketing (09171496537), soto fo (09171354304), and ma'am rechie (09177996174) using housefund received on August 11, 2025 with CPO#18969</v>
      </c>
      <c r="G14" s="76"/>
      <c r="H14" s="77"/>
      <c r="I14" s="77"/>
      <c r="J14" s="76"/>
      <c r="K14" s="1"/>
      <c r="L14" s="65"/>
      <c r="M14" s="78"/>
      <c r="N14" s="79"/>
      <c r="O14" s="80"/>
      <c r="P14" s="81"/>
    </row>
    <row r="15" spans="1:103" customFormat="1" ht="13.5" customHeight="1" x14ac:dyDescent="0.25">
      <c r="A15" s="70" t="s">
        <v>42</v>
      </c>
      <c r="B15" s="71"/>
      <c r="C15" s="72"/>
      <c r="D15" s="73">
        <f>BV10</f>
        <v>100</v>
      </c>
      <c r="E15" s="74"/>
      <c r="F15" s="75" t="s">
        <v>222</v>
      </c>
      <c r="G15" s="76"/>
      <c r="H15" s="77"/>
      <c r="I15" s="77"/>
      <c r="J15" s="76"/>
      <c r="K15" s="1"/>
      <c r="L15" s="65"/>
      <c r="M15" s="78"/>
      <c r="N15" s="79"/>
      <c r="O15" s="80"/>
      <c r="P15" s="81"/>
    </row>
    <row r="16" spans="1:103" customFormat="1" ht="15" x14ac:dyDescent="0.25">
      <c r="A16" s="70" t="s">
        <v>115</v>
      </c>
      <c r="B16" s="71"/>
      <c r="C16" s="72"/>
      <c r="D16" s="73">
        <f>Q10</f>
        <v>0</v>
      </c>
      <c r="E16" s="74"/>
      <c r="F16" s="64" t="str">
        <f>"Recording input VAT for expenses and purchases made using house fund for " &amp; TEXT(A5, "mmmm dd, yyyy")</f>
        <v>Recording input VAT for expenses and purchases made using house fund for August 11, 2025</v>
      </c>
      <c r="G16" s="82"/>
      <c r="H16" s="83"/>
      <c r="I16" s="84"/>
      <c r="J16" s="82"/>
      <c r="K16" s="1"/>
      <c r="L16" s="65"/>
      <c r="M16" s="66"/>
      <c r="N16" s="67"/>
      <c r="O16" s="68"/>
      <c r="P16" s="69"/>
    </row>
    <row r="17" spans="1:16" customFormat="1" ht="15" x14ac:dyDescent="0.25">
      <c r="A17" s="85" t="s">
        <v>116</v>
      </c>
      <c r="B17" s="86"/>
      <c r="C17" s="87"/>
      <c r="D17" s="88"/>
      <c r="E17" s="74">
        <f>P10</f>
        <v>0</v>
      </c>
      <c r="F17" s="89" t="str">
        <f>"Recording the tax withheld for expenses and purchases using the house fund received on " &amp; TEXT(A5, "mmmm dd, yyyy")</f>
        <v>Recording the tax withheld for expenses and purchases using the house fund received on August 11, 2025</v>
      </c>
      <c r="G17" s="82"/>
      <c r="H17" s="83"/>
      <c r="I17" s="84"/>
      <c r="J17" s="82"/>
      <c r="K17" s="1"/>
      <c r="L17" s="65"/>
      <c r="M17" s="66"/>
      <c r="N17" s="67"/>
      <c r="O17" s="68"/>
      <c r="P17" s="69"/>
    </row>
    <row r="18" spans="1:16" customFormat="1" ht="15" x14ac:dyDescent="0.25">
      <c r="A18" s="70" t="s">
        <v>117</v>
      </c>
      <c r="B18" s="86"/>
      <c r="C18" s="87"/>
      <c r="D18" s="90"/>
      <c r="E18" s="91">
        <f>M10</f>
        <v>2896</v>
      </c>
      <c r="F18" s="89" t="str">
        <f>"Recording house fund expenses for replenishment on " &amp; TEXT(A5, "mmmm dd, yyyy")</f>
        <v>Recording house fund expenses for replenishment on August 11, 2025</v>
      </c>
      <c r="G18" s="82"/>
      <c r="H18" s="83"/>
      <c r="I18" s="84"/>
      <c r="J18" s="82"/>
      <c r="K18" s="1"/>
      <c r="L18" s="65"/>
      <c r="M18" s="66"/>
      <c r="N18" s="67"/>
      <c r="O18" s="68"/>
      <c r="P18" s="69"/>
    </row>
    <row r="19" spans="1:16" customFormat="1" ht="15" x14ac:dyDescent="0.25">
      <c r="A19" s="85"/>
      <c r="B19" s="86"/>
      <c r="C19" s="87"/>
      <c r="D19" s="88">
        <f>SUM(D14:D16)</f>
        <v>2896</v>
      </c>
      <c r="E19" s="88">
        <f>SUM(E14:E18)</f>
        <v>2896</v>
      </c>
      <c r="F19" s="92"/>
      <c r="G19" s="92"/>
      <c r="H19" s="93"/>
      <c r="I19" s="94"/>
      <c r="J19" s="92"/>
      <c r="K19" s="1"/>
      <c r="L19" s="65"/>
      <c r="M19" s="66"/>
      <c r="N19" s="67"/>
      <c r="O19" s="68"/>
      <c r="P19" s="69"/>
    </row>
    <row r="20" spans="1:16" customFormat="1" ht="15" x14ac:dyDescent="0.25">
      <c r="A20" s="95" t="s">
        <v>118</v>
      </c>
      <c r="B20" s="96" t="str">
        <f>"To record house fund expenses on " &amp; TEXT(A5, "mmmm dd, yyyy") &amp; " with PCV#" &amp; C5</f>
        <v>To record house fund expenses on August 11, 2025 with PCV#20880</v>
      </c>
      <c r="C20" s="97"/>
      <c r="D20" s="98"/>
      <c r="E20" s="98"/>
      <c r="F20" s="98"/>
      <c r="G20" s="92"/>
      <c r="H20" s="93"/>
      <c r="I20" s="94"/>
      <c r="J20" s="92"/>
      <c r="K20" s="1"/>
      <c r="L20" s="65"/>
      <c r="M20" s="66"/>
      <c r="N20" s="67"/>
      <c r="O20" s="68"/>
      <c r="P20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98540-053C-44B7-8D40-161AF26E23E0}">
  <sheetPr>
    <tabColor rgb="FFFF0066"/>
  </sheetPr>
  <dimension ref="A1:CY15"/>
  <sheetViews>
    <sheetView topLeftCell="A4"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ht="12" x14ac:dyDescent="0.2">
      <c r="A5" s="2">
        <v>45874</v>
      </c>
      <c r="B5" s="3" t="s">
        <v>209</v>
      </c>
      <c r="C5" s="4" t="s">
        <v>515</v>
      </c>
      <c r="D5" s="5" t="s">
        <v>210</v>
      </c>
      <c r="E5" s="156" t="s">
        <v>223</v>
      </c>
      <c r="F5" s="156" t="s">
        <v>224</v>
      </c>
      <c r="G5" s="156" t="s">
        <v>225</v>
      </c>
      <c r="H5" s="156">
        <v>62662</v>
      </c>
      <c r="I5" s="10"/>
      <c r="J5" s="11" t="s">
        <v>226</v>
      </c>
      <c r="K5" s="12">
        <v>1</v>
      </c>
      <c r="L5" s="13">
        <v>319.5</v>
      </c>
      <c r="M5" s="14">
        <f t="shared" ref="M5" si="0">L5*K5</f>
        <v>319.5</v>
      </c>
      <c r="N5" s="15"/>
      <c r="O5" s="16" t="s">
        <v>111</v>
      </c>
      <c r="P5" s="17">
        <f>M5/1.12*0.01</f>
        <v>2.8526785714285712</v>
      </c>
      <c r="Q5" s="18">
        <f>M5/1.12*0.12</f>
        <v>34.232142857142854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B5" s="17">
        <f>M5+P5-Q5</f>
        <v>288.12053571428572</v>
      </c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319.5</v>
      </c>
      <c r="N6" s="38">
        <f>M6</f>
        <v>319.5</v>
      </c>
      <c r="O6" s="39" t="s">
        <v>111</v>
      </c>
      <c r="P6" s="38">
        <f>SUM(P5:P5)</f>
        <v>2.8526785714285712</v>
      </c>
      <c r="Q6" s="38">
        <f>SUM(Q5:Q5)</f>
        <v>34.232142857142854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288.12053571428572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PAPSY'S BBQ INC.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227</v>
      </c>
      <c r="B10" s="71"/>
      <c r="C10" s="72"/>
      <c r="D10" s="73">
        <f>BB6</f>
        <v>288.12053571428572</v>
      </c>
      <c r="E10" s="74"/>
      <c r="F10" s="75" t="str">
        <f>"In payment for meal during bank transaction using housefund received on " &amp; TEXT(A5, "mmmm dd, yyyy") &amp; " with SI#62662" &amp; " CPO#" &amp;B5</f>
        <v>In payment for meal during bank transaction using housefund received on August 05, 2025 with SI#62662 CPO#18969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34.232142857142854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05,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2.8526785714285712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05,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319.5</v>
      </c>
      <c r="F13" s="89" t="str">
        <f>"Recording house fund expenses for replenishment on " &amp; TEXT(A5, "mmmm dd, yyyy")</f>
        <v>Recording house fund expenses for replenishment on August 05,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322.35267857142856</v>
      </c>
      <c r="E14" s="88">
        <f>SUM(E10:E13)</f>
        <v>322.35267857142856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05, 2025 with PCV#20881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6E3B-9908-4AF8-9407-3274D87BEDD5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45878</v>
      </c>
      <c r="B5" s="3" t="s">
        <v>209</v>
      </c>
      <c r="C5" s="4" t="s">
        <v>516</v>
      </c>
      <c r="D5" s="5" t="s">
        <v>210</v>
      </c>
      <c r="E5" s="6" t="s">
        <v>228</v>
      </c>
      <c r="F5" s="7"/>
      <c r="G5" s="8" t="s">
        <v>229</v>
      </c>
      <c r="H5" s="9">
        <v>13022909</v>
      </c>
      <c r="I5" s="10"/>
      <c r="J5" s="11" t="s">
        <v>226</v>
      </c>
      <c r="K5" s="12">
        <v>1</v>
      </c>
      <c r="L5" s="13">
        <v>467</v>
      </c>
      <c r="M5" s="14">
        <f t="shared" ref="M5" si="0">L5*K5</f>
        <v>467</v>
      </c>
      <c r="N5" s="15"/>
      <c r="O5" s="16" t="s">
        <v>111</v>
      </c>
      <c r="P5" s="17">
        <f>M5/1.12*0.01</f>
        <v>4.1696428571428568</v>
      </c>
      <c r="Q5" s="18">
        <f>M5/1.12*0.12</f>
        <v>50.035714285714278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B5" s="17">
        <f>M5+P5-Q5</f>
        <v>421.13392857142856</v>
      </c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467</v>
      </c>
      <c r="N6" s="38">
        <f>M6</f>
        <v>467</v>
      </c>
      <c r="O6" s="39" t="s">
        <v>111</v>
      </c>
      <c r="P6" s="38">
        <f>SUM(P5:P5)</f>
        <v>4.1696428571428568</v>
      </c>
      <c r="Q6" s="38">
        <f>SUM(Q5:Q5)</f>
        <v>50.035714285714278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421.13392857142856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TOP FOOD MACTAN CORPORATION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227</v>
      </c>
      <c r="B10" s="71"/>
      <c r="C10" s="72"/>
      <c r="D10" s="73">
        <f>BB6</f>
        <v>421.13392857142856</v>
      </c>
      <c r="E10" s="74"/>
      <c r="F10" s="75" t="str">
        <f>"In payment for meal during bank transaction using housefund received on " &amp; TEXT(A5, "mmmm dd, yyyy") &amp; " with SI#13022909" &amp; " CPO#" &amp;B5</f>
        <v>In payment for meal during bank transaction using housefund received on August 09, 2025 with SI#13022909 CPO#18969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50.035714285714278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09,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4.1696428571428568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09,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467</v>
      </c>
      <c r="F13" s="89" t="str">
        <f>"Recording house fund expenses for replenishment on " &amp; TEXT(A5, "mmmm dd, yyyy")</f>
        <v>Recording house fund expenses for replenishment on August 09,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471.16964285714283</v>
      </c>
      <c r="E14" s="88">
        <f>SUM(E10:E13)</f>
        <v>471.16964285714283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09, 2025 with PCV#20882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7DA59-D91C-4328-A57A-F6E0ECE91D1D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45876</v>
      </c>
      <c r="B5" s="3" t="s">
        <v>209</v>
      </c>
      <c r="C5" s="4" t="s">
        <v>517</v>
      </c>
      <c r="D5" s="5" t="s">
        <v>210</v>
      </c>
      <c r="E5" s="6" t="s">
        <v>230</v>
      </c>
      <c r="F5" s="7"/>
      <c r="G5" s="8"/>
      <c r="H5" s="9" t="s">
        <v>231</v>
      </c>
      <c r="I5" s="10"/>
      <c r="J5" s="11" t="s">
        <v>232</v>
      </c>
      <c r="K5" s="12">
        <v>1</v>
      </c>
      <c r="L5" s="13">
        <v>329</v>
      </c>
      <c r="M5" s="14">
        <f t="shared" ref="M5" si="0">L5*K5</f>
        <v>329</v>
      </c>
      <c r="N5" s="15"/>
      <c r="O5" s="16" t="s">
        <v>136</v>
      </c>
      <c r="P5" s="17"/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>
        <f>M5+P5-Q5</f>
        <v>329</v>
      </c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329</v>
      </c>
      <c r="N6" s="38">
        <f>M6</f>
        <v>329</v>
      </c>
      <c r="O6" s="39" t="s">
        <v>137</v>
      </c>
      <c r="P6" s="38"/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329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 xml:space="preserve">GRAB 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233</v>
      </c>
      <c r="B10" s="71"/>
      <c r="C10" s="72"/>
      <c r="D10" s="73">
        <f>BO6</f>
        <v>329</v>
      </c>
      <c r="E10" s="74"/>
      <c r="F10" s="75" t="str">
        <f>"In payment for grab fare to sotogrande hotel using housefund received on " &amp; TEXT(A5, "mmmm dd, yyyy") &amp; " with SI#A-87APVT7GWUJCAV " &amp; " CPO#" &amp;B5</f>
        <v>In payment for grab fare to sotogrande hotel using housefund received on August 07, 2025 with SI#A-87APVT7GWUJCAV  CPO#18969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07,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07,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329</v>
      </c>
      <c r="F13" s="89" t="str">
        <f>"Recording house fund expenses for replenishment on " &amp; TEXT(A5, "mmmm dd, yyyy")</f>
        <v>Recording house fund expenses for replenishment on August 07,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329</v>
      </c>
      <c r="E14" s="88">
        <f>SUM(E10:E13)</f>
        <v>329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07, 2025 with PCV#20883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7D043-58FE-421B-B4D2-0611D852FDD6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45876</v>
      </c>
      <c r="B5" s="3" t="s">
        <v>209</v>
      </c>
      <c r="C5" s="4" t="s">
        <v>518</v>
      </c>
      <c r="D5" s="5" t="s">
        <v>210</v>
      </c>
      <c r="E5" s="6" t="s">
        <v>234</v>
      </c>
      <c r="F5" s="7"/>
      <c r="G5" s="8"/>
      <c r="H5" s="9" t="s">
        <v>235</v>
      </c>
      <c r="I5" s="10"/>
      <c r="J5" s="11" t="s">
        <v>232</v>
      </c>
      <c r="K5" s="12">
        <v>1</v>
      </c>
      <c r="L5" s="13">
        <v>281</v>
      </c>
      <c r="M5" s="14">
        <f t="shared" ref="M5" si="0">L5*K5</f>
        <v>281</v>
      </c>
      <c r="N5" s="15"/>
      <c r="O5" s="16" t="s">
        <v>136</v>
      </c>
      <c r="P5" s="17"/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>
        <f>M5+P5-Q5</f>
        <v>281</v>
      </c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281</v>
      </c>
      <c r="N6" s="38">
        <f>M6</f>
        <v>281</v>
      </c>
      <c r="O6" s="39" t="s">
        <v>137</v>
      </c>
      <c r="P6" s="38">
        <f>SUM(P5:P5)</f>
        <v>0</v>
      </c>
      <c r="Q6" s="38">
        <f>SUM(Q5:Q5)</f>
        <v>0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281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GRAB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236</v>
      </c>
      <c r="B10" s="71"/>
      <c r="C10" s="72"/>
      <c r="D10" s="73">
        <f>BO6</f>
        <v>281</v>
      </c>
      <c r="E10" s="74"/>
      <c r="F10" s="75" t="str">
        <f>"In payment for grab fare from sotogrande hotel to valle verde using housefund received on " &amp; TEXT(A5, "mmmm dd, yyyy") &amp; " with SI#A-87ABL9QWWEEG8W" &amp; " CPO#" &amp;B5</f>
        <v>In payment for grab fare from sotogrande hotel to valle verde using housefund received on August 07, 2025 with SI#A-87ABL9QWWEEG8W CPO#18969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07,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07,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281</v>
      </c>
      <c r="F13" s="89" t="str">
        <f>"Recording house fund expenses for replenishment on " &amp; TEXT(A5, "mmmm dd, yyyy")</f>
        <v>Recording house fund expenses for replenishment on August 07,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281</v>
      </c>
      <c r="E14" s="88">
        <f>SUM(E10:E13)</f>
        <v>281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07, 2025 with PCV#20884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F1C2E-9DC4-4929-8609-C32F70E87AB9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45873</v>
      </c>
      <c r="B5" s="3" t="s">
        <v>209</v>
      </c>
      <c r="C5" s="4" t="s">
        <v>519</v>
      </c>
      <c r="D5" s="5" t="s">
        <v>210</v>
      </c>
      <c r="E5" s="6" t="s">
        <v>216</v>
      </c>
      <c r="F5" s="7"/>
      <c r="G5" s="8"/>
      <c r="H5" s="9"/>
      <c r="I5" s="10"/>
      <c r="J5" s="11" t="s">
        <v>217</v>
      </c>
      <c r="K5" s="12">
        <v>1</v>
      </c>
      <c r="L5" s="13">
        <v>600</v>
      </c>
      <c r="M5" s="14">
        <f t="shared" ref="M5" si="0">L5*K5</f>
        <v>600</v>
      </c>
      <c r="N5" s="15"/>
      <c r="O5" s="16" t="s">
        <v>137</v>
      </c>
      <c r="P5" s="17"/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7">
        <f>M5+P5-Q5</f>
        <v>600</v>
      </c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600</v>
      </c>
      <c r="N6" s="38">
        <f>M6</f>
        <v>600</v>
      </c>
      <c r="O6" s="39" t="s">
        <v>137</v>
      </c>
      <c r="P6" s="38">
        <f>SUM(P5:P5)</f>
        <v>0</v>
      </c>
      <c r="Q6" s="38">
        <f>SUM(Q5:Q5)</f>
        <v>0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600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BPI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39</v>
      </c>
      <c r="B10" s="71"/>
      <c r="C10" s="72"/>
      <c r="D10" s="73">
        <f>BS6</f>
        <v>600</v>
      </c>
      <c r="E10" s="74"/>
      <c r="F10" s="75" t="str">
        <f>"In payment for mobile load for soto reservation (09176545160) using housefund received on " &amp; TEXT(A5, "mmmm dd, yyyy") &amp; " with" &amp; " CPO#" &amp;B5</f>
        <v>In payment for mobile load for soto reservation (09176545160) using housefund received on August 04, 2025 with CPO#18969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04,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04,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600</v>
      </c>
      <c r="F13" s="89" t="str">
        <f>"Recording house fund expenses for replenishment on " &amp; TEXT(A5, "mmmm dd, yyyy")</f>
        <v>Recording house fund expenses for replenishment on August 04,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600</v>
      </c>
      <c r="E14" s="88">
        <f>SUM(E10:E13)</f>
        <v>600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04, 2025 with PCV#20885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FB07C-8258-4804-9873-C2F3F745D412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45881</v>
      </c>
      <c r="B5" s="3" t="s">
        <v>237</v>
      </c>
      <c r="C5" s="4" t="s">
        <v>520</v>
      </c>
      <c r="D5" s="5" t="s">
        <v>122</v>
      </c>
      <c r="E5" s="6" t="s">
        <v>238</v>
      </c>
      <c r="F5" s="7" t="s">
        <v>224</v>
      </c>
      <c r="G5" s="8" t="s">
        <v>239</v>
      </c>
      <c r="H5" s="9">
        <v>7297</v>
      </c>
      <c r="I5" s="10"/>
      <c r="J5" s="11" t="s">
        <v>240</v>
      </c>
      <c r="K5" s="12">
        <v>1</v>
      </c>
      <c r="L5" s="13">
        <v>125</v>
      </c>
      <c r="M5" s="14">
        <f t="shared" ref="M5" si="0">L5*K5</f>
        <v>125</v>
      </c>
      <c r="N5" s="15"/>
      <c r="O5" s="16" t="s">
        <v>137</v>
      </c>
      <c r="P5" s="17">
        <f>M5*0.01</f>
        <v>1.25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7">
        <f>M5+P5-Q5</f>
        <v>126.25</v>
      </c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125</v>
      </c>
      <c r="N6" s="38">
        <f>M6</f>
        <v>125</v>
      </c>
      <c r="O6" s="39" t="s">
        <v>137</v>
      </c>
      <c r="P6" s="38">
        <f>SUM(P5:P5)</f>
        <v>1.25</v>
      </c>
      <c r="Q6" s="38">
        <f>SUM(Q5:Q5)</f>
        <v>0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126.25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>
      <c r="F7" t="s">
        <v>463</v>
      </c>
    </row>
    <row r="8" spans="1:103" customFormat="1" ht="15" x14ac:dyDescent="0.25">
      <c r="A8" s="41" t="str">
        <f>E5</f>
        <v xml:space="preserve">WEL AND VIC KAN-ANAN 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241</v>
      </c>
      <c r="B10" s="71"/>
      <c r="C10" s="72"/>
      <c r="D10" s="73">
        <f>BC6</f>
        <v>126.25</v>
      </c>
      <c r="E10" s="74"/>
      <c r="F10" s="75" t="str">
        <f>"In payment for meal during purchasing trip using housefund received on " &amp; TEXT(A5, "mmmm dd, yyyy") &amp; " with SI#7297" &amp; " CPO#" &amp;B5</f>
        <v>In payment for meal during purchasing trip using housefund received on August 12, 2025 with SI#7297 CPO#18970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12,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1.25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12,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125</v>
      </c>
      <c r="F13" s="89" t="str">
        <f>"Recording house fund expenses for replenishment on " &amp; TEXT(A5, "mmmm dd, yyyy")</f>
        <v>Recording house fund expenses for replenishment on August 12,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126.25</v>
      </c>
      <c r="E14" s="88">
        <f>SUM(E10:E13)</f>
        <v>126.25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12, 2025 with PCV#20886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AEAB6-B275-408A-B762-FEE4B41DE3F1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45881</v>
      </c>
      <c r="B5" s="3" t="s">
        <v>237</v>
      </c>
      <c r="C5" s="4" t="s">
        <v>521</v>
      </c>
      <c r="D5" s="5" t="s">
        <v>122</v>
      </c>
      <c r="E5" s="156" t="s">
        <v>242</v>
      </c>
      <c r="F5" s="156" t="s">
        <v>243</v>
      </c>
      <c r="G5" s="156" t="s">
        <v>244</v>
      </c>
      <c r="H5" s="9">
        <v>6831</v>
      </c>
      <c r="I5" s="10" t="s">
        <v>409</v>
      </c>
      <c r="J5" s="11" t="s">
        <v>245</v>
      </c>
      <c r="K5" s="12">
        <v>2.5</v>
      </c>
      <c r="L5" s="13">
        <v>580</v>
      </c>
      <c r="M5" s="14">
        <f t="shared" ref="M5" si="0">L5*K5</f>
        <v>1450</v>
      </c>
      <c r="N5" s="15"/>
      <c r="O5" s="16" t="s">
        <v>111</v>
      </c>
      <c r="P5" s="17">
        <f>M5/1.12*0.02</f>
        <v>25.892857142857142</v>
      </c>
      <c r="Q5" s="18">
        <f>M5/1.12*0.12</f>
        <v>155.35714285714286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7">
        <f>M5+P5-Q5</f>
        <v>1320.5357142857142</v>
      </c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1450</v>
      </c>
      <c r="N6" s="38">
        <f>M6</f>
        <v>1450</v>
      </c>
      <c r="O6" s="39" t="s">
        <v>111</v>
      </c>
      <c r="P6" s="38">
        <f>SUM(P5:P5)</f>
        <v>25.892857142857142</v>
      </c>
      <c r="Q6" s="38">
        <f>SUM(Q5:Q5)</f>
        <v>155.35714285714286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1320.5357142857142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1ROTARY TRADING CORPORATION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246</v>
      </c>
      <c r="B10" s="71"/>
      <c r="C10" s="72"/>
      <c r="D10" s="73">
        <f>AL6</f>
        <v>1320.5357142857142</v>
      </c>
      <c r="E10" s="74"/>
      <c r="F10" s="75" t="str">
        <f>"In payment for 2.5kg of freon R134A for kitchen chiller using housefund received on " &amp; TEXT(A5, "mmmm dd, yyyy") &amp; " with SI#6831 PR#30529 RR#" &amp; " CPO#" &amp;B5</f>
        <v>In payment for 2.5kg of freon R134A for kitchen chiller using housefund received on August 12, 2025 with SI#6831 PR#30529 RR# CPO#18970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155.35714285714286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12,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25.892857142857142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12,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1450</v>
      </c>
      <c r="F13" s="89" t="str">
        <f>"Recording house fund expenses for replenishment on " &amp; TEXT(A5, "mmmm dd, yyyy")</f>
        <v>Recording house fund expenses for replenishment on August 12,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1475.8928571428571</v>
      </c>
      <c r="E14" s="88">
        <f>SUM(E10:E13)</f>
        <v>1475.8928571428571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12, 2025 with PCV#20887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3A5C7-C107-4922-8B09-A8C85C4CFE03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3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4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45881</v>
      </c>
      <c r="B5" s="3" t="s">
        <v>237</v>
      </c>
      <c r="C5" s="4" t="s">
        <v>522</v>
      </c>
      <c r="D5" s="5" t="s">
        <v>122</v>
      </c>
      <c r="E5" s="156" t="s">
        <v>247</v>
      </c>
      <c r="F5" s="156" t="s">
        <v>148</v>
      </c>
      <c r="G5" s="156" t="s">
        <v>248</v>
      </c>
      <c r="H5" s="9">
        <v>213</v>
      </c>
      <c r="I5" s="10" t="s">
        <v>408</v>
      </c>
      <c r="J5" s="11" t="s">
        <v>249</v>
      </c>
      <c r="K5" s="12">
        <v>24</v>
      </c>
      <c r="L5" s="13">
        <v>100</v>
      </c>
      <c r="M5" s="14">
        <f t="shared" ref="M5" si="0">L5*K5</f>
        <v>2400</v>
      </c>
      <c r="N5" s="15"/>
      <c r="O5" s="16" t="s">
        <v>111</v>
      </c>
      <c r="P5" s="17">
        <f>M5/1.12*0.02</f>
        <v>42.857142857142854</v>
      </c>
      <c r="Q5" s="18">
        <f>M5/1.12*0.12</f>
        <v>257.14285714285711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>
        <f>M5+P5-Q5</f>
        <v>2185.7142857142853</v>
      </c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2400</v>
      </c>
      <c r="N6" s="38">
        <f>M6</f>
        <v>2400</v>
      </c>
      <c r="O6" s="39" t="s">
        <v>111</v>
      </c>
      <c r="P6" s="38">
        <f>SUM(P5:P5)</f>
        <v>42.857142857142854</v>
      </c>
      <c r="Q6" s="38">
        <f>SUM(Q5:Q5)</f>
        <v>257.14285714285711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2185.7142857142853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 xml:space="preserve">COLOR SWATCH ENTERPRISES 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250</v>
      </c>
      <c r="B10" s="71"/>
      <c r="C10" s="72"/>
      <c r="D10" s="73">
        <f>AH6</f>
        <v>2185.7142857142853</v>
      </c>
      <c r="E10" s="74"/>
      <c r="F10" s="75" t="str">
        <f>"In payment for 24pcs of nikko white for 5th floor suite rooms bathtub using housefund received on " &amp; TEXT(A5, "mmmm dd, yyyy") &amp; " with SI#213 PR#30528 RR#" &amp; " CPO#" &amp;B5</f>
        <v>In payment for 24pcs of nikko white for 5th floor suite rooms bathtub using housefund received on August 12, 2025 with SI#213 PR#30528 RR# CPO#18970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257.14285714285711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12,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42.857142857142854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12,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2400</v>
      </c>
      <c r="F13" s="89" t="str">
        <f>"Recording house fund expenses for replenishment on " &amp; TEXT(A5, "mmmm dd, yyyy")</f>
        <v>Recording house fund expenses for replenishment on August 12,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2442.8571428571422</v>
      </c>
      <c r="E14" s="88">
        <f>SUM(E10:E13)</f>
        <v>2442.8571428571427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12, 2025 with PCV#20888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7E7E6-BACE-4F4E-B28E-6D1E3BBCDC6F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45881</v>
      </c>
      <c r="B5" s="3" t="s">
        <v>251</v>
      </c>
      <c r="C5" s="4" t="s">
        <v>523</v>
      </c>
      <c r="D5" s="5" t="s">
        <v>254</v>
      </c>
      <c r="E5" s="6" t="s">
        <v>204</v>
      </c>
      <c r="F5" s="7"/>
      <c r="G5" s="8" t="s">
        <v>252</v>
      </c>
      <c r="H5" s="9">
        <v>25383</v>
      </c>
      <c r="I5" s="10" t="s">
        <v>412</v>
      </c>
      <c r="J5" s="11" t="s">
        <v>253</v>
      </c>
      <c r="K5" s="12">
        <v>27</v>
      </c>
      <c r="L5" s="13">
        <f>69.21429*1.12</f>
        <v>77.520004800000009</v>
      </c>
      <c r="M5" s="14">
        <f t="shared" ref="M5" si="0">L5*K5</f>
        <v>2093.0401296000005</v>
      </c>
      <c r="N5" s="15"/>
      <c r="O5" s="16" t="s">
        <v>111</v>
      </c>
      <c r="P5" s="17">
        <f>M5/1.12*0.01</f>
        <v>18.687858300000002</v>
      </c>
      <c r="Q5" s="18">
        <f>M5/1.12*0.12</f>
        <v>224.25429960000002</v>
      </c>
      <c r="R5" s="17">
        <f>M5+P5-Q5</f>
        <v>1887.4736883000003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2093.0401296000005</v>
      </c>
      <c r="N6" s="38">
        <f>M6</f>
        <v>2093.0401296000005</v>
      </c>
      <c r="O6" s="39" t="s">
        <v>111</v>
      </c>
      <c r="P6" s="38">
        <f>SUM(P5:P5)</f>
        <v>18.687858300000002</v>
      </c>
      <c r="Q6" s="38">
        <f>SUM(Q5:Q5)</f>
        <v>224.25429960000002</v>
      </c>
      <c r="R6" s="38">
        <f>SUM(R5:R5)</f>
        <v>1887.4736883000003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5S DISTRIBUTORS, INC.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1887.4736883000003</v>
      </c>
      <c r="E10" s="74"/>
      <c r="F10" s="75" t="str">
        <f>"In payment for 27pcs of san remo fetuccine for store room stocks using housefund received on " &amp; TEXT(A5, "mmmm dd, yyyy") &amp; " with SI#25383 PR#30524 RR#50196" &amp; " CPO#" &amp;B5</f>
        <v>In payment for 27pcs of san remo fetuccine for store room stocks using housefund received on August 12, 2025 with SI#25383 PR#30524 RR#50196 CPO#18972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224.25429960000002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12,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18.687858300000002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12,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2093.0401296000005</v>
      </c>
      <c r="F13" s="89" t="str">
        <f>"Recording house fund expenses for replenishment on " &amp; TEXT(A5, "mmmm dd, yyyy")</f>
        <v>Recording house fund expenses for replenishment on August 12,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2111.7279879000002</v>
      </c>
      <c r="E14" s="88">
        <f>SUM(E10:E13)</f>
        <v>2111.7279879000002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12, 2025 with PCV#20889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0FE06-E0B0-4FF9-BD53-2030545E86D3}">
  <sheetPr>
    <tabColor rgb="FFFF0066"/>
  </sheetPr>
  <dimension ref="A1:CY15"/>
  <sheetViews>
    <sheetView workbookViewId="0">
      <selection activeCell="J11" sqref="J11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291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45881</v>
      </c>
      <c r="B5" s="3" t="s">
        <v>292</v>
      </c>
      <c r="C5" s="4" t="s">
        <v>524</v>
      </c>
      <c r="D5" s="5" t="s">
        <v>122</v>
      </c>
      <c r="E5" s="6" t="s">
        <v>293</v>
      </c>
      <c r="F5" s="7" t="s">
        <v>294</v>
      </c>
      <c r="G5" s="8"/>
      <c r="H5" s="9">
        <v>7063</v>
      </c>
      <c r="I5" s="10"/>
      <c r="J5" s="11" t="s">
        <v>295</v>
      </c>
      <c r="K5" s="12">
        <v>1</v>
      </c>
      <c r="L5" s="13">
        <v>30</v>
      </c>
      <c r="M5" s="14">
        <f t="shared" ref="M5" si="0">L5*K5</f>
        <v>30</v>
      </c>
      <c r="N5" s="15"/>
      <c r="O5" s="16" t="s">
        <v>137</v>
      </c>
      <c r="P5" s="17"/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>
        <f>M5+P5-Q5</f>
        <v>30</v>
      </c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30</v>
      </c>
      <c r="N6" s="38">
        <f>M6</f>
        <v>30</v>
      </c>
      <c r="O6" s="39" t="s">
        <v>111</v>
      </c>
      <c r="P6" s="38">
        <f>SUM(P5:P5)</f>
        <v>0</v>
      </c>
      <c r="Q6" s="38">
        <f>SUM(Q5:Q5)</f>
        <v>0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>SUM(BO5:BO5)</f>
        <v>30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ISLAND CENTRAL MACTAN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215</v>
      </c>
      <c r="B10" s="71"/>
      <c r="C10" s="72"/>
      <c r="D10" s="73">
        <f>BO6</f>
        <v>30</v>
      </c>
      <c r="E10" s="74"/>
      <c r="F10" s="75" t="str">
        <f>"In payment for parking fee during purchasing trip using housefund received on " &amp; TEXT(A5, "mmmm dd, yyyy") &amp; " with SI#7063" &amp; " CPO#" &amp;B5</f>
        <v>In payment for parking fee during purchasing trip using housefund received on August 12, 2025 with SI#7063 CPO#18971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12,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12,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30</v>
      </c>
      <c r="F13" s="89" t="str">
        <f>"Recording house fund expenses for replenishment on " &amp; TEXT(A5, "mmmm dd, yyyy")</f>
        <v>Recording house fund expenses for replenishment on August 12,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30</v>
      </c>
      <c r="E14" s="88">
        <f>SUM(E10:E13)</f>
        <v>30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12, 2025 with PCV#20890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F6500-B09F-4630-9810-B4B7FF29473B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45881</v>
      </c>
      <c r="B5" s="3" t="s">
        <v>292</v>
      </c>
      <c r="C5" s="4" t="s">
        <v>525</v>
      </c>
      <c r="D5" s="5" t="s">
        <v>122</v>
      </c>
      <c r="E5" s="6" t="s">
        <v>298</v>
      </c>
      <c r="F5" s="7" t="s">
        <v>299</v>
      </c>
      <c r="G5" s="8" t="s">
        <v>300</v>
      </c>
      <c r="H5" s="9">
        <v>286686</v>
      </c>
      <c r="I5" s="10" t="s">
        <v>410</v>
      </c>
      <c r="J5" s="11" t="s">
        <v>301</v>
      </c>
      <c r="K5" s="12">
        <v>5</v>
      </c>
      <c r="L5" s="13">
        <v>30</v>
      </c>
      <c r="M5" s="14">
        <f t="shared" ref="M5" si="0">L5*K5</f>
        <v>150</v>
      </c>
      <c r="N5" s="15"/>
      <c r="O5" s="16" t="s">
        <v>111</v>
      </c>
      <c r="P5" s="17">
        <f>M5/1.12*0.01</f>
        <v>1.3392857142857142</v>
      </c>
      <c r="Q5" s="18">
        <f>M5/1.12*0.12</f>
        <v>16.071428571428569</v>
      </c>
      <c r="S5" s="19"/>
      <c r="T5" s="19"/>
      <c r="U5" s="19"/>
      <c r="V5" s="19"/>
      <c r="W5" s="17">
        <f>M5+P5-Q5</f>
        <v>135.26785714285717</v>
      </c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150</v>
      </c>
      <c r="N6" s="38">
        <f>M6</f>
        <v>150</v>
      </c>
      <c r="O6" s="39" t="s">
        <v>111</v>
      </c>
      <c r="P6" s="38">
        <f>SUM(P5:P5)</f>
        <v>1.3392857142857142</v>
      </c>
      <c r="Q6" s="38">
        <f>SUM(Q5:Q5)</f>
        <v>16.071428571428569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>SUM(W5:W5)</f>
        <v>135.26785714285717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MR DIY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160</v>
      </c>
      <c r="B10" s="71"/>
      <c r="C10" s="72"/>
      <c r="D10" s="73">
        <f>W6</f>
        <v>135.26785714285717</v>
      </c>
      <c r="E10" s="74"/>
      <c r="F10" s="75" t="str">
        <f>"In payment for 5 pcs of white long folder for store housekeeping report using housefund received on " &amp; TEXT(A5, "mmmm dd, yyyy") &amp; " with SI#286686 PR#30525 RR#" &amp; " CPO#" &amp;B5</f>
        <v>In payment for 5 pcs of white long folder for store housekeeping report using housefund received on August 12, 2025 with SI#286686 PR#30525 RR# CPO#18971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16.071428571428569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12,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1.3392857142857142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12,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150</v>
      </c>
      <c r="F13" s="89" t="str">
        <f>"Recording house fund expenses for replenishment on " &amp; TEXT(A5, "mmmm dd, yyyy")</f>
        <v>Recording house fund expenses for replenishment on August 12,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151.33928571428572</v>
      </c>
      <c r="E14" s="88">
        <f>SUM(E10:E13)</f>
        <v>151.33928571428572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12, 2025 with PCV#20891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01B24-5995-43CD-B480-10F475A60FA0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45882</v>
      </c>
      <c r="B5" s="3" t="s">
        <v>292</v>
      </c>
      <c r="C5" s="4" t="s">
        <v>526</v>
      </c>
      <c r="D5" s="5" t="s">
        <v>122</v>
      </c>
      <c r="E5" s="6" t="s">
        <v>302</v>
      </c>
      <c r="F5" s="7" t="s">
        <v>296</v>
      </c>
      <c r="G5" s="8" t="s">
        <v>164</v>
      </c>
      <c r="H5" s="9">
        <v>91447</v>
      </c>
      <c r="I5" s="10" t="s">
        <v>411</v>
      </c>
      <c r="J5" s="11" t="s">
        <v>297</v>
      </c>
      <c r="K5" s="12">
        <v>5</v>
      </c>
      <c r="L5" s="13">
        <v>469</v>
      </c>
      <c r="M5" s="14">
        <f t="shared" ref="M5" si="0">L5*K5</f>
        <v>2345</v>
      </c>
      <c r="N5" s="15"/>
      <c r="O5" s="16" t="s">
        <v>111</v>
      </c>
      <c r="P5" s="17">
        <f>M5/1.12*0.01</f>
        <v>20.9375</v>
      </c>
      <c r="Q5" s="18">
        <f>M5/1.12*0.12</f>
        <v>251.25</v>
      </c>
      <c r="S5" s="19"/>
      <c r="T5" s="19"/>
      <c r="U5" s="19"/>
      <c r="V5" s="17">
        <f>M5+P5-Q5</f>
        <v>2114.6875</v>
      </c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2345</v>
      </c>
      <c r="N6" s="38">
        <f>M6</f>
        <v>2345</v>
      </c>
      <c r="O6" s="39" t="s">
        <v>111</v>
      </c>
      <c r="P6" s="38">
        <f>SUM(P5:P5)</f>
        <v>20.9375</v>
      </c>
      <c r="Q6" s="38">
        <f>SUM(Q5:Q5)</f>
        <v>251.25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>SUM(V5:V5)</f>
        <v>2114.6875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 xml:space="preserve">METRO MANDAUE 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303</v>
      </c>
      <c r="B10" s="71"/>
      <c r="C10" s="72"/>
      <c r="D10" s="73">
        <f>V6</f>
        <v>2114.6875</v>
      </c>
      <c r="E10" s="74"/>
      <c r="F10" s="75" t="str">
        <f>"In payment for 5 lysol disinfectant for room fragrance using housefund received on " &amp; TEXT(A5, "mmmm dd, yyyy") &amp; " with SI#91447 PR#30525 RR#" &amp; " CPO#" &amp;B5</f>
        <v>In payment for 5 lysol disinfectant for room fragrance using housefund received on August 13, 2025 with SI#91447 PR#30525 RR# CPO#18971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251.25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13,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20.9375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13,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2345</v>
      </c>
      <c r="F13" s="89" t="str">
        <f>"Recording house fund expenses for replenishment on " &amp; TEXT(A5, "mmmm dd, yyyy")</f>
        <v>Recording house fund expenses for replenishment on August 13,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2365.9375</v>
      </c>
      <c r="E14" s="88">
        <f>SUM(E10:E13)</f>
        <v>2365.9375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13, 2025 with PCV#20892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ECE95-136C-4D3E-BEF4-758CF2873DF4}">
  <sheetPr>
    <tabColor rgb="FFFF0066"/>
  </sheetPr>
  <dimension ref="A1:CY15"/>
  <sheetViews>
    <sheetView topLeftCell="A7" workbookViewId="0">
      <selection activeCell="G22" sqref="G22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45882</v>
      </c>
      <c r="B5" s="3" t="s">
        <v>292</v>
      </c>
      <c r="C5" s="4" t="s">
        <v>527</v>
      </c>
      <c r="D5" s="5" t="s">
        <v>122</v>
      </c>
      <c r="E5" s="6" t="s">
        <v>302</v>
      </c>
      <c r="F5" s="7" t="s">
        <v>296</v>
      </c>
      <c r="G5" s="8" t="s">
        <v>164</v>
      </c>
      <c r="H5" s="9">
        <v>433857</v>
      </c>
      <c r="I5" s="10"/>
      <c r="J5" s="11" t="s">
        <v>297</v>
      </c>
      <c r="K5" s="12">
        <v>5</v>
      </c>
      <c r="L5" s="13">
        <v>469</v>
      </c>
      <c r="M5" s="14">
        <f t="shared" ref="M5" si="0">L5*K5</f>
        <v>2345</v>
      </c>
      <c r="N5" s="15"/>
      <c r="O5" s="16" t="s">
        <v>111</v>
      </c>
      <c r="P5" s="17">
        <f>M5/1.12*0.02</f>
        <v>41.875</v>
      </c>
      <c r="Q5" s="18">
        <f>M5/1.12*0.12</f>
        <v>251.25</v>
      </c>
      <c r="S5" s="19"/>
      <c r="T5" s="19"/>
      <c r="U5" s="19"/>
      <c r="V5" s="17">
        <f>M5+P5-Q5</f>
        <v>2135.625</v>
      </c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2345</v>
      </c>
      <c r="N6" s="38">
        <f>M6</f>
        <v>2345</v>
      </c>
      <c r="O6" s="39" t="s">
        <v>111</v>
      </c>
      <c r="P6" s="38">
        <f>SUM(P5:P5)</f>
        <v>41.875</v>
      </c>
      <c r="Q6" s="38">
        <f>SUM(Q5:Q5)</f>
        <v>251.25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>SUM(V5:V5)</f>
        <v>2135.625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 xml:space="preserve">METRO MANDAUE 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303</v>
      </c>
      <c r="B10" s="71"/>
      <c r="C10" s="72"/>
      <c r="D10" s="73">
        <f>V6</f>
        <v>2135.625</v>
      </c>
      <c r="E10" s="74"/>
      <c r="F10" s="75" t="str">
        <f>"In payment for 5 lysol disinfectant for room fragrance using housefund received on " &amp; TEXT(A5, "mmmm dd, yyyy") &amp; " with SI#433857 PR#30525 RR#" &amp; " CPO#" &amp;B5</f>
        <v>In payment for 5 lysol disinfectant for room fragrance using housefund received on August 13, 2025 with SI#433857 PR#30525 RR# CPO#18971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251.25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13,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41.875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13,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2345</v>
      </c>
      <c r="F13" s="89" t="str">
        <f>"Recording house fund expenses for replenishment on " &amp; TEXT(A5, "mmmm dd, yyyy")</f>
        <v>Recording house fund expenses for replenishment on August 13,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2386.875</v>
      </c>
      <c r="E14" s="88">
        <f>SUM(E10:E13)</f>
        <v>2386.875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13, 2025 with PCV#20893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</mergeCells>
  <pageMargins left="0.7" right="0.7" top="0.75" bottom="0.75" header="0.3" footer="0.3"/>
  <legacy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23D66-DE31-4AD2-A28E-9C39C6210BA5}">
  <sheetPr>
    <tabColor rgb="FFFF0066"/>
  </sheetPr>
  <dimension ref="A1:CY15"/>
  <sheetViews>
    <sheetView workbookViewId="0">
      <selection activeCell="I5" sqref="I5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45881</v>
      </c>
      <c r="B5" s="3" t="s">
        <v>275</v>
      </c>
      <c r="C5" s="4" t="s">
        <v>529</v>
      </c>
      <c r="D5" s="5" t="s">
        <v>122</v>
      </c>
      <c r="E5" s="6" t="s">
        <v>266</v>
      </c>
      <c r="F5" s="7"/>
      <c r="G5" s="8"/>
      <c r="H5" s="9"/>
      <c r="I5" s="10" t="s">
        <v>413</v>
      </c>
      <c r="J5" s="11" t="s">
        <v>276</v>
      </c>
      <c r="K5" s="12">
        <v>15</v>
      </c>
      <c r="L5" s="13">
        <v>200</v>
      </c>
      <c r="M5" s="14">
        <f t="shared" ref="M5" si="0">L5*K5</f>
        <v>3000</v>
      </c>
      <c r="N5" s="15"/>
      <c r="O5" s="16" t="s">
        <v>137</v>
      </c>
      <c r="P5" s="17"/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B5" s="17">
        <f>M5+P5-Q5</f>
        <v>3000</v>
      </c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3000</v>
      </c>
      <c r="N6" s="38">
        <f>M6</f>
        <v>3000</v>
      </c>
      <c r="O6" s="39" t="s">
        <v>137</v>
      </c>
      <c r="P6" s="38"/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>SUM(BB5:BB5)</f>
        <v>3000</v>
      </c>
      <c r="BC6" s="38">
        <f t="shared" ref="BC6:CV6" si="3">SUM(BC5:BC5)</f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MARKET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227</v>
      </c>
      <c r="B10" s="71"/>
      <c r="C10" s="72"/>
      <c r="D10" s="73">
        <f>BB6</f>
        <v>3000</v>
      </c>
      <c r="E10" s="74"/>
      <c r="F10" s="75" t="str">
        <f>"In payment for 15kg tilapia of staff meal using housefund received on " &amp; TEXT(A5, "mmmm dd, yyyy") &amp; " with PR# RR#" &amp; " CPO#" &amp;B5</f>
        <v>In payment for 15kg tilapia of staff meal using housefund received on August 12, 2025 with PR# RR# CPO#18973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12,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12,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3000</v>
      </c>
      <c r="F13" s="89" t="str">
        <f>"Recording house fund expenses for replenishment on " &amp; TEXT(A5, "mmmm dd, yyyy")</f>
        <v>Recording house fund expenses for replenishment on August 12,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3000</v>
      </c>
      <c r="E14" s="88">
        <f>SUM(E10:E13)</f>
        <v>3000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12, 2025 with PCV#20894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1EA64-D2C7-46F1-9C81-6392B5B53C42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45882</v>
      </c>
      <c r="B5" s="3" t="s">
        <v>277</v>
      </c>
      <c r="C5" s="4" t="s">
        <v>530</v>
      </c>
      <c r="D5" s="5" t="s">
        <v>122</v>
      </c>
      <c r="E5" s="6" t="s">
        <v>278</v>
      </c>
      <c r="F5" s="7"/>
      <c r="G5" s="8" t="s">
        <v>125</v>
      </c>
      <c r="H5" s="9" t="s">
        <v>279</v>
      </c>
      <c r="I5" s="10"/>
      <c r="J5" s="11" t="s">
        <v>280</v>
      </c>
      <c r="K5" s="12">
        <v>1</v>
      </c>
      <c r="L5" s="13">
        <v>349.2</v>
      </c>
      <c r="M5" s="14">
        <f t="shared" ref="M5" si="0">L5*K5</f>
        <v>349.2</v>
      </c>
      <c r="N5" s="15"/>
      <c r="O5" s="16" t="s">
        <v>111</v>
      </c>
      <c r="P5" s="17">
        <f>M5/1.12*0.02</f>
        <v>6.2357142857142849</v>
      </c>
      <c r="Q5" s="18">
        <f>M5/1.12*0.12</f>
        <v>37.414285714285704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7">
        <f>M5+P5-Q5</f>
        <v>318.02142857142854</v>
      </c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349.2</v>
      </c>
      <c r="N6" s="38">
        <f>M6</f>
        <v>349.2</v>
      </c>
      <c r="O6" s="39" t="s">
        <v>111</v>
      </c>
      <c r="P6" s="38">
        <f>SUM(P5:P5)</f>
        <v>6.2357142857142849</v>
      </c>
      <c r="Q6" s="38">
        <f>SUM(Q5:Q5)</f>
        <v>37.414285714285704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>SUM(BS5:BS5)</f>
        <v>318.02142857142854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PHILIPPINE AIRLINES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39</v>
      </c>
      <c r="B10" s="71"/>
      <c r="C10" s="72"/>
      <c r="D10" s="73">
        <f>BS6</f>
        <v>318.02142857142854</v>
      </c>
      <c r="E10" s="74"/>
      <c r="F10" s="75" t="str">
        <f>"In payment for cargo from cebu to manila using housefund received on " &amp; TEXT(A5, "mmmm dd, yyyy") &amp; " with SI#CA/CEB/000000000268356" &amp; " CPO#" &amp;B5</f>
        <v>In payment for cargo from cebu to manila using housefund received on August 13, 2025 with SI#CA/CEB/000000000268356 CPO#18975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37.414285714285704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13,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6.2357142857142849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13,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349.2</v>
      </c>
      <c r="F13" s="89" t="str">
        <f>"Recording house fund expenses for replenishment on " &amp; TEXT(A5, "mmmm dd, yyyy")</f>
        <v>Recording house fund expenses for replenishment on August 13,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355.43571428571425</v>
      </c>
      <c r="E14" s="88">
        <f>SUM(E10:E13)</f>
        <v>355.43571428571425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13, 2025 with PCV#20895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8143D-6D4F-446D-831E-1A67516A13CD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45882</v>
      </c>
      <c r="B5" s="3" t="s">
        <v>277</v>
      </c>
      <c r="C5" s="4" t="s">
        <v>531</v>
      </c>
      <c r="D5" s="5" t="s">
        <v>122</v>
      </c>
      <c r="E5" s="6" t="s">
        <v>123</v>
      </c>
      <c r="F5" s="7" t="s">
        <v>124</v>
      </c>
      <c r="G5" s="8" t="s">
        <v>125</v>
      </c>
      <c r="H5" s="9" t="s">
        <v>281</v>
      </c>
      <c r="I5" s="10"/>
      <c r="J5" s="11" t="s">
        <v>280</v>
      </c>
      <c r="K5" s="12">
        <v>1</v>
      </c>
      <c r="L5" s="13">
        <v>462.4</v>
      </c>
      <c r="M5" s="14">
        <f t="shared" ref="M5" si="0">L5*K5</f>
        <v>462.4</v>
      </c>
      <c r="N5" s="15"/>
      <c r="O5" s="16" t="s">
        <v>111</v>
      </c>
      <c r="P5" s="17">
        <f>M5/1.12*0.02</f>
        <v>8.2571428571428562</v>
      </c>
      <c r="Q5" s="18">
        <f>M5/1.12*0.12</f>
        <v>49.54285714285713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7">
        <f>M5+P5-Q5</f>
        <v>421.1142857142857</v>
      </c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462.4</v>
      </c>
      <c r="N6" s="38">
        <f>M6</f>
        <v>462.4</v>
      </c>
      <c r="O6" s="39" t="s">
        <v>111</v>
      </c>
      <c r="P6" s="38">
        <f>SUM(P5:P5)</f>
        <v>8.2571428571428562</v>
      </c>
      <c r="Q6" s="38">
        <f>SUM(Q5:Q5)</f>
        <v>49.54285714285713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>SUM(BS5:BS5)</f>
        <v>421.1142857142857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 xml:space="preserve">PHILIPPINE AIRLINES 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39</v>
      </c>
      <c r="B10" s="71"/>
      <c r="C10" s="72"/>
      <c r="D10" s="73">
        <f>BS6</f>
        <v>421.1142857142857</v>
      </c>
      <c r="E10" s="74"/>
      <c r="F10" s="75" t="str">
        <f>"In payment for cargo from cebu to davao using housefund received on " &amp; TEXT(A5, "mmmm dd, yyyy") &amp; " with SI#CA/CEB/000000000268355" &amp; " CPO#" &amp;B5</f>
        <v>In payment for cargo from cebu to davao using housefund received on August 13, 2025 with SI#CA/CEB/000000000268355 CPO#18975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49.54285714285713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13,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8.2571428571428562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13,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462.4</v>
      </c>
      <c r="F13" s="89" t="str">
        <f>"Recording house fund expenses for replenishment on " &amp; TEXT(A5, "mmmm dd, yyyy")</f>
        <v>Recording house fund expenses for replenishment on August 13,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470.65714285714284</v>
      </c>
      <c r="E14" s="88">
        <f>SUM(E10:E13)</f>
        <v>470.65714285714284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13, 2025 with PCV#20896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F90C8-1BF1-46F7-B8CC-6DC3C0336EC4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45882</v>
      </c>
      <c r="B5" s="3" t="s">
        <v>277</v>
      </c>
      <c r="C5" s="4" t="s">
        <v>532</v>
      </c>
      <c r="D5" s="5" t="s">
        <v>122</v>
      </c>
      <c r="E5" s="6" t="s">
        <v>123</v>
      </c>
      <c r="F5" s="7" t="s">
        <v>124</v>
      </c>
      <c r="G5" s="8" t="s">
        <v>125</v>
      </c>
      <c r="H5" s="9" t="s">
        <v>282</v>
      </c>
      <c r="I5" s="10"/>
      <c r="J5" s="11" t="s">
        <v>280</v>
      </c>
      <c r="K5" s="12">
        <v>1</v>
      </c>
      <c r="L5" s="13">
        <v>527.14</v>
      </c>
      <c r="M5" s="14">
        <f t="shared" ref="M5" si="0">L5*K5</f>
        <v>527.14</v>
      </c>
      <c r="N5" s="15"/>
      <c r="O5" s="16" t="s">
        <v>111</v>
      </c>
      <c r="P5" s="17">
        <f>M5/1.12*0.02</f>
        <v>9.4132142857142842</v>
      </c>
      <c r="Q5" s="18">
        <f>M5/1.12*0.12</f>
        <v>56.479285714285702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7">
        <f>M5+P5-Q5</f>
        <v>480.07392857142855</v>
      </c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527.14</v>
      </c>
      <c r="N6" s="38">
        <f>M6</f>
        <v>527.14</v>
      </c>
      <c r="O6" s="39" t="s">
        <v>111</v>
      </c>
      <c r="P6" s="38">
        <f>SUM(P5:P5)</f>
        <v>9.4132142857142842</v>
      </c>
      <c r="Q6" s="38">
        <f>SUM(Q5:Q5)</f>
        <v>56.479285714285702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>SUM(BS5:BS5)</f>
        <v>480.07392857142855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 xml:space="preserve">PHILIPPINE AIRLINES 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39</v>
      </c>
      <c r="B10" s="71"/>
      <c r="C10" s="72"/>
      <c r="D10" s="73">
        <f>BS6</f>
        <v>480.07392857142855</v>
      </c>
      <c r="E10" s="74"/>
      <c r="F10" s="75" t="str">
        <f>"In payment for cargo from cebu to manila using housefund received on " &amp; TEXT(A5, "mmmm dd, yyyy") &amp; " with SI#CA/CEB/000000000268357" &amp; " CPO#" &amp;B5</f>
        <v>In payment for cargo from cebu to manila using housefund received on August 13, 2025 with SI#CA/CEB/000000000268357 CPO#18975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56.479285714285702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13,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9.4132142857142842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13,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527.14</v>
      </c>
      <c r="F13" s="89" t="str">
        <f>"Recording house fund expenses for replenishment on " &amp; TEXT(A5, "mmmm dd, yyyy")</f>
        <v>Recording house fund expenses for replenishment on August 13,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536.55321428571426</v>
      </c>
      <c r="E14" s="88">
        <f>SUM(E10:E13)</f>
        <v>536.55321428571426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13, 2025 with PCV#20897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B44BD-D92D-4C92-A76D-49350828BD5F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45881</v>
      </c>
      <c r="B5" s="3" t="s">
        <v>283</v>
      </c>
      <c r="C5" s="4" t="s">
        <v>533</v>
      </c>
      <c r="D5" s="5" t="s">
        <v>284</v>
      </c>
      <c r="E5" s="6" t="s">
        <v>285</v>
      </c>
      <c r="F5" s="7" t="s">
        <v>229</v>
      </c>
      <c r="G5" s="8" t="s">
        <v>286</v>
      </c>
      <c r="H5" s="9">
        <v>359</v>
      </c>
      <c r="I5" s="10"/>
      <c r="J5" s="11" t="s">
        <v>287</v>
      </c>
      <c r="K5" s="12">
        <v>1</v>
      </c>
      <c r="L5" s="13">
        <v>600</v>
      </c>
      <c r="M5" s="14">
        <f t="shared" ref="M5" si="0">L5*K5</f>
        <v>600</v>
      </c>
      <c r="N5" s="15"/>
      <c r="O5" s="16" t="s">
        <v>137</v>
      </c>
      <c r="P5" s="17">
        <f>M5*0.02</f>
        <v>12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7">
        <f>M5+P5-Q5</f>
        <v>612</v>
      </c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600</v>
      </c>
      <c r="N6" s="38">
        <f>M6</f>
        <v>600</v>
      </c>
      <c r="O6" s="39" t="s">
        <v>137</v>
      </c>
      <c r="P6" s="38">
        <f>SUM(P5:P5)</f>
        <v>12</v>
      </c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Y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>SUM(AZ5:AZ5)</f>
        <v>612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ZEE'S LAUNDRY SERVICES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288</v>
      </c>
      <c r="B10" s="71"/>
      <c r="C10" s="72"/>
      <c r="D10" s="73">
        <f>AZ6</f>
        <v>612</v>
      </c>
      <c r="E10" s="74"/>
      <c r="F10" s="75" t="str">
        <f>"In payment for using housefund received on " &amp; TEXT(A5, "mmmm dd, yyyy") &amp; " with SI#359" &amp; " CPO#" &amp;B5</f>
        <v>In payment for using housefund received on August 12, 2025 with SI#359 CPO#18976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12,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12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12,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600</v>
      </c>
      <c r="F13" s="89" t="str">
        <f>"Recording house fund expenses for replenishment on " &amp; TEXT(A5, "mmmm dd, yyyy")</f>
        <v>Recording house fund expenses for replenishment on August 12,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612</v>
      </c>
      <c r="E14" s="88">
        <f>SUM(E10:E13)</f>
        <v>612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12, 2025 with PCV#20898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D5030-E20F-4311-9877-1EDDC8180E21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45880</v>
      </c>
      <c r="B5" s="3" t="s">
        <v>283</v>
      </c>
      <c r="C5" s="4" t="s">
        <v>534</v>
      </c>
      <c r="D5" s="5" t="s">
        <v>284</v>
      </c>
      <c r="E5" s="6" t="s">
        <v>285</v>
      </c>
      <c r="F5" s="7" t="s">
        <v>229</v>
      </c>
      <c r="G5" s="8" t="s">
        <v>286</v>
      </c>
      <c r="H5" s="9">
        <v>346</v>
      </c>
      <c r="I5" s="10"/>
      <c r="J5" s="11" t="s">
        <v>289</v>
      </c>
      <c r="K5" s="12">
        <v>1</v>
      </c>
      <c r="L5" s="13">
        <v>350</v>
      </c>
      <c r="M5" s="14">
        <f t="shared" ref="M5" si="0">L5*K5</f>
        <v>350</v>
      </c>
      <c r="N5" s="15"/>
      <c r="O5" s="16" t="s">
        <v>111</v>
      </c>
      <c r="P5" s="17">
        <f>M5*0.02</f>
        <v>7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7">
        <f>M5+P5-Q5</f>
        <v>357</v>
      </c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350</v>
      </c>
      <c r="N6" s="38">
        <f>M6</f>
        <v>350</v>
      </c>
      <c r="O6" s="39" t="s">
        <v>111</v>
      </c>
      <c r="P6" s="38">
        <f>SUM(P5:P5)</f>
        <v>7</v>
      </c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Y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>SUM(AZ5:AZ5)</f>
        <v>357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ZEE'S LAUNDRY SERVICES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290</v>
      </c>
      <c r="B10" s="71"/>
      <c r="C10" s="72"/>
      <c r="D10" s="73">
        <f>AZ6</f>
        <v>357</v>
      </c>
      <c r="E10" s="74"/>
      <c r="F10" s="75" t="str">
        <f>"In payment for laundry expense for rooms using housefund received on " &amp; TEXT(A5, "mmmm dd, yyyy") &amp; " with SI#346" &amp; " CPO#" &amp;B5</f>
        <v>In payment for laundry expense for rooms using housefund received on August 11, 2025 with SI#346 CPO#18976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11,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7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11,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350</v>
      </c>
      <c r="F13" s="89" t="str">
        <f>"Recording house fund expenses for replenishment on " &amp; TEXT(A5, "mmmm dd, yyyy")</f>
        <v>Recording house fund expenses for replenishment on August 11,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357</v>
      </c>
      <c r="E14" s="88">
        <f>SUM(E10:E13)</f>
        <v>357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11, 2025 with PCV#20899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8B208-A95C-4DBE-8FB6-56CB752511F1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45880</v>
      </c>
      <c r="B5" s="3" t="s">
        <v>283</v>
      </c>
      <c r="C5" s="4" t="s">
        <v>535</v>
      </c>
      <c r="D5" s="5" t="s">
        <v>284</v>
      </c>
      <c r="E5" s="6" t="s">
        <v>285</v>
      </c>
      <c r="F5" s="7" t="s">
        <v>229</v>
      </c>
      <c r="G5" s="8" t="s">
        <v>286</v>
      </c>
      <c r="H5" s="9">
        <v>351</v>
      </c>
      <c r="I5" s="10"/>
      <c r="J5" s="11" t="s">
        <v>289</v>
      </c>
      <c r="K5" s="12">
        <v>1</v>
      </c>
      <c r="L5" s="13">
        <v>350</v>
      </c>
      <c r="M5" s="14">
        <f t="shared" ref="M5" si="0">L5*K5</f>
        <v>350</v>
      </c>
      <c r="N5" s="15"/>
      <c r="O5" s="16" t="s">
        <v>137</v>
      </c>
      <c r="P5" s="17">
        <f>M5*0.02</f>
        <v>7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7">
        <f>M5+P5-Q5</f>
        <v>357</v>
      </c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350</v>
      </c>
      <c r="N6" s="38">
        <f>M6</f>
        <v>350</v>
      </c>
      <c r="O6" s="39" t="s">
        <v>137</v>
      </c>
      <c r="P6" s="38">
        <f>SUM(P5:P5)</f>
        <v>7</v>
      </c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Y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>SUM(AZ5:AZ5)</f>
        <v>357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ZEE'S LAUNDRY SERVICES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290</v>
      </c>
      <c r="B10" s="71"/>
      <c r="C10" s="72"/>
      <c r="D10" s="73">
        <f>AZ6</f>
        <v>357</v>
      </c>
      <c r="E10" s="74"/>
      <c r="F10" s="75" t="str">
        <f>"In payment for using housefund received on " &amp; TEXT(A5, "mmmm dd, yyyy") &amp; " with SI#351" &amp; " CPO#" &amp;B5</f>
        <v>In payment for using housefund received on August 11, 2025 with SI#351 CPO#18976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11,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7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11,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350</v>
      </c>
      <c r="F13" s="89" t="str">
        <f>"Recording house fund expenses for replenishment on " &amp; TEXT(A5, "mmmm dd, yyyy")</f>
        <v>Recording house fund expenses for replenishment on August 11,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357</v>
      </c>
      <c r="E14" s="88">
        <f>SUM(E10:E13)</f>
        <v>357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11, 2025 with PCV#20900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9484-8184-4E28-822E-F0787969F607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45880</v>
      </c>
      <c r="B5" s="3" t="s">
        <v>283</v>
      </c>
      <c r="C5" s="4" t="s">
        <v>536</v>
      </c>
      <c r="D5" s="5" t="s">
        <v>284</v>
      </c>
      <c r="E5" s="6" t="s">
        <v>285</v>
      </c>
      <c r="F5" s="7" t="s">
        <v>229</v>
      </c>
      <c r="G5" s="8" t="s">
        <v>286</v>
      </c>
      <c r="H5" s="9">
        <v>350</v>
      </c>
      <c r="I5" s="10"/>
      <c r="J5" s="11" t="s">
        <v>310</v>
      </c>
      <c r="K5" s="12">
        <v>1</v>
      </c>
      <c r="L5" s="13">
        <v>350</v>
      </c>
      <c r="M5" s="14">
        <f t="shared" ref="M5" si="0">L5*K5</f>
        <v>350</v>
      </c>
      <c r="N5" s="15"/>
      <c r="O5" s="16" t="s">
        <v>137</v>
      </c>
      <c r="P5" s="17">
        <f>M5*0.02</f>
        <v>7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7">
        <f>M5+P5-Q5</f>
        <v>357</v>
      </c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350</v>
      </c>
      <c r="N6" s="38">
        <f>M6</f>
        <v>350</v>
      </c>
      <c r="O6" s="39" t="s">
        <v>137</v>
      </c>
      <c r="P6" s="38">
        <f>SUM(P5:P5)</f>
        <v>7</v>
      </c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Y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>SUM(AZ5:AZ5)</f>
        <v>357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ZEE'S LAUNDRY SERVICES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288</v>
      </c>
      <c r="B10" s="71"/>
      <c r="C10" s="72"/>
      <c r="D10" s="73">
        <f>AZ6</f>
        <v>357</v>
      </c>
      <c r="E10" s="74"/>
      <c r="F10" s="75" t="str">
        <f>"In payment for laundry services for rooms using housefund received on " &amp; TEXT(A5, "mmmm dd, yyyy") &amp; " with SI#350" &amp; " CPO#" &amp;B5</f>
        <v>In payment for laundry services for rooms using housefund received on August 11, 2025 with SI#350 CPO#18976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11,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7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11,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350</v>
      </c>
      <c r="F13" s="89" t="str">
        <f>"Recording house fund expenses for replenishment on " &amp; TEXT(A5, "mmmm dd, yyyy")</f>
        <v>Recording house fund expenses for replenishment on August 11,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357</v>
      </c>
      <c r="E14" s="88">
        <f>SUM(E10:E13)</f>
        <v>357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11, 2025 with PCV#20901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388C0-3E96-4439-8C38-4732921B5602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45880</v>
      </c>
      <c r="B5" s="3" t="s">
        <v>283</v>
      </c>
      <c r="C5" s="4" t="s">
        <v>537</v>
      </c>
      <c r="D5" s="5" t="s">
        <v>284</v>
      </c>
      <c r="E5" s="6" t="s">
        <v>285</v>
      </c>
      <c r="F5" s="7" t="s">
        <v>229</v>
      </c>
      <c r="G5" s="8" t="s">
        <v>286</v>
      </c>
      <c r="H5" s="9">
        <v>347</v>
      </c>
      <c r="I5" s="10"/>
      <c r="J5" s="11" t="s">
        <v>310</v>
      </c>
      <c r="K5" s="12">
        <v>1</v>
      </c>
      <c r="L5" s="13">
        <v>350</v>
      </c>
      <c r="M5" s="14">
        <f t="shared" ref="M5" si="0">L5*K5</f>
        <v>350</v>
      </c>
      <c r="N5" s="15"/>
      <c r="O5" s="16" t="s">
        <v>137</v>
      </c>
      <c r="P5" s="17">
        <f>M5*0.02</f>
        <v>7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7">
        <f>M5+P5-Q5</f>
        <v>357</v>
      </c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350</v>
      </c>
      <c r="N6" s="38">
        <f>M6</f>
        <v>350</v>
      </c>
      <c r="O6" s="39" t="s">
        <v>137</v>
      </c>
      <c r="P6" s="38">
        <f>SUM(P5:P5)</f>
        <v>7</v>
      </c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Y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>SUM(AZ5:AZ5)</f>
        <v>357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ZEE'S LAUNDRY SERVICES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290</v>
      </c>
      <c r="B10" s="71"/>
      <c r="C10" s="72"/>
      <c r="D10" s="73">
        <f>AZ6</f>
        <v>357</v>
      </c>
      <c r="E10" s="74"/>
      <c r="F10" s="75" t="str">
        <f>"In payment for laundry services for rooms using housefund received on " &amp; TEXT(A5, "mmmm dd, yyyy") &amp; " with SI# PR# RR#" &amp; " CPO#" &amp;B5</f>
        <v>In payment for laundry services for rooms using housefund received on August 11, 2025 with SI# PR# RR# CPO#18976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11,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7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11,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350</v>
      </c>
      <c r="F13" s="89" t="str">
        <f>"Recording house fund expenses for replenishment on " &amp; TEXT(A5, "mmmm dd, yyyy")</f>
        <v>Recording house fund expenses for replenishment on August 11,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357</v>
      </c>
      <c r="E14" s="88">
        <f>SUM(E10:E13)</f>
        <v>357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11, 2025 with PCV#20902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68F64-38DB-424C-8A66-B0A30C62148E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45878</v>
      </c>
      <c r="B5" s="3" t="s">
        <v>283</v>
      </c>
      <c r="C5" s="4"/>
      <c r="D5" s="5" t="s">
        <v>284</v>
      </c>
      <c r="E5" s="6" t="s">
        <v>285</v>
      </c>
      <c r="F5" s="7" t="s">
        <v>229</v>
      </c>
      <c r="G5" s="8" t="s">
        <v>286</v>
      </c>
      <c r="H5" s="9">
        <v>342</v>
      </c>
      <c r="I5" s="10"/>
      <c r="J5" s="11" t="s">
        <v>310</v>
      </c>
      <c r="K5" s="12">
        <v>1</v>
      </c>
      <c r="L5" s="13">
        <v>350</v>
      </c>
      <c r="M5" s="14">
        <f t="shared" ref="M5" si="0">L5*K5</f>
        <v>350</v>
      </c>
      <c r="N5" s="15"/>
      <c r="O5" s="16" t="s">
        <v>137</v>
      </c>
      <c r="P5" s="17">
        <f>M5*0.02</f>
        <v>7</v>
      </c>
      <c r="Q5" s="18"/>
      <c r="R5" s="17">
        <f>M5+P5-Q5</f>
        <v>357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350</v>
      </c>
      <c r="N6" s="38">
        <f>M6</f>
        <v>350</v>
      </c>
      <c r="O6" s="39" t="s">
        <v>111</v>
      </c>
      <c r="P6" s="38">
        <f>SUM(P5:P5)</f>
        <v>7</v>
      </c>
      <c r="Q6" s="38"/>
      <c r="R6" s="38">
        <f>SUM(R5:R5)</f>
        <v>357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ZEE'S LAUNDRY SERVICES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311</v>
      </c>
      <c r="B10" s="71"/>
      <c r="C10" s="72"/>
      <c r="D10" s="73">
        <f>R6</f>
        <v>357</v>
      </c>
      <c r="E10" s="74"/>
      <c r="F10" s="75" t="str">
        <f>"In payment for laundry services for rooms using housefund received on " &amp; TEXT(A5, "mmmm dd, yyyy") &amp; " with SI#342" &amp; " CPO#" &amp;B5</f>
        <v>In payment for laundry services for rooms using housefund received on August 09, 2025 with SI#342 CPO#18976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09,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7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09,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350</v>
      </c>
      <c r="F13" s="89" t="str">
        <f>"Recording house fund expenses for replenishment on " &amp; TEXT(A5, "mmmm dd, yyyy")</f>
        <v>Recording house fund expenses for replenishment on August 09,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357</v>
      </c>
      <c r="E14" s="88">
        <f>SUM(E10:E13)</f>
        <v>357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09, 2025 with PCV#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0047A-BE7B-4556-ADC0-CACC0C474E96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45877</v>
      </c>
      <c r="B5" s="3" t="s">
        <v>283</v>
      </c>
      <c r="C5" s="4" t="s">
        <v>538</v>
      </c>
      <c r="D5" s="5" t="s">
        <v>284</v>
      </c>
      <c r="E5" s="6" t="s">
        <v>285</v>
      </c>
      <c r="F5" s="7" t="s">
        <v>229</v>
      </c>
      <c r="G5" s="8" t="s">
        <v>286</v>
      </c>
      <c r="H5" s="9">
        <v>340</v>
      </c>
      <c r="I5" s="10"/>
      <c r="J5" s="11" t="s">
        <v>310</v>
      </c>
      <c r="K5" s="12">
        <v>1</v>
      </c>
      <c r="L5" s="13">
        <v>320</v>
      </c>
      <c r="M5" s="14">
        <f t="shared" ref="M5" si="0">L5*K5</f>
        <v>320</v>
      </c>
      <c r="N5" s="15"/>
      <c r="O5" s="16" t="s">
        <v>137</v>
      </c>
      <c r="P5" s="17">
        <f>M5*0.02</f>
        <v>6.4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7">
        <f>M5+P5-Q5</f>
        <v>326.39999999999998</v>
      </c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320</v>
      </c>
      <c r="N6" s="38">
        <f>M6</f>
        <v>320</v>
      </c>
      <c r="O6" s="39" t="s">
        <v>111</v>
      </c>
      <c r="P6" s="38">
        <f>SUM(P5:P5)</f>
        <v>6.4</v>
      </c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Y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>SUM(AZ5:AZ5)</f>
        <v>326.39999999999998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ZEE'S LAUNDRY SERVICES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311</v>
      </c>
      <c r="B10" s="71"/>
      <c r="C10" s="72"/>
      <c r="D10" s="73">
        <f>AZ6</f>
        <v>326.39999999999998</v>
      </c>
      <c r="E10" s="74"/>
      <c r="F10" s="75" t="str">
        <f>"In payment for laundry services for rooms using housefund received on " &amp; TEXT(A5, "mmmm dd, yyyy") &amp; " with SI#340" &amp; " CPO#" &amp;B5</f>
        <v>In payment for laundry services for rooms using housefund received on August 08, 2025 with SI#340 CPO#18976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08,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6.4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08,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320</v>
      </c>
      <c r="F13" s="89" t="str">
        <f>"Recording house fund expenses for replenishment on " &amp; TEXT(A5, "mmmm dd, yyyy")</f>
        <v>Recording house fund expenses for replenishment on August 08,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326.39999999999998</v>
      </c>
      <c r="E14" s="88">
        <f>SUM(E10:E13)</f>
        <v>326.39999999999998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08, 2025 with PCV#20904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FB81B-660C-42AD-BC68-942D04F97D72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45878</v>
      </c>
      <c r="B5" s="3" t="s">
        <v>283</v>
      </c>
      <c r="C5" s="4" t="s">
        <v>539</v>
      </c>
      <c r="D5" s="5" t="s">
        <v>284</v>
      </c>
      <c r="E5" s="6" t="s">
        <v>285</v>
      </c>
      <c r="F5" s="7" t="s">
        <v>229</v>
      </c>
      <c r="G5" s="8" t="s">
        <v>286</v>
      </c>
      <c r="H5" s="9">
        <v>343</v>
      </c>
      <c r="I5" s="10"/>
      <c r="J5" s="11" t="s">
        <v>310</v>
      </c>
      <c r="K5" s="12">
        <v>1</v>
      </c>
      <c r="L5" s="13">
        <v>600</v>
      </c>
      <c r="M5" s="14">
        <f t="shared" ref="M5" si="0">L5*K5</f>
        <v>600</v>
      </c>
      <c r="N5" s="15"/>
      <c r="O5" s="16" t="s">
        <v>137</v>
      </c>
      <c r="P5" s="17">
        <f>M5*0.02</f>
        <v>12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7">
        <f>M5+P5-Q5</f>
        <v>612</v>
      </c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600</v>
      </c>
      <c r="N6" s="38">
        <f>M6</f>
        <v>600</v>
      </c>
      <c r="O6" s="39" t="s">
        <v>111</v>
      </c>
      <c r="P6" s="38">
        <f>SUM(P5:P5)</f>
        <v>12</v>
      </c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Y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>SUM(AZ5:AZ5)</f>
        <v>612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ZEE'S LAUNDRY SERVICES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311</v>
      </c>
      <c r="B10" s="71"/>
      <c r="C10" s="72"/>
      <c r="D10" s="73">
        <f>AZ6</f>
        <v>612</v>
      </c>
      <c r="E10" s="74"/>
      <c r="F10" s="75" t="str">
        <f>"In payment for laundry services for rooms using housefund received on " &amp; TEXT(A5, "mmmm dd, yyyy") &amp; " with SI#343" &amp; " CPO#" &amp;B5</f>
        <v>In payment for laundry services for rooms using housefund received on August 09, 2025 with SI#343 CPO#18976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09,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12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09,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600</v>
      </c>
      <c r="F13" s="89" t="str">
        <f>"Recording house fund expenses for replenishment on " &amp; TEXT(A5, "mmmm dd, yyyy")</f>
        <v>Recording house fund expenses for replenishment on August 09,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612</v>
      </c>
      <c r="E14" s="88">
        <f>SUM(E10:E13)</f>
        <v>612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09, 2025 with PCV#20905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4B507-A9D1-4531-99D3-163B9E61392F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45877</v>
      </c>
      <c r="B5" s="3" t="s">
        <v>283</v>
      </c>
      <c r="C5" s="4" t="s">
        <v>540</v>
      </c>
      <c r="D5" s="5" t="s">
        <v>284</v>
      </c>
      <c r="E5" s="6" t="s">
        <v>285</v>
      </c>
      <c r="F5" s="7" t="s">
        <v>229</v>
      </c>
      <c r="G5" s="8" t="s">
        <v>286</v>
      </c>
      <c r="H5" s="9">
        <v>337</v>
      </c>
      <c r="I5" s="10"/>
      <c r="J5" s="11" t="s">
        <v>312</v>
      </c>
      <c r="K5" s="12">
        <v>1</v>
      </c>
      <c r="L5" s="13">
        <v>320</v>
      </c>
      <c r="M5" s="14">
        <f t="shared" ref="M5" si="0">L5*K5</f>
        <v>320</v>
      </c>
      <c r="N5" s="15"/>
      <c r="O5" s="16" t="s">
        <v>137</v>
      </c>
      <c r="P5" s="17">
        <f>M5*0.02</f>
        <v>6.4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7">
        <f>M5+P5-Q5</f>
        <v>326.39999999999998</v>
      </c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320</v>
      </c>
      <c r="N6" s="38">
        <f>M6</f>
        <v>320</v>
      </c>
      <c r="O6" s="39" t="s">
        <v>111</v>
      </c>
      <c r="P6" s="38">
        <f>SUM(P5:P5)</f>
        <v>6.4</v>
      </c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Y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>SUM(AZ5:AZ5)</f>
        <v>326.39999999999998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ZEE'S LAUNDRY SERVICES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311</v>
      </c>
      <c r="B10" s="71"/>
      <c r="C10" s="72"/>
      <c r="D10" s="73">
        <f>AZ6</f>
        <v>326.39999999999998</v>
      </c>
      <c r="E10" s="74"/>
      <c r="F10" s="75" t="str">
        <f>"In payment for laundry services for rooms using housefund received on " &amp; TEXT(A5, "mmmm dd, yyyy") &amp; " with SI#337" &amp; " CPO#" &amp;B5</f>
        <v>In payment for laundry services for rooms using housefund received on August 08, 2025 with SI#337 CPO#18976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08,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6.4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08,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320</v>
      </c>
      <c r="F13" s="89" t="str">
        <f>"Recording house fund expenses for replenishment on " &amp; TEXT(A5, "mmmm dd, yyyy")</f>
        <v>Recording house fund expenses for replenishment on August 08,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326.39999999999998</v>
      </c>
      <c r="E14" s="88">
        <f>SUM(E10:E13)</f>
        <v>326.39999999999998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08, 2025 with PCV#20906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77EDB-D314-4C85-B17C-3972BC2603F3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45873</v>
      </c>
      <c r="B5" s="3" t="s">
        <v>283</v>
      </c>
      <c r="C5" s="4" t="s">
        <v>541</v>
      </c>
      <c r="D5" s="5" t="s">
        <v>284</v>
      </c>
      <c r="E5" s="6" t="s">
        <v>285</v>
      </c>
      <c r="F5" s="7" t="s">
        <v>229</v>
      </c>
      <c r="G5" s="8" t="s">
        <v>286</v>
      </c>
      <c r="H5" s="9">
        <v>321</v>
      </c>
      <c r="I5" s="10"/>
      <c r="J5" s="11" t="s">
        <v>310</v>
      </c>
      <c r="K5" s="12">
        <v>1</v>
      </c>
      <c r="L5" s="13">
        <v>350</v>
      </c>
      <c r="M5" s="14">
        <f t="shared" ref="M5" si="0">L5*K5</f>
        <v>350</v>
      </c>
      <c r="N5" s="15"/>
      <c r="O5" s="16" t="s">
        <v>137</v>
      </c>
      <c r="P5" s="17">
        <f>M5*0.02</f>
        <v>7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7">
        <f>M5+P5-Q5</f>
        <v>357</v>
      </c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350</v>
      </c>
      <c r="N6" s="38">
        <f>M6</f>
        <v>350</v>
      </c>
      <c r="O6" s="39" t="s">
        <v>137</v>
      </c>
      <c r="P6" s="38">
        <f>SUM(P5:P5)</f>
        <v>7</v>
      </c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Y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>SUM(AZ5:AZ5)</f>
        <v>357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ZEE'S LAUNDRY SERVICES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288</v>
      </c>
      <c r="B10" s="71"/>
      <c r="C10" s="72"/>
      <c r="D10" s="73">
        <f>AZ6</f>
        <v>357</v>
      </c>
      <c r="E10" s="74"/>
      <c r="F10" s="75" t="str">
        <f>"In payment for laundry services for rooms using housefund received on " &amp; TEXT(A5, "mmmm dd, yyyy") &amp; " with SI#321" &amp; " CPO#" &amp;B5</f>
        <v>In payment for laundry services for rooms using housefund received on August 04, 2025 with SI#321 CPO#18976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04,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7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04,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350</v>
      </c>
      <c r="F13" s="89" t="str">
        <f>"Recording house fund expenses for replenishment on " &amp; TEXT(A5, "mmmm dd, yyyy")</f>
        <v>Recording house fund expenses for replenishment on August 04,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357</v>
      </c>
      <c r="E14" s="88">
        <f>SUM(E10:E13)</f>
        <v>357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04, 2025 with PCV#20907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B0341-0F9A-4194-B465-4A842C63AA66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45872</v>
      </c>
      <c r="B5" s="3" t="s">
        <v>283</v>
      </c>
      <c r="C5" s="4" t="s">
        <v>542</v>
      </c>
      <c r="D5" s="5" t="s">
        <v>284</v>
      </c>
      <c r="E5" s="6" t="s">
        <v>285</v>
      </c>
      <c r="F5" s="7" t="s">
        <v>229</v>
      </c>
      <c r="G5" s="8" t="s">
        <v>286</v>
      </c>
      <c r="H5" s="9">
        <v>317</v>
      </c>
      <c r="I5" s="10"/>
      <c r="J5" s="11" t="s">
        <v>310</v>
      </c>
      <c r="K5" s="12">
        <v>1</v>
      </c>
      <c r="L5" s="13">
        <v>350</v>
      </c>
      <c r="M5" s="14">
        <f t="shared" ref="M5" si="0">L5*K5</f>
        <v>350</v>
      </c>
      <c r="N5" s="15"/>
      <c r="O5" s="16" t="s">
        <v>137</v>
      </c>
      <c r="P5" s="17">
        <f>M5*0.02</f>
        <v>7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7">
        <f>M5+P5-Q5</f>
        <v>357</v>
      </c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350</v>
      </c>
      <c r="N6" s="38">
        <f>M6</f>
        <v>350</v>
      </c>
      <c r="O6" s="39" t="s">
        <v>137</v>
      </c>
      <c r="P6" s="38">
        <f>SUM(P5:P5)</f>
        <v>7</v>
      </c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Y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>SUM(AZ5:AZ5)</f>
        <v>357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ZEE'S LAUNDRY SERVICES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311</v>
      </c>
      <c r="B10" s="71"/>
      <c r="C10" s="72"/>
      <c r="D10" s="73">
        <f>AZ6</f>
        <v>357</v>
      </c>
      <c r="E10" s="74"/>
      <c r="F10" s="75" t="str">
        <f>"In payment for laundry services for rooms using housefund received on " &amp; TEXT(A5, "mmmm dd, yyyy") &amp; " with SI#317" &amp; " CPO#" &amp;B5</f>
        <v>In payment for laundry services for rooms using housefund received on August 03, 2025 with SI#317 CPO#18976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03,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7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03,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350</v>
      </c>
      <c r="F13" s="89" t="str">
        <f>"Recording house fund expenses for replenishment on " &amp; TEXT(A5, "mmmm dd, yyyy")</f>
        <v>Recording house fund expenses for replenishment on August 03,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357</v>
      </c>
      <c r="E14" s="88">
        <f>SUM(E10:E13)</f>
        <v>357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03, 2025 with PCV#20908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92DCE-5FAD-4911-987F-9B0CE1E15A60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45880</v>
      </c>
      <c r="B5" s="3" t="s">
        <v>283</v>
      </c>
      <c r="C5" s="4" t="s">
        <v>543</v>
      </c>
      <c r="D5" s="5" t="s">
        <v>284</v>
      </c>
      <c r="E5" s="6" t="s">
        <v>285</v>
      </c>
      <c r="F5" s="7" t="s">
        <v>229</v>
      </c>
      <c r="G5" s="8" t="s">
        <v>286</v>
      </c>
      <c r="H5" s="9">
        <v>34185</v>
      </c>
      <c r="I5" s="10"/>
      <c r="J5" s="11" t="s">
        <v>310</v>
      </c>
      <c r="K5" s="12">
        <v>1</v>
      </c>
      <c r="L5" s="13">
        <v>250</v>
      </c>
      <c r="M5" s="14">
        <f t="shared" ref="M5" si="0">L5*K5</f>
        <v>250</v>
      </c>
      <c r="N5" s="15"/>
      <c r="O5" s="16" t="s">
        <v>137</v>
      </c>
      <c r="P5" s="17">
        <f>M5*0.02</f>
        <v>5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7">
        <f>M5+P5-Q5</f>
        <v>255</v>
      </c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250</v>
      </c>
      <c r="N6" s="38">
        <f>M6</f>
        <v>250</v>
      </c>
      <c r="O6" s="39" t="s">
        <v>137</v>
      </c>
      <c r="P6" s="38">
        <f>SUM(P5:P5)</f>
        <v>5</v>
      </c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Y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>SUM(AZ5:AZ5)</f>
        <v>255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ZEE'S LAUNDRY SERVICES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288</v>
      </c>
      <c r="B10" s="71"/>
      <c r="C10" s="72"/>
      <c r="D10" s="73">
        <f>AZ6</f>
        <v>255</v>
      </c>
      <c r="E10" s="74"/>
      <c r="F10" s="75" t="str">
        <f>"In payment for laundry service for rooms using housefund received on " &amp; TEXT(A5, "mmmm dd, yyyy") &amp; " with SI#34185" &amp; " CPO#" &amp;B5</f>
        <v>In payment for laundry service for rooms using housefund received on August 11, 2025 with SI#34185 CPO#18976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11,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5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11,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250</v>
      </c>
      <c r="F13" s="89" t="str">
        <f>"Recording house fund expenses for replenishment on " &amp; TEXT(A5, "mmmm dd, yyyy")</f>
        <v>Recording house fund expenses for replenishment on August 11,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255</v>
      </c>
      <c r="E14" s="88">
        <f>SUM(E10:E13)</f>
        <v>255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11, 2025 with PCV#20909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B7D87-D74E-479A-B57F-9B572C25A02C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45877</v>
      </c>
      <c r="B5" s="3" t="s">
        <v>283</v>
      </c>
      <c r="C5" s="4" t="s">
        <v>544</v>
      </c>
      <c r="D5" s="5" t="s">
        <v>284</v>
      </c>
      <c r="E5" s="6" t="s">
        <v>285</v>
      </c>
      <c r="F5" s="7" t="s">
        <v>229</v>
      </c>
      <c r="G5" s="8" t="s">
        <v>286</v>
      </c>
      <c r="H5" s="9">
        <v>4100</v>
      </c>
      <c r="I5" s="10"/>
      <c r="J5" s="11" t="s">
        <v>313</v>
      </c>
      <c r="K5" s="12">
        <v>1</v>
      </c>
      <c r="L5" s="13">
        <v>320</v>
      </c>
      <c r="M5" s="14">
        <f t="shared" ref="M5" si="0">L5*K5</f>
        <v>320</v>
      </c>
      <c r="N5" s="15"/>
      <c r="O5" s="16" t="s">
        <v>137</v>
      </c>
      <c r="P5" s="17">
        <f>M5*0.02</f>
        <v>6.4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7">
        <f>M5+P5-Q5</f>
        <v>326.39999999999998</v>
      </c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320</v>
      </c>
      <c r="N6" s="38">
        <f>M6</f>
        <v>320</v>
      </c>
      <c r="O6" s="39" t="s">
        <v>111</v>
      </c>
      <c r="P6" s="38">
        <f>SUM(P5:P5)</f>
        <v>6.4</v>
      </c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Y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>SUM(AZ5:AZ5)</f>
        <v>326.39999999999998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ZEE'S LAUNDRY SERVICES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288</v>
      </c>
      <c r="B10" s="71"/>
      <c r="C10" s="72"/>
      <c r="D10" s="73">
        <f>AZ6</f>
        <v>326.39999999999998</v>
      </c>
      <c r="E10" s="74"/>
      <c r="F10" s="75" t="str">
        <f>"In payment for laundry services for rooms using housefund received on " &amp; TEXT(A5, "mmmm dd, yyyy") &amp; " with SI#4100" &amp; " CPO#" &amp;B5</f>
        <v>In payment for laundry services for rooms using housefund received on August 08, 2025 with SI#4100 CPO#18976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08,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6.4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08,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320</v>
      </c>
      <c r="F13" s="89" t="str">
        <f>"Recording house fund expenses for replenishment on " &amp; TEXT(A5, "mmmm dd, yyyy")</f>
        <v>Recording house fund expenses for replenishment on August 08,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326.39999999999998</v>
      </c>
      <c r="E14" s="88">
        <f>SUM(E10:E13)</f>
        <v>326.39999999999998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08, 2025 with PCV#20910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EE23A-AF9D-4A5C-8E5A-9DAEACA7E679}">
  <sheetPr>
    <tabColor rgb="FFFF0066"/>
  </sheetPr>
  <dimension ref="A1:CY17"/>
  <sheetViews>
    <sheetView workbookViewId="0">
      <selection activeCell="F17" sqref="F17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45882</v>
      </c>
      <c r="B5" s="3" t="s">
        <v>414</v>
      </c>
      <c r="C5" s="4" t="s">
        <v>545</v>
      </c>
      <c r="D5" s="5" t="s">
        <v>122</v>
      </c>
      <c r="E5" s="6" t="s">
        <v>370</v>
      </c>
      <c r="F5" s="7" t="s">
        <v>336</v>
      </c>
      <c r="G5" s="8" t="s">
        <v>199</v>
      </c>
      <c r="H5" s="9" t="s">
        <v>415</v>
      </c>
      <c r="I5" s="10" t="s">
        <v>416</v>
      </c>
      <c r="J5" s="11" t="s">
        <v>417</v>
      </c>
      <c r="K5" s="12">
        <v>1</v>
      </c>
      <c r="L5" s="13">
        <v>728</v>
      </c>
      <c r="M5" s="14">
        <f t="shared" ref="M5:M7" si="0">L5*K5</f>
        <v>728</v>
      </c>
      <c r="N5" s="15"/>
      <c r="O5" s="16" t="s">
        <v>111</v>
      </c>
      <c r="P5" s="17">
        <f>M5/1.12*0.01</f>
        <v>6.4999999999999991</v>
      </c>
      <c r="Q5" s="18">
        <f>M5/1.12*0.12</f>
        <v>77.999999999999986</v>
      </c>
      <c r="R5" s="17">
        <f>M5+P5-Q5</f>
        <v>656.5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418</v>
      </c>
      <c r="K6" s="12">
        <v>0.53</v>
      </c>
      <c r="L6" s="13">
        <v>590</v>
      </c>
      <c r="M6" s="14">
        <f t="shared" si="0"/>
        <v>312.7</v>
      </c>
      <c r="N6" s="15"/>
      <c r="O6" s="16" t="s">
        <v>111</v>
      </c>
      <c r="P6" s="17">
        <f t="shared" ref="P6:P7" si="1">M6/1.12*0.01</f>
        <v>2.7919642857142857</v>
      </c>
      <c r="Q6" s="18"/>
      <c r="R6" s="17">
        <f t="shared" ref="R6:R7" si="2">M6+P6-Q6</f>
        <v>315.49196428571429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5" customFormat="1" x14ac:dyDescent="0.2">
      <c r="A7" s="2"/>
      <c r="B7" s="3"/>
      <c r="C7" s="4"/>
      <c r="E7" s="6"/>
      <c r="F7" s="7"/>
      <c r="G7" s="8"/>
      <c r="H7" s="9"/>
      <c r="I7" s="10"/>
      <c r="J7" s="11" t="s">
        <v>419</v>
      </c>
      <c r="K7" s="12">
        <v>0.51500000000000001</v>
      </c>
      <c r="L7" s="13">
        <v>550</v>
      </c>
      <c r="M7" s="14">
        <f t="shared" si="0"/>
        <v>283.25</v>
      </c>
      <c r="N7" s="15"/>
      <c r="O7" s="16" t="s">
        <v>111</v>
      </c>
      <c r="P7" s="17">
        <f t="shared" si="1"/>
        <v>2.5290178571428572</v>
      </c>
      <c r="Q7" s="18"/>
      <c r="R7" s="17">
        <f t="shared" si="2"/>
        <v>285.77901785714283</v>
      </c>
      <c r="S7" s="19"/>
      <c r="T7" s="19"/>
      <c r="U7" s="19"/>
      <c r="V7" s="19"/>
      <c r="W7" s="17"/>
      <c r="X7" s="20"/>
      <c r="Y7" s="19"/>
      <c r="Z7" s="19"/>
      <c r="AA7" s="19"/>
      <c r="AB7" s="19"/>
      <c r="AC7" s="19"/>
      <c r="AD7" s="19"/>
      <c r="AF7" s="19"/>
      <c r="AH7" s="17"/>
      <c r="AI7" s="19"/>
      <c r="AJ7" s="19"/>
      <c r="AK7" s="19"/>
      <c r="AL7" s="19"/>
      <c r="AM7" s="17"/>
      <c r="AN7" s="19"/>
      <c r="AO7" s="19"/>
      <c r="AP7" s="19"/>
      <c r="AQ7" s="19"/>
      <c r="AR7" s="19"/>
      <c r="AS7" s="21"/>
      <c r="AU7" s="19"/>
      <c r="AW7" s="22"/>
      <c r="AX7" s="19"/>
      <c r="AZ7" s="19"/>
      <c r="BC7" s="19"/>
      <c r="BD7" s="19"/>
      <c r="BE7" s="19"/>
      <c r="BF7" s="19"/>
      <c r="BG7" s="19"/>
      <c r="BH7" s="19"/>
      <c r="BI7" s="19"/>
      <c r="BJ7" s="19"/>
      <c r="BK7" s="13"/>
      <c r="BN7" s="19"/>
      <c r="BO7" s="17"/>
      <c r="BP7" s="19"/>
      <c r="BQ7" s="17"/>
      <c r="BR7" s="19"/>
      <c r="BS7" s="13"/>
      <c r="BU7" s="23"/>
      <c r="BV7" s="23"/>
      <c r="BW7" s="24"/>
      <c r="CA7" s="24"/>
      <c r="CB7" s="24"/>
      <c r="CC7" s="24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25"/>
      <c r="CW7" s="26"/>
    </row>
    <row r="8" spans="1:103" s="30" customFormat="1" ht="11.25" x14ac:dyDescent="0.2">
      <c r="A8" s="27"/>
      <c r="B8" s="28"/>
      <c r="C8" s="29"/>
      <c r="E8" s="31"/>
      <c r="F8" s="32"/>
      <c r="G8" s="33"/>
      <c r="H8" s="34"/>
      <c r="I8" s="34"/>
      <c r="J8" s="35"/>
      <c r="K8" s="36"/>
      <c r="L8" s="37"/>
      <c r="M8" s="38">
        <f>SUM(M5:M7)</f>
        <v>1323.95</v>
      </c>
      <c r="N8" s="38">
        <f>M8</f>
        <v>1323.95</v>
      </c>
      <c r="O8" s="39" t="s">
        <v>111</v>
      </c>
      <c r="P8" s="38">
        <f>SUM(P5:P7)</f>
        <v>11.820982142857142</v>
      </c>
      <c r="Q8" s="38">
        <f>SUM(Q5:Q7)</f>
        <v>77.999999999999986</v>
      </c>
      <c r="R8" s="38">
        <f>SUM(R5:R7)</f>
        <v>1257.7709821428571</v>
      </c>
      <c r="S8" s="38">
        <f t="shared" ref="S8:AD8" si="3">SUM(S5:S5)</f>
        <v>0</v>
      </c>
      <c r="T8" s="38">
        <f t="shared" si="3"/>
        <v>0</v>
      </c>
      <c r="U8" s="38">
        <f t="shared" si="3"/>
        <v>0</v>
      </c>
      <c r="V8" s="38">
        <f t="shared" si="3"/>
        <v>0</v>
      </c>
      <c r="W8" s="38">
        <f t="shared" si="3"/>
        <v>0</v>
      </c>
      <c r="X8" s="38">
        <f t="shared" si="3"/>
        <v>0</v>
      </c>
      <c r="Y8" s="38">
        <f t="shared" si="3"/>
        <v>0</v>
      </c>
      <c r="Z8" s="38">
        <f t="shared" si="3"/>
        <v>0</v>
      </c>
      <c r="AA8" s="38">
        <f t="shared" si="3"/>
        <v>0</v>
      </c>
      <c r="AB8" s="38">
        <f t="shared" si="3"/>
        <v>0</v>
      </c>
      <c r="AC8" s="38">
        <f t="shared" si="3"/>
        <v>0</v>
      </c>
      <c r="AD8" s="38">
        <f t="shared" si="3"/>
        <v>0</v>
      </c>
      <c r="AF8" s="38">
        <f>SUM(AF5:AF5)</f>
        <v>0</v>
      </c>
      <c r="AH8" s="38">
        <f t="shared" ref="AH8:AZ8" si="4">SUM(AH5:AH5)</f>
        <v>0</v>
      </c>
      <c r="AI8" s="38">
        <f t="shared" si="4"/>
        <v>0</v>
      </c>
      <c r="AJ8" s="38">
        <f t="shared" si="4"/>
        <v>0</v>
      </c>
      <c r="AK8" s="38">
        <f t="shared" si="4"/>
        <v>0</v>
      </c>
      <c r="AL8" s="38">
        <f t="shared" si="4"/>
        <v>0</v>
      </c>
      <c r="AM8" s="38">
        <f t="shared" si="4"/>
        <v>0</v>
      </c>
      <c r="AN8" s="38">
        <f t="shared" si="4"/>
        <v>0</v>
      </c>
      <c r="AO8" s="38">
        <f t="shared" si="4"/>
        <v>0</v>
      </c>
      <c r="AP8" s="38">
        <f t="shared" si="4"/>
        <v>0</v>
      </c>
      <c r="AQ8" s="38">
        <f t="shared" si="4"/>
        <v>0</v>
      </c>
      <c r="AR8" s="38">
        <f t="shared" si="4"/>
        <v>0</v>
      </c>
      <c r="AS8" s="38">
        <f t="shared" si="4"/>
        <v>0</v>
      </c>
      <c r="AT8" s="38">
        <f t="shared" si="4"/>
        <v>0</v>
      </c>
      <c r="AU8" s="38">
        <f t="shared" si="4"/>
        <v>0</v>
      </c>
      <c r="AV8" s="38">
        <f t="shared" si="4"/>
        <v>0</v>
      </c>
      <c r="AW8" s="38">
        <f t="shared" si="4"/>
        <v>0</v>
      </c>
      <c r="AX8" s="38">
        <f t="shared" si="4"/>
        <v>0</v>
      </c>
      <c r="AY8" s="38">
        <f t="shared" si="4"/>
        <v>0</v>
      </c>
      <c r="AZ8" s="38">
        <f t="shared" si="4"/>
        <v>0</v>
      </c>
      <c r="BB8" s="38">
        <f t="shared" ref="BB8:CV8" si="5">SUM(BB5:BB5)</f>
        <v>0</v>
      </c>
      <c r="BC8" s="38">
        <f t="shared" si="5"/>
        <v>0</v>
      </c>
      <c r="BD8" s="38">
        <f t="shared" si="5"/>
        <v>0</v>
      </c>
      <c r="BE8" s="38">
        <f t="shared" si="5"/>
        <v>0</v>
      </c>
      <c r="BF8" s="38">
        <f t="shared" si="5"/>
        <v>0</v>
      </c>
      <c r="BG8" s="38">
        <f t="shared" si="5"/>
        <v>0</v>
      </c>
      <c r="BH8" s="38">
        <f t="shared" si="5"/>
        <v>0</v>
      </c>
      <c r="BI8" s="38">
        <f t="shared" si="5"/>
        <v>0</v>
      </c>
      <c r="BJ8" s="38">
        <f t="shared" si="5"/>
        <v>0</v>
      </c>
      <c r="BK8" s="38">
        <f t="shared" si="5"/>
        <v>0</v>
      </c>
      <c r="BL8" s="38">
        <f t="shared" si="5"/>
        <v>0</v>
      </c>
      <c r="BM8" s="38">
        <f t="shared" si="5"/>
        <v>0</v>
      </c>
      <c r="BN8" s="38">
        <f t="shared" si="5"/>
        <v>0</v>
      </c>
      <c r="BO8" s="38">
        <f t="shared" si="5"/>
        <v>0</v>
      </c>
      <c r="BP8" s="38">
        <f t="shared" si="5"/>
        <v>0</v>
      </c>
      <c r="BQ8" s="38">
        <f t="shared" si="5"/>
        <v>0</v>
      </c>
      <c r="BR8" s="38">
        <f t="shared" si="5"/>
        <v>0</v>
      </c>
      <c r="BS8" s="38">
        <f t="shared" si="5"/>
        <v>0</v>
      </c>
      <c r="BT8" s="38">
        <f t="shared" si="5"/>
        <v>0</v>
      </c>
      <c r="BU8" s="38">
        <f t="shared" si="5"/>
        <v>0</v>
      </c>
      <c r="BV8" s="38">
        <f t="shared" si="5"/>
        <v>0</v>
      </c>
      <c r="BW8" s="38">
        <f t="shared" si="5"/>
        <v>0</v>
      </c>
      <c r="BX8" s="38">
        <f t="shared" si="5"/>
        <v>0</v>
      </c>
      <c r="BY8" s="38">
        <f t="shared" si="5"/>
        <v>0</v>
      </c>
      <c r="BZ8" s="38">
        <f t="shared" si="5"/>
        <v>0</v>
      </c>
      <c r="CA8" s="38">
        <f t="shared" si="5"/>
        <v>0</v>
      </c>
      <c r="CB8" s="38">
        <f t="shared" si="5"/>
        <v>0</v>
      </c>
      <c r="CC8" s="38">
        <f t="shared" si="5"/>
        <v>0</v>
      </c>
      <c r="CD8" s="38">
        <f t="shared" si="5"/>
        <v>0</v>
      </c>
      <c r="CE8" s="38">
        <f t="shared" si="5"/>
        <v>0</v>
      </c>
      <c r="CF8" s="38">
        <f t="shared" si="5"/>
        <v>0</v>
      </c>
      <c r="CG8" s="38">
        <f t="shared" si="5"/>
        <v>0</v>
      </c>
      <c r="CH8" s="38">
        <f t="shared" si="5"/>
        <v>0</v>
      </c>
      <c r="CI8" s="38">
        <f t="shared" si="5"/>
        <v>0</v>
      </c>
      <c r="CJ8" s="38">
        <f t="shared" si="5"/>
        <v>0</v>
      </c>
      <c r="CK8" s="38">
        <f t="shared" si="5"/>
        <v>0</v>
      </c>
      <c r="CL8" s="38">
        <f t="shared" si="5"/>
        <v>0</v>
      </c>
      <c r="CM8" s="38">
        <f t="shared" si="5"/>
        <v>0</v>
      </c>
      <c r="CN8" s="38">
        <f t="shared" si="5"/>
        <v>0</v>
      </c>
      <c r="CO8" s="38">
        <f t="shared" si="5"/>
        <v>0</v>
      </c>
      <c r="CP8" s="38">
        <f t="shared" si="5"/>
        <v>0</v>
      </c>
      <c r="CQ8" s="38">
        <f t="shared" si="5"/>
        <v>0</v>
      </c>
      <c r="CR8" s="38">
        <f t="shared" si="5"/>
        <v>0</v>
      </c>
      <c r="CS8" s="38">
        <f t="shared" si="5"/>
        <v>0</v>
      </c>
      <c r="CT8" s="38">
        <f t="shared" si="5"/>
        <v>0</v>
      </c>
      <c r="CU8" s="38">
        <f t="shared" si="5"/>
        <v>0</v>
      </c>
      <c r="CV8" s="38">
        <f t="shared" si="5"/>
        <v>0</v>
      </c>
      <c r="CW8" s="40"/>
    </row>
    <row r="9" spans="1:103" customFormat="1" ht="15" x14ac:dyDescent="0.25"/>
    <row r="10" spans="1:103" customFormat="1" ht="15" x14ac:dyDescent="0.25">
      <c r="A10" s="41" t="str">
        <f>E5</f>
        <v>SAVEMORE MARKET</v>
      </c>
      <c r="B10" s="42"/>
      <c r="C10" s="43"/>
      <c r="D10" s="44"/>
      <c r="E10" s="44"/>
      <c r="F10" s="45"/>
      <c r="G10" s="46"/>
      <c r="H10" s="47"/>
      <c r="I10" s="48"/>
      <c r="J10" s="49"/>
      <c r="K10" s="50"/>
      <c r="L10" s="51"/>
      <c r="M10" s="52"/>
      <c r="N10" s="53"/>
      <c r="O10" s="54"/>
      <c r="P10" s="55"/>
    </row>
    <row r="11" spans="1:103" customFormat="1" ht="15" x14ac:dyDescent="0.25">
      <c r="A11" s="56"/>
      <c r="B11" s="57"/>
      <c r="C11" s="58"/>
      <c r="D11" s="59" t="s">
        <v>112</v>
      </c>
      <c r="E11" s="59" t="s">
        <v>113</v>
      </c>
      <c r="F11" s="60" t="s">
        <v>114</v>
      </c>
      <c r="G11" s="61"/>
      <c r="H11" s="62"/>
      <c r="I11" s="63"/>
      <c r="J11" s="64"/>
      <c r="K11" s="1"/>
      <c r="L11" s="65"/>
      <c r="M11" s="66"/>
      <c r="N11" s="67"/>
      <c r="O11" s="68"/>
      <c r="P11" s="69"/>
    </row>
    <row r="12" spans="1:103" customFormat="1" ht="13.5" customHeight="1" x14ac:dyDescent="0.25">
      <c r="A12" s="70" t="s">
        <v>151</v>
      </c>
      <c r="B12" s="71"/>
      <c r="C12" s="72"/>
      <c r="D12" s="73">
        <f>R8</f>
        <v>1257.7709821428571</v>
      </c>
      <c r="E12" s="74"/>
      <c r="F12" s="75" t="str">
        <f>"In payment for inventory food for function using housefund received on " &amp; TEXT(A5, "mmmm dd, yyyy") &amp; " with SI#11-00310458 PR#30533 RR#50208" &amp; " CPO#" &amp;B5</f>
        <v>In payment for inventory food for function using housefund received on August 13, 2025 with SI#11-00310458 PR#30533 RR#50208 CPO#18977</v>
      </c>
      <c r="G12" s="76"/>
      <c r="H12" s="77"/>
      <c r="I12" s="77"/>
      <c r="J12" s="76"/>
      <c r="K12" s="1"/>
      <c r="L12" s="65"/>
      <c r="M12" s="78"/>
      <c r="N12" s="79"/>
      <c r="O12" s="80"/>
      <c r="P12" s="81"/>
    </row>
    <row r="13" spans="1:103" customFormat="1" ht="15" x14ac:dyDescent="0.25">
      <c r="A13" s="70" t="s">
        <v>115</v>
      </c>
      <c r="B13" s="71"/>
      <c r="C13" s="72"/>
      <c r="D13" s="73">
        <f>Q8</f>
        <v>77.999999999999986</v>
      </c>
      <c r="E13" s="74"/>
      <c r="F13" s="64" t="str">
        <f>"Recording input VAT for expenses and purchases made using house fund for " &amp; TEXT(A5, "mmmm dd, yyyy")</f>
        <v>Recording input VAT for expenses and purchases made using house fund for August 13,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 t="s">
        <v>116</v>
      </c>
      <c r="B14" s="86"/>
      <c r="C14" s="87"/>
      <c r="D14" s="88"/>
      <c r="E14" s="74">
        <f>P8</f>
        <v>11.820982142857142</v>
      </c>
      <c r="F14" s="89" t="str">
        <f>"Recording the tax withheld for expenses and purchases using the house fund received on " &amp; TEXT(A5, "mmmm dd, yyyy")</f>
        <v>Recording the tax withheld for expenses and purchases using the house fund received on August 13,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70" t="s">
        <v>117</v>
      </c>
      <c r="B15" s="86"/>
      <c r="C15" s="87"/>
      <c r="D15" s="90"/>
      <c r="E15" s="91">
        <f>M8</f>
        <v>1323.95</v>
      </c>
      <c r="F15" s="89" t="str">
        <f>"Recording house fund expenses for replenishment on " &amp; TEXT(A5, "mmmm dd, yyyy")</f>
        <v>Recording house fund expenses for replenishment on August 13, 2025</v>
      </c>
      <c r="G15" s="82"/>
      <c r="H15" s="83"/>
      <c r="I15" s="84"/>
      <c r="J15" s="82"/>
      <c r="K15" s="1"/>
      <c r="L15" s="65"/>
      <c r="M15" s="66"/>
      <c r="N15" s="67"/>
      <c r="O15" s="68"/>
      <c r="P15" s="69"/>
    </row>
    <row r="16" spans="1:103" customFormat="1" ht="15" x14ac:dyDescent="0.25">
      <c r="A16" s="85"/>
      <c r="B16" s="86"/>
      <c r="C16" s="87"/>
      <c r="D16" s="88">
        <f>SUM(D12:D13)</f>
        <v>1335.7709821428571</v>
      </c>
      <c r="E16" s="88">
        <f>SUM(E12:E15)</f>
        <v>1335.7709821428573</v>
      </c>
      <c r="F16" s="92"/>
      <c r="G16" s="92"/>
      <c r="H16" s="93"/>
      <c r="I16" s="94"/>
      <c r="J16" s="92"/>
      <c r="K16" s="1"/>
      <c r="L16" s="65"/>
      <c r="M16" s="66"/>
      <c r="N16" s="67"/>
      <c r="O16" s="68"/>
      <c r="P16" s="69"/>
    </row>
    <row r="17" spans="1:16" customFormat="1" ht="15" x14ac:dyDescent="0.25">
      <c r="A17" s="95" t="s">
        <v>118</v>
      </c>
      <c r="B17" s="96" t="str">
        <f>"To record house fund expenses on " &amp; TEXT(A5, "mmmm dd, yyyy") &amp; " with PCV#" &amp; C5</f>
        <v>To record house fund expenses on August 13, 2025 with PCV#20911</v>
      </c>
      <c r="C17" s="97"/>
      <c r="D17" s="98"/>
      <c r="E17" s="98"/>
      <c r="F17" s="98"/>
      <c r="G17" s="92"/>
      <c r="H17" s="93"/>
      <c r="I17" s="94"/>
      <c r="J17" s="92"/>
      <c r="K17" s="1"/>
      <c r="L17" s="65"/>
      <c r="M17" s="66"/>
      <c r="N17" s="67"/>
      <c r="O17" s="68"/>
      <c r="P17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C32C4-3175-4E63-8E15-9C3514534B42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45882</v>
      </c>
      <c r="B5" s="3" t="s">
        <v>414</v>
      </c>
      <c r="C5" s="4" t="s">
        <v>546</v>
      </c>
      <c r="D5" s="5" t="s">
        <v>122</v>
      </c>
      <c r="E5" s="6" t="s">
        <v>420</v>
      </c>
      <c r="F5" s="7" t="s">
        <v>229</v>
      </c>
      <c r="G5" s="8" t="s">
        <v>421</v>
      </c>
      <c r="H5" s="9">
        <v>50213</v>
      </c>
      <c r="I5" s="10" t="s">
        <v>422</v>
      </c>
      <c r="J5" s="11" t="s">
        <v>423</v>
      </c>
      <c r="K5" s="12">
        <v>7</v>
      </c>
      <c r="L5" s="13">
        <v>160</v>
      </c>
      <c r="M5" s="14">
        <f t="shared" ref="M5" si="0">L5*K5</f>
        <v>1120</v>
      </c>
      <c r="N5" s="15"/>
      <c r="O5" s="16" t="s">
        <v>111</v>
      </c>
      <c r="P5" s="17">
        <f>M5/1.12*0.01</f>
        <v>9.9999999999999982</v>
      </c>
      <c r="Q5" s="18">
        <f>M5/1.12*0.12</f>
        <v>119.99999999999999</v>
      </c>
      <c r="R5" s="17">
        <f>M5+P5-Q5</f>
        <v>1010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1120</v>
      </c>
      <c r="N6" s="38">
        <f>M6</f>
        <v>1120</v>
      </c>
      <c r="O6" s="39" t="s">
        <v>111</v>
      </c>
      <c r="P6" s="38">
        <f>SUM(P5:P5)</f>
        <v>9.9999999999999982</v>
      </c>
      <c r="Q6" s="38">
        <f>SUM(Q5:Q5)</f>
        <v>119.99999999999999</v>
      </c>
      <c r="R6" s="38">
        <f>SUM(R5:R5)</f>
        <v>1010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H-MART PHILIPPINES COMMERCIAL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340</v>
      </c>
      <c r="B10" s="71"/>
      <c r="C10" s="72"/>
      <c r="D10" s="73">
        <f>R6</f>
        <v>1010</v>
      </c>
      <c r="E10" s="74"/>
      <c r="F10" s="75" t="str">
        <f>"In payment for 7 packs of fresh shitaki mushroom for function using housefund received on " &amp; TEXT(A5, "mmmm dd, yyyy") &amp; " with SI#50213 PR#30533 RR#50209" &amp; " CPO#" &amp;B5</f>
        <v>In payment for 7 packs of fresh shitaki mushroom for function using housefund received on August 13, 2025 with SI#50213 PR#30533 RR#50209 CPO#18977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119.99999999999999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13,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9.9999999999999982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13,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1120</v>
      </c>
      <c r="F13" s="89" t="str">
        <f>"Recording house fund expenses for replenishment on " &amp; TEXT(A5, "mmmm dd, yyyy")</f>
        <v>Recording house fund expenses for replenishment on August 13,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1130</v>
      </c>
      <c r="E14" s="88">
        <f>SUM(E10:E13)</f>
        <v>1130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13, 2025 with PCV#20912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B5EF7-CE05-4F9A-AB81-324B3F722FD7}">
  <sheetPr>
    <tabColor rgb="FFFF0066"/>
  </sheetPr>
  <dimension ref="A1:CY24"/>
  <sheetViews>
    <sheetView topLeftCell="A4" workbookViewId="0">
      <selection activeCell="A5" sqref="A5:XFD15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8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8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45882</v>
      </c>
      <c r="B5" s="3" t="s">
        <v>414</v>
      </c>
      <c r="C5" s="4" t="s">
        <v>547</v>
      </c>
      <c r="D5" s="5" t="s">
        <v>122</v>
      </c>
      <c r="E5" s="6" t="s">
        <v>152</v>
      </c>
      <c r="F5" s="7" t="s">
        <v>229</v>
      </c>
      <c r="G5" s="8" t="s">
        <v>154</v>
      </c>
      <c r="H5" s="9" t="s">
        <v>424</v>
      </c>
      <c r="I5" s="10" t="s">
        <v>425</v>
      </c>
      <c r="J5" s="11" t="s">
        <v>426</v>
      </c>
      <c r="K5" s="12">
        <v>10</v>
      </c>
      <c r="L5" s="13">
        <v>48</v>
      </c>
      <c r="M5" s="14">
        <f t="shared" ref="M5:M14" si="0">L5*K5</f>
        <v>480</v>
      </c>
      <c r="N5" s="15"/>
      <c r="O5" s="16" t="s">
        <v>111</v>
      </c>
      <c r="P5" s="17">
        <f>M5/1.12*0.01</f>
        <v>4.2857142857142856</v>
      </c>
      <c r="Q5" s="18">
        <f>M5/1.12*0.12</f>
        <v>51.428571428571423</v>
      </c>
      <c r="R5" s="17">
        <f>M5+P5-Q5</f>
        <v>432.85714285714283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427</v>
      </c>
      <c r="K6" s="12">
        <v>5</v>
      </c>
      <c r="L6" s="13">
        <v>84.5</v>
      </c>
      <c r="M6" s="14">
        <f t="shared" si="0"/>
        <v>422.5</v>
      </c>
      <c r="N6" s="15"/>
      <c r="O6" s="16" t="s">
        <v>111</v>
      </c>
      <c r="P6" s="17">
        <f t="shared" ref="P6:P14" si="1">M6/1.12*0.01</f>
        <v>3.7723214285714284</v>
      </c>
      <c r="Q6" s="18">
        <f t="shared" ref="Q6:Q13" si="2">M6/1.12*0.12</f>
        <v>45.267857142857139</v>
      </c>
      <c r="R6" s="17">
        <f t="shared" ref="R6:R14" si="3">M6+P6-Q6</f>
        <v>381.00446428571433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5" customFormat="1" x14ac:dyDescent="0.2">
      <c r="A7" s="2"/>
      <c r="B7" s="3"/>
      <c r="C7" s="4"/>
      <c r="E7" s="6"/>
      <c r="F7" s="7"/>
      <c r="G7" s="8"/>
      <c r="H7" s="9"/>
      <c r="I7" s="10"/>
      <c r="J7" s="11" t="s">
        <v>428</v>
      </c>
      <c r="K7" s="12">
        <v>4</v>
      </c>
      <c r="L7" s="13">
        <v>225</v>
      </c>
      <c r="M7" s="14">
        <f t="shared" si="0"/>
        <v>900</v>
      </c>
      <c r="N7" s="15"/>
      <c r="O7" s="16" t="s">
        <v>111</v>
      </c>
      <c r="P7" s="17">
        <f t="shared" si="1"/>
        <v>8.0357142857142847</v>
      </c>
      <c r="Q7" s="18">
        <f t="shared" si="2"/>
        <v>96.428571428571416</v>
      </c>
      <c r="R7" s="17">
        <f t="shared" si="3"/>
        <v>811.60714285714289</v>
      </c>
      <c r="S7" s="19"/>
      <c r="T7" s="19"/>
      <c r="U7" s="19"/>
      <c r="V7" s="19"/>
      <c r="W7" s="17"/>
      <c r="X7" s="20"/>
      <c r="Y7" s="19"/>
      <c r="Z7" s="19"/>
      <c r="AA7" s="19"/>
      <c r="AB7" s="19"/>
      <c r="AC7" s="19"/>
      <c r="AD7" s="19"/>
      <c r="AF7" s="19"/>
      <c r="AH7" s="17"/>
      <c r="AI7" s="19"/>
      <c r="AJ7" s="19"/>
      <c r="AK7" s="19"/>
      <c r="AL7" s="19"/>
      <c r="AM7" s="17"/>
      <c r="AN7" s="19"/>
      <c r="AO7" s="19"/>
      <c r="AP7" s="19"/>
      <c r="AQ7" s="19"/>
      <c r="AR7" s="19"/>
      <c r="AS7" s="21"/>
      <c r="AU7" s="19"/>
      <c r="AW7" s="22"/>
      <c r="AX7" s="19"/>
      <c r="AZ7" s="19"/>
      <c r="BC7" s="19"/>
      <c r="BD7" s="19"/>
      <c r="BE7" s="19"/>
      <c r="BF7" s="19"/>
      <c r="BG7" s="19"/>
      <c r="BH7" s="19"/>
      <c r="BI7" s="19"/>
      <c r="BJ7" s="19"/>
      <c r="BK7" s="13"/>
      <c r="BN7" s="19"/>
      <c r="BO7" s="17"/>
      <c r="BP7" s="19"/>
      <c r="BQ7" s="17"/>
      <c r="BR7" s="19"/>
      <c r="BS7" s="13"/>
      <c r="BU7" s="23"/>
      <c r="BV7" s="23"/>
      <c r="BW7" s="24"/>
      <c r="CA7" s="24"/>
      <c r="CB7" s="24"/>
      <c r="CC7" s="24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25"/>
      <c r="CW7" s="26"/>
    </row>
    <row r="8" spans="1:103" s="5" customFormat="1" x14ac:dyDescent="0.2">
      <c r="A8" s="2"/>
      <c r="B8" s="3"/>
      <c r="C8" s="4"/>
      <c r="E8" s="6"/>
      <c r="F8" s="7"/>
      <c r="G8" s="8"/>
      <c r="H8" s="9"/>
      <c r="I8" s="10"/>
      <c r="J8" s="11" t="s">
        <v>429</v>
      </c>
      <c r="K8" s="12">
        <v>20</v>
      </c>
      <c r="L8" s="13">
        <v>32</v>
      </c>
      <c r="M8" s="14">
        <f t="shared" si="0"/>
        <v>640</v>
      </c>
      <c r="N8" s="15"/>
      <c r="O8" s="16" t="s">
        <v>111</v>
      </c>
      <c r="P8" s="17">
        <f t="shared" si="1"/>
        <v>5.7142857142857135</v>
      </c>
      <c r="Q8" s="18">
        <f t="shared" si="2"/>
        <v>68.571428571428555</v>
      </c>
      <c r="R8" s="17">
        <f t="shared" si="3"/>
        <v>577.14285714285711</v>
      </c>
      <c r="S8" s="19"/>
      <c r="T8" s="19"/>
      <c r="U8" s="19"/>
      <c r="V8" s="19"/>
      <c r="W8" s="17"/>
      <c r="X8" s="20"/>
      <c r="Y8" s="19"/>
      <c r="Z8" s="19"/>
      <c r="AA8" s="19"/>
      <c r="AB8" s="19"/>
      <c r="AC8" s="19"/>
      <c r="AD8" s="19"/>
      <c r="AF8" s="19"/>
      <c r="AH8" s="17"/>
      <c r="AI8" s="19"/>
      <c r="AJ8" s="19"/>
      <c r="AK8" s="19"/>
      <c r="AL8" s="19"/>
      <c r="AM8" s="17"/>
      <c r="AN8" s="19"/>
      <c r="AO8" s="19"/>
      <c r="AP8" s="19"/>
      <c r="AQ8" s="19"/>
      <c r="AR8" s="19"/>
      <c r="AS8" s="21"/>
      <c r="AU8" s="19"/>
      <c r="AW8" s="22"/>
      <c r="AX8" s="19"/>
      <c r="AZ8" s="19"/>
      <c r="BC8" s="19"/>
      <c r="BD8" s="19"/>
      <c r="BE8" s="19"/>
      <c r="BF8" s="19"/>
      <c r="BG8" s="19"/>
      <c r="BH8" s="19"/>
      <c r="BI8" s="19"/>
      <c r="BJ8" s="19"/>
      <c r="BK8" s="13"/>
      <c r="BN8" s="19"/>
      <c r="BO8" s="17"/>
      <c r="BP8" s="19"/>
      <c r="BQ8" s="17"/>
      <c r="BR8" s="19"/>
      <c r="BS8" s="13"/>
      <c r="BU8" s="23"/>
      <c r="BV8" s="23"/>
      <c r="BW8" s="24"/>
      <c r="CA8" s="24"/>
      <c r="CB8" s="24"/>
      <c r="CC8" s="24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25"/>
      <c r="CW8" s="26"/>
    </row>
    <row r="9" spans="1:103" s="5" customFormat="1" x14ac:dyDescent="0.2">
      <c r="A9" s="2"/>
      <c r="B9" s="3"/>
      <c r="C9" s="4"/>
      <c r="E9" s="6"/>
      <c r="F9" s="7"/>
      <c r="G9" s="8"/>
      <c r="H9" s="9"/>
      <c r="I9" s="10"/>
      <c r="J9" s="11" t="s">
        <v>430</v>
      </c>
      <c r="K9" s="12">
        <v>2</v>
      </c>
      <c r="L9" s="13">
        <v>71</v>
      </c>
      <c r="M9" s="14">
        <f t="shared" si="0"/>
        <v>142</v>
      </c>
      <c r="N9" s="15"/>
      <c r="O9" s="16" t="s">
        <v>111</v>
      </c>
      <c r="P9" s="17">
        <f t="shared" si="1"/>
        <v>1.2678571428571428</v>
      </c>
      <c r="Q9" s="18">
        <f t="shared" si="2"/>
        <v>15.214285714285714</v>
      </c>
      <c r="R9" s="17">
        <f t="shared" si="3"/>
        <v>128.05357142857142</v>
      </c>
      <c r="S9" s="19"/>
      <c r="T9" s="19"/>
      <c r="U9" s="19"/>
      <c r="V9" s="19"/>
      <c r="W9" s="17"/>
      <c r="X9" s="20"/>
      <c r="Y9" s="19"/>
      <c r="Z9" s="19"/>
      <c r="AA9" s="19"/>
      <c r="AB9" s="19"/>
      <c r="AC9" s="19"/>
      <c r="AD9" s="19"/>
      <c r="AF9" s="19"/>
      <c r="AH9" s="17"/>
      <c r="AI9" s="19"/>
      <c r="AJ9" s="19"/>
      <c r="AK9" s="19"/>
      <c r="AL9" s="19"/>
      <c r="AM9" s="17"/>
      <c r="AN9" s="19"/>
      <c r="AO9" s="19"/>
      <c r="AP9" s="19"/>
      <c r="AQ9" s="19"/>
      <c r="AR9" s="19"/>
      <c r="AS9" s="21"/>
      <c r="AU9" s="19"/>
      <c r="AW9" s="22"/>
      <c r="AX9" s="19"/>
      <c r="AZ9" s="19"/>
      <c r="BC9" s="19"/>
      <c r="BD9" s="19"/>
      <c r="BE9" s="19"/>
      <c r="BF9" s="19"/>
      <c r="BG9" s="19"/>
      <c r="BH9" s="19"/>
      <c r="BI9" s="19"/>
      <c r="BJ9" s="19"/>
      <c r="BK9" s="13"/>
      <c r="BN9" s="19"/>
      <c r="BO9" s="17"/>
      <c r="BP9" s="19"/>
      <c r="BQ9" s="17"/>
      <c r="BR9" s="19"/>
      <c r="BS9" s="13"/>
      <c r="BU9" s="23"/>
      <c r="BV9" s="23"/>
      <c r="BW9" s="24"/>
      <c r="CA9" s="24"/>
      <c r="CB9" s="24"/>
      <c r="CC9" s="24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25"/>
      <c r="CW9" s="26"/>
    </row>
    <row r="10" spans="1:103" s="5" customFormat="1" x14ac:dyDescent="0.2">
      <c r="A10" s="2"/>
      <c r="B10" s="3"/>
      <c r="C10" s="4"/>
      <c r="E10" s="6"/>
      <c r="F10" s="7"/>
      <c r="G10" s="8"/>
      <c r="H10" s="9"/>
      <c r="I10" s="10"/>
      <c r="J10" s="11" t="s">
        <v>431</v>
      </c>
      <c r="K10" s="12">
        <v>1</v>
      </c>
      <c r="L10" s="13">
        <v>63.5</v>
      </c>
      <c r="M10" s="14">
        <f t="shared" si="0"/>
        <v>63.5</v>
      </c>
      <c r="N10" s="15"/>
      <c r="O10" s="16" t="s">
        <v>111</v>
      </c>
      <c r="P10" s="17">
        <f t="shared" si="1"/>
        <v>0.5669642857142857</v>
      </c>
      <c r="Q10" s="18">
        <f t="shared" si="2"/>
        <v>6.8035714285714279</v>
      </c>
      <c r="R10" s="17">
        <f t="shared" si="3"/>
        <v>57.263392857142861</v>
      </c>
      <c r="S10" s="19"/>
      <c r="T10" s="19"/>
      <c r="U10" s="19"/>
      <c r="V10" s="19"/>
      <c r="W10" s="17"/>
      <c r="X10" s="20"/>
      <c r="Y10" s="19"/>
      <c r="Z10" s="19"/>
      <c r="AA10" s="19"/>
      <c r="AB10" s="19"/>
      <c r="AC10" s="19"/>
      <c r="AD10" s="19"/>
      <c r="AF10" s="19"/>
      <c r="AH10" s="17"/>
      <c r="AI10" s="19"/>
      <c r="AJ10" s="19"/>
      <c r="AK10" s="19"/>
      <c r="AL10" s="19"/>
      <c r="AM10" s="17"/>
      <c r="AN10" s="19"/>
      <c r="AO10" s="19"/>
      <c r="AP10" s="19"/>
      <c r="AQ10" s="19"/>
      <c r="AR10" s="19"/>
      <c r="AS10" s="21"/>
      <c r="AU10" s="19"/>
      <c r="AW10" s="22"/>
      <c r="AX10" s="19"/>
      <c r="AZ10" s="19"/>
      <c r="BC10" s="19"/>
      <c r="BD10" s="19"/>
      <c r="BE10" s="19"/>
      <c r="BF10" s="19"/>
      <c r="BG10" s="19"/>
      <c r="BH10" s="19"/>
      <c r="BI10" s="19"/>
      <c r="BJ10" s="19"/>
      <c r="BK10" s="13"/>
      <c r="BN10" s="19"/>
      <c r="BO10" s="17"/>
      <c r="BP10" s="19"/>
      <c r="BQ10" s="17"/>
      <c r="BR10" s="19"/>
      <c r="BS10" s="13"/>
      <c r="BU10" s="23"/>
      <c r="BV10" s="23"/>
      <c r="BW10" s="24"/>
      <c r="CA10" s="24"/>
      <c r="CB10" s="24"/>
      <c r="CC10" s="24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25"/>
      <c r="CW10" s="26"/>
    </row>
    <row r="11" spans="1:103" s="5" customFormat="1" x14ac:dyDescent="0.2">
      <c r="A11" s="2"/>
      <c r="B11" s="3"/>
      <c r="C11" s="4"/>
      <c r="E11" s="6"/>
      <c r="F11" s="7"/>
      <c r="G11" s="8"/>
      <c r="H11" s="9"/>
      <c r="I11" s="10"/>
      <c r="J11" s="11" t="s">
        <v>432</v>
      </c>
      <c r="K11" s="12">
        <v>30</v>
      </c>
      <c r="L11" s="13">
        <v>53</v>
      </c>
      <c r="M11" s="14">
        <f t="shared" si="0"/>
        <v>1590</v>
      </c>
      <c r="N11" s="15"/>
      <c r="O11" s="16" t="s">
        <v>111</v>
      </c>
      <c r="P11" s="17">
        <f t="shared" si="1"/>
        <v>14.196428571428571</v>
      </c>
      <c r="Q11" s="18">
        <f t="shared" si="2"/>
        <v>170.35714285714283</v>
      </c>
      <c r="R11" s="17">
        <f t="shared" si="3"/>
        <v>1433.8392857142858</v>
      </c>
      <c r="S11" s="19"/>
      <c r="T11" s="19"/>
      <c r="U11" s="19"/>
      <c r="V11" s="19"/>
      <c r="W11" s="17"/>
      <c r="X11" s="20"/>
      <c r="Y11" s="19"/>
      <c r="Z11" s="19"/>
      <c r="AA11" s="19"/>
      <c r="AB11" s="19"/>
      <c r="AC11" s="19"/>
      <c r="AD11" s="19"/>
      <c r="AF11" s="19"/>
      <c r="AH11" s="17"/>
      <c r="AI11" s="19"/>
      <c r="AJ11" s="19"/>
      <c r="AK11" s="19"/>
      <c r="AL11" s="19"/>
      <c r="AM11" s="17"/>
      <c r="AN11" s="19"/>
      <c r="AO11" s="19"/>
      <c r="AP11" s="19"/>
      <c r="AQ11" s="19"/>
      <c r="AR11" s="19"/>
      <c r="AS11" s="21"/>
      <c r="AU11" s="19"/>
      <c r="AW11" s="22"/>
      <c r="AX11" s="19"/>
      <c r="AZ11" s="19"/>
      <c r="BC11" s="19"/>
      <c r="BD11" s="19"/>
      <c r="BE11" s="19"/>
      <c r="BF11" s="19"/>
      <c r="BG11" s="19"/>
      <c r="BH11" s="19"/>
      <c r="BI11" s="19"/>
      <c r="BJ11" s="19"/>
      <c r="BK11" s="13"/>
      <c r="BN11" s="19"/>
      <c r="BO11" s="17"/>
      <c r="BP11" s="19"/>
      <c r="BQ11" s="17"/>
      <c r="BR11" s="19"/>
      <c r="BS11" s="13"/>
      <c r="BU11" s="23"/>
      <c r="BV11" s="23"/>
      <c r="BW11" s="24"/>
      <c r="CA11" s="24"/>
      <c r="CB11" s="24"/>
      <c r="CC11" s="24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25"/>
      <c r="CW11" s="26"/>
    </row>
    <row r="12" spans="1:103" s="5" customFormat="1" x14ac:dyDescent="0.2">
      <c r="A12" s="2"/>
      <c r="B12" s="3"/>
      <c r="C12" s="4"/>
      <c r="E12" s="6"/>
      <c r="F12" s="7"/>
      <c r="G12" s="8"/>
      <c r="H12" s="9"/>
      <c r="I12" s="10"/>
      <c r="J12" s="11" t="s">
        <v>433</v>
      </c>
      <c r="K12" s="12">
        <v>1</v>
      </c>
      <c r="L12" s="13">
        <v>625</v>
      </c>
      <c r="M12" s="14">
        <f t="shared" si="0"/>
        <v>625</v>
      </c>
      <c r="N12" s="15"/>
      <c r="O12" s="16" t="s">
        <v>111</v>
      </c>
      <c r="P12" s="17">
        <f t="shared" si="1"/>
        <v>5.5803571428571423</v>
      </c>
      <c r="Q12" s="18">
        <f t="shared" si="2"/>
        <v>66.964285714285708</v>
      </c>
      <c r="R12" s="17">
        <f t="shared" si="3"/>
        <v>563.61607142857144</v>
      </c>
      <c r="S12" s="19"/>
      <c r="T12" s="19"/>
      <c r="U12" s="19"/>
      <c r="V12" s="19"/>
      <c r="W12" s="17"/>
      <c r="X12" s="20"/>
      <c r="Y12" s="19"/>
      <c r="Z12" s="19"/>
      <c r="AA12" s="19"/>
      <c r="AB12" s="19"/>
      <c r="AC12" s="19"/>
      <c r="AD12" s="19"/>
      <c r="AF12" s="19"/>
      <c r="AH12" s="17"/>
      <c r="AI12" s="19"/>
      <c r="AJ12" s="19"/>
      <c r="AK12" s="19"/>
      <c r="AL12" s="19"/>
      <c r="AM12" s="17"/>
      <c r="AN12" s="19"/>
      <c r="AO12" s="19"/>
      <c r="AP12" s="19"/>
      <c r="AQ12" s="19"/>
      <c r="AR12" s="19"/>
      <c r="AS12" s="21"/>
      <c r="AU12" s="19"/>
      <c r="AW12" s="22"/>
      <c r="AX12" s="19"/>
      <c r="AZ12" s="19"/>
      <c r="BC12" s="19"/>
      <c r="BD12" s="19"/>
      <c r="BE12" s="19"/>
      <c r="BF12" s="19"/>
      <c r="BG12" s="19"/>
      <c r="BH12" s="19"/>
      <c r="BI12" s="19"/>
      <c r="BJ12" s="19"/>
      <c r="BK12" s="13"/>
      <c r="BN12" s="19"/>
      <c r="BO12" s="17"/>
      <c r="BP12" s="19"/>
      <c r="BQ12" s="17"/>
      <c r="BR12" s="19"/>
      <c r="BS12" s="13"/>
      <c r="BU12" s="23"/>
      <c r="BV12" s="23"/>
      <c r="BW12" s="24"/>
      <c r="CA12" s="24"/>
      <c r="CB12" s="24"/>
      <c r="CC12" s="24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25"/>
      <c r="CW12" s="26"/>
    </row>
    <row r="13" spans="1:103" s="5" customFormat="1" x14ac:dyDescent="0.2">
      <c r="A13" s="2"/>
      <c r="B13" s="3"/>
      <c r="C13" s="4"/>
      <c r="E13" s="6"/>
      <c r="F13" s="7"/>
      <c r="G13" s="8"/>
      <c r="H13" s="9"/>
      <c r="I13" s="10"/>
      <c r="J13" s="11" t="s">
        <v>434</v>
      </c>
      <c r="K13" s="12">
        <v>2</v>
      </c>
      <c r="L13" s="13">
        <v>287.5</v>
      </c>
      <c r="M13" s="14">
        <f t="shared" si="0"/>
        <v>575</v>
      </c>
      <c r="N13" s="15"/>
      <c r="O13" s="16" t="s">
        <v>111</v>
      </c>
      <c r="P13" s="17">
        <f t="shared" si="1"/>
        <v>5.1339285714285712</v>
      </c>
      <c r="Q13" s="18">
        <f t="shared" si="2"/>
        <v>61.607142857142854</v>
      </c>
      <c r="R13" s="17">
        <f t="shared" si="3"/>
        <v>518.52678571428567</v>
      </c>
      <c r="S13" s="19"/>
      <c r="T13" s="19"/>
      <c r="U13" s="19"/>
      <c r="V13" s="19"/>
      <c r="W13" s="17"/>
      <c r="X13" s="20"/>
      <c r="Y13" s="19"/>
      <c r="Z13" s="19"/>
      <c r="AA13" s="19"/>
      <c r="AB13" s="19"/>
      <c r="AC13" s="19"/>
      <c r="AD13" s="19"/>
      <c r="AF13" s="19"/>
      <c r="AH13" s="17"/>
      <c r="AI13" s="19"/>
      <c r="AJ13" s="19"/>
      <c r="AK13" s="19"/>
      <c r="AL13" s="19"/>
      <c r="AM13" s="17"/>
      <c r="AN13" s="19"/>
      <c r="AO13" s="19"/>
      <c r="AP13" s="19"/>
      <c r="AQ13" s="19"/>
      <c r="AR13" s="19"/>
      <c r="AS13" s="21"/>
      <c r="AU13" s="19"/>
      <c r="AW13" s="22"/>
      <c r="AX13" s="19"/>
      <c r="AZ13" s="19"/>
      <c r="BC13" s="19"/>
      <c r="BD13" s="19"/>
      <c r="BE13" s="19"/>
      <c r="BF13" s="19"/>
      <c r="BG13" s="19"/>
      <c r="BH13" s="19"/>
      <c r="BI13" s="19"/>
      <c r="BJ13" s="19"/>
      <c r="BK13" s="13"/>
      <c r="BN13" s="19"/>
      <c r="BO13" s="17"/>
      <c r="BP13" s="19"/>
      <c r="BQ13" s="17"/>
      <c r="BR13" s="19"/>
      <c r="BS13" s="13"/>
      <c r="BU13" s="23"/>
      <c r="BV13" s="23"/>
      <c r="BW13" s="24"/>
      <c r="CA13" s="24"/>
      <c r="CB13" s="24"/>
      <c r="CC13" s="24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25"/>
      <c r="CW13" s="26"/>
    </row>
    <row r="14" spans="1:103" s="5" customFormat="1" x14ac:dyDescent="0.2">
      <c r="A14" s="2"/>
      <c r="B14" s="3"/>
      <c r="C14" s="4"/>
      <c r="E14" s="6"/>
      <c r="F14" s="7"/>
      <c r="G14" s="8"/>
      <c r="H14" s="9"/>
      <c r="I14" s="10"/>
      <c r="J14" s="11" t="s">
        <v>435</v>
      </c>
      <c r="K14" s="12">
        <v>1.05</v>
      </c>
      <c r="L14" s="13">
        <v>296</v>
      </c>
      <c r="M14" s="14">
        <f t="shared" si="0"/>
        <v>310.8</v>
      </c>
      <c r="N14" s="15"/>
      <c r="O14" s="16" t="s">
        <v>111</v>
      </c>
      <c r="P14" s="17">
        <f t="shared" si="1"/>
        <v>2.7749999999999999</v>
      </c>
      <c r="Q14" s="18"/>
      <c r="R14" s="17">
        <f t="shared" si="3"/>
        <v>313.57499999999999</v>
      </c>
      <c r="S14" s="19"/>
      <c r="T14" s="19"/>
      <c r="U14" s="19"/>
      <c r="V14" s="19"/>
      <c r="W14" s="17"/>
      <c r="X14" s="20"/>
      <c r="Y14" s="19"/>
      <c r="Z14" s="19"/>
      <c r="AA14" s="19"/>
      <c r="AB14" s="19"/>
      <c r="AC14" s="19"/>
      <c r="AD14" s="19"/>
      <c r="AF14" s="19"/>
      <c r="AH14" s="17"/>
      <c r="AI14" s="19"/>
      <c r="AJ14" s="19"/>
      <c r="AK14" s="19"/>
      <c r="AL14" s="19"/>
      <c r="AM14" s="17"/>
      <c r="AN14" s="19"/>
      <c r="AO14" s="19"/>
      <c r="AP14" s="19"/>
      <c r="AQ14" s="19"/>
      <c r="AR14" s="19"/>
      <c r="AS14" s="21"/>
      <c r="AU14" s="19"/>
      <c r="AW14" s="22"/>
      <c r="AX14" s="19"/>
      <c r="AZ14" s="19"/>
      <c r="BC14" s="19"/>
      <c r="BD14" s="19"/>
      <c r="BE14" s="19"/>
      <c r="BF14" s="19"/>
      <c r="BG14" s="19"/>
      <c r="BH14" s="19"/>
      <c r="BI14" s="19"/>
      <c r="BJ14" s="19"/>
      <c r="BK14" s="13"/>
      <c r="BN14" s="19"/>
      <c r="BO14" s="17"/>
      <c r="BP14" s="19"/>
      <c r="BQ14" s="17"/>
      <c r="BR14" s="19"/>
      <c r="BS14" s="13"/>
      <c r="BU14" s="23"/>
      <c r="BV14" s="23"/>
      <c r="BW14" s="24"/>
      <c r="CA14" s="24"/>
      <c r="CB14" s="24"/>
      <c r="CC14" s="24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25"/>
      <c r="CW14" s="26"/>
    </row>
    <row r="15" spans="1:103" s="30" customFormat="1" ht="11.25" x14ac:dyDescent="0.2">
      <c r="A15" s="27"/>
      <c r="B15" s="28"/>
      <c r="C15" s="29"/>
      <c r="E15" s="31"/>
      <c r="F15" s="32"/>
      <c r="G15" s="33"/>
      <c r="H15" s="34"/>
      <c r="I15" s="34"/>
      <c r="J15" s="35"/>
      <c r="K15" s="36"/>
      <c r="L15" s="37"/>
      <c r="M15" s="38">
        <f>SUM(M5:M14)</f>
        <v>5748.8</v>
      </c>
      <c r="N15" s="38">
        <f>M15</f>
        <v>5748.8</v>
      </c>
      <c r="O15" s="39" t="s">
        <v>111</v>
      </c>
      <c r="P15" s="38">
        <f>SUM(P5:P14)</f>
        <v>51.328571428571429</v>
      </c>
      <c r="Q15" s="38">
        <f>SUM(Q5:Q14)</f>
        <v>582.64285714285711</v>
      </c>
      <c r="R15" s="38">
        <f>SUM(R5:R14)</f>
        <v>5217.4857142857136</v>
      </c>
      <c r="S15" s="38">
        <f t="shared" ref="S15:AD15" si="4">SUM(S5:S5)</f>
        <v>0</v>
      </c>
      <c r="T15" s="38">
        <f t="shared" si="4"/>
        <v>0</v>
      </c>
      <c r="U15" s="38">
        <f t="shared" si="4"/>
        <v>0</v>
      </c>
      <c r="V15" s="38">
        <f t="shared" si="4"/>
        <v>0</v>
      </c>
      <c r="W15" s="38">
        <f t="shared" si="4"/>
        <v>0</v>
      </c>
      <c r="X15" s="38">
        <f t="shared" si="4"/>
        <v>0</v>
      </c>
      <c r="Y15" s="38">
        <f t="shared" si="4"/>
        <v>0</v>
      </c>
      <c r="Z15" s="38">
        <f t="shared" si="4"/>
        <v>0</v>
      </c>
      <c r="AA15" s="38">
        <f t="shared" si="4"/>
        <v>0</v>
      </c>
      <c r="AB15" s="38">
        <f t="shared" si="4"/>
        <v>0</v>
      </c>
      <c r="AC15" s="38">
        <f t="shared" si="4"/>
        <v>0</v>
      </c>
      <c r="AD15" s="38">
        <f t="shared" si="4"/>
        <v>0</v>
      </c>
      <c r="AF15" s="38">
        <f>SUM(AF5:AF5)</f>
        <v>0</v>
      </c>
      <c r="AH15" s="38">
        <f t="shared" ref="AH15:AZ15" si="5">SUM(AH5:AH5)</f>
        <v>0</v>
      </c>
      <c r="AI15" s="38">
        <f t="shared" si="5"/>
        <v>0</v>
      </c>
      <c r="AJ15" s="38">
        <f t="shared" si="5"/>
        <v>0</v>
      </c>
      <c r="AK15" s="38">
        <f t="shared" si="5"/>
        <v>0</v>
      </c>
      <c r="AL15" s="38">
        <f t="shared" si="5"/>
        <v>0</v>
      </c>
      <c r="AM15" s="38">
        <f t="shared" si="5"/>
        <v>0</v>
      </c>
      <c r="AN15" s="38">
        <f t="shared" si="5"/>
        <v>0</v>
      </c>
      <c r="AO15" s="38">
        <f t="shared" si="5"/>
        <v>0</v>
      </c>
      <c r="AP15" s="38">
        <f t="shared" si="5"/>
        <v>0</v>
      </c>
      <c r="AQ15" s="38">
        <f t="shared" si="5"/>
        <v>0</v>
      </c>
      <c r="AR15" s="38">
        <f t="shared" si="5"/>
        <v>0</v>
      </c>
      <c r="AS15" s="38">
        <f t="shared" si="5"/>
        <v>0</v>
      </c>
      <c r="AT15" s="38">
        <f t="shared" si="5"/>
        <v>0</v>
      </c>
      <c r="AU15" s="38">
        <f t="shared" si="5"/>
        <v>0</v>
      </c>
      <c r="AV15" s="38">
        <f t="shared" si="5"/>
        <v>0</v>
      </c>
      <c r="AW15" s="38">
        <f t="shared" si="5"/>
        <v>0</v>
      </c>
      <c r="AX15" s="38">
        <f t="shared" si="5"/>
        <v>0</v>
      </c>
      <c r="AY15" s="38">
        <f t="shared" si="5"/>
        <v>0</v>
      </c>
      <c r="AZ15" s="38">
        <f t="shared" si="5"/>
        <v>0</v>
      </c>
      <c r="BB15" s="38">
        <f t="shared" ref="BB15:CV15" si="6">SUM(BB5:BB5)</f>
        <v>0</v>
      </c>
      <c r="BC15" s="38">
        <f t="shared" si="6"/>
        <v>0</v>
      </c>
      <c r="BD15" s="38">
        <f t="shared" si="6"/>
        <v>0</v>
      </c>
      <c r="BE15" s="38">
        <f t="shared" si="6"/>
        <v>0</v>
      </c>
      <c r="BF15" s="38">
        <f t="shared" si="6"/>
        <v>0</v>
      </c>
      <c r="BG15" s="38">
        <f t="shared" si="6"/>
        <v>0</v>
      </c>
      <c r="BH15" s="38">
        <f t="shared" si="6"/>
        <v>0</v>
      </c>
      <c r="BI15" s="38">
        <f t="shared" si="6"/>
        <v>0</v>
      </c>
      <c r="BJ15" s="38">
        <f t="shared" si="6"/>
        <v>0</v>
      </c>
      <c r="BK15" s="38">
        <f t="shared" si="6"/>
        <v>0</v>
      </c>
      <c r="BL15" s="38">
        <f t="shared" si="6"/>
        <v>0</v>
      </c>
      <c r="BM15" s="38">
        <f t="shared" si="6"/>
        <v>0</v>
      </c>
      <c r="BN15" s="38">
        <f t="shared" si="6"/>
        <v>0</v>
      </c>
      <c r="BO15" s="38">
        <f t="shared" si="6"/>
        <v>0</v>
      </c>
      <c r="BP15" s="38">
        <f t="shared" si="6"/>
        <v>0</v>
      </c>
      <c r="BQ15" s="38">
        <f t="shared" si="6"/>
        <v>0</v>
      </c>
      <c r="BR15" s="38">
        <f t="shared" si="6"/>
        <v>0</v>
      </c>
      <c r="BS15" s="38">
        <f t="shared" si="6"/>
        <v>0</v>
      </c>
      <c r="BT15" s="38">
        <f t="shared" si="6"/>
        <v>0</v>
      </c>
      <c r="BU15" s="38">
        <f t="shared" si="6"/>
        <v>0</v>
      </c>
      <c r="BV15" s="38">
        <f t="shared" si="6"/>
        <v>0</v>
      </c>
      <c r="BW15" s="38">
        <f t="shared" si="6"/>
        <v>0</v>
      </c>
      <c r="BX15" s="38">
        <f t="shared" si="6"/>
        <v>0</v>
      </c>
      <c r="BY15" s="38">
        <f t="shared" si="6"/>
        <v>0</v>
      </c>
      <c r="BZ15" s="38">
        <f t="shared" si="6"/>
        <v>0</v>
      </c>
      <c r="CA15" s="38">
        <f t="shared" si="6"/>
        <v>0</v>
      </c>
      <c r="CB15" s="38">
        <f t="shared" si="6"/>
        <v>0</v>
      </c>
      <c r="CC15" s="38">
        <f t="shared" si="6"/>
        <v>0</v>
      </c>
      <c r="CD15" s="38">
        <f t="shared" si="6"/>
        <v>0</v>
      </c>
      <c r="CE15" s="38">
        <f t="shared" si="6"/>
        <v>0</v>
      </c>
      <c r="CF15" s="38">
        <f t="shared" si="6"/>
        <v>0</v>
      </c>
      <c r="CG15" s="38">
        <f t="shared" si="6"/>
        <v>0</v>
      </c>
      <c r="CH15" s="38">
        <f t="shared" si="6"/>
        <v>0</v>
      </c>
      <c r="CI15" s="38">
        <f t="shared" si="6"/>
        <v>0</v>
      </c>
      <c r="CJ15" s="38">
        <f t="shared" si="6"/>
        <v>0</v>
      </c>
      <c r="CK15" s="38">
        <f t="shared" si="6"/>
        <v>0</v>
      </c>
      <c r="CL15" s="38">
        <f t="shared" si="6"/>
        <v>0</v>
      </c>
      <c r="CM15" s="38">
        <f t="shared" si="6"/>
        <v>0</v>
      </c>
      <c r="CN15" s="38">
        <f t="shared" si="6"/>
        <v>0</v>
      </c>
      <c r="CO15" s="38">
        <f t="shared" si="6"/>
        <v>0</v>
      </c>
      <c r="CP15" s="38">
        <f t="shared" si="6"/>
        <v>0</v>
      </c>
      <c r="CQ15" s="38">
        <f t="shared" si="6"/>
        <v>0</v>
      </c>
      <c r="CR15" s="38">
        <f t="shared" si="6"/>
        <v>0</v>
      </c>
      <c r="CS15" s="38">
        <f t="shared" si="6"/>
        <v>0</v>
      </c>
      <c r="CT15" s="38">
        <f t="shared" si="6"/>
        <v>0</v>
      </c>
      <c r="CU15" s="38">
        <f t="shared" si="6"/>
        <v>0</v>
      </c>
      <c r="CV15" s="38">
        <f t="shared" si="6"/>
        <v>0</v>
      </c>
      <c r="CW15" s="40"/>
    </row>
    <row r="16" spans="1:103" customFormat="1" ht="15" x14ac:dyDescent="0.25"/>
    <row r="17" spans="1:16" customFormat="1" ht="15" x14ac:dyDescent="0.25">
      <c r="A17" s="41" t="str">
        <f>E5</f>
        <v>SAVEMORE MACTAN</v>
      </c>
      <c r="B17" s="42"/>
      <c r="C17" s="43"/>
      <c r="D17" s="44"/>
      <c r="E17" s="44"/>
      <c r="F17" s="45"/>
      <c r="G17" s="46"/>
      <c r="H17" s="47"/>
      <c r="I17" s="48"/>
      <c r="J17" s="49"/>
      <c r="K17" s="50"/>
      <c r="L17" s="51"/>
      <c r="M17" s="52"/>
      <c r="N17" s="53"/>
      <c r="O17" s="54"/>
      <c r="P17" s="55"/>
    </row>
    <row r="18" spans="1:16" customFormat="1" ht="15" x14ac:dyDescent="0.25">
      <c r="A18" s="56"/>
      <c r="B18" s="57"/>
      <c r="C18" s="58"/>
      <c r="D18" s="59" t="s">
        <v>112</v>
      </c>
      <c r="E18" s="59" t="s">
        <v>113</v>
      </c>
      <c r="F18" s="60" t="s">
        <v>114</v>
      </c>
      <c r="G18" s="61"/>
      <c r="H18" s="62"/>
      <c r="I18" s="63"/>
      <c r="J18" s="64"/>
      <c r="K18" s="1"/>
      <c r="L18" s="65"/>
      <c r="M18" s="66"/>
      <c r="N18" s="67"/>
      <c r="O18" s="68"/>
      <c r="P18" s="69"/>
    </row>
    <row r="19" spans="1:16" customFormat="1" ht="13.5" customHeight="1" x14ac:dyDescent="0.25">
      <c r="A19" s="70" t="s">
        <v>151</v>
      </c>
      <c r="B19" s="71"/>
      <c r="C19" s="72"/>
      <c r="D19" s="73">
        <f>R15</f>
        <v>5217.4857142857136</v>
      </c>
      <c r="E19" s="74"/>
      <c r="F19" s="75" t="str">
        <f>"In payment for inventory food using housefund received on " &amp; TEXT(A5, "mmmm dd, yyyy") &amp; " with SI#34-00623701 PR#30533 RR#50210" &amp; " CPO#" &amp;B5</f>
        <v>In payment for inventory food using housefund received on August 13, 2025 with SI#34-00623701 PR#30533 RR#50210 CPO#18977</v>
      </c>
      <c r="G19" s="76"/>
      <c r="H19" s="77"/>
      <c r="I19" s="77"/>
      <c r="J19" s="76"/>
      <c r="K19" s="1"/>
      <c r="L19" s="65"/>
      <c r="M19" s="78"/>
      <c r="N19" s="79"/>
      <c r="O19" s="80"/>
      <c r="P19" s="81"/>
    </row>
    <row r="20" spans="1:16" customFormat="1" ht="15" x14ac:dyDescent="0.25">
      <c r="A20" s="70" t="s">
        <v>115</v>
      </c>
      <c r="B20" s="71"/>
      <c r="C20" s="72"/>
      <c r="D20" s="73">
        <f>Q15</f>
        <v>582.64285714285711</v>
      </c>
      <c r="E20" s="74"/>
      <c r="F20" s="64" t="str">
        <f>"Recording input VAT for expenses and purchases made using house fund for " &amp; TEXT(A5, "mmmm dd, yyyy")</f>
        <v>Recording input VAT for expenses and purchases made using house fund for August 13, 2025</v>
      </c>
      <c r="G20" s="82"/>
      <c r="H20" s="83"/>
      <c r="I20" s="84"/>
      <c r="J20" s="82"/>
      <c r="K20" s="1"/>
      <c r="L20" s="65"/>
      <c r="M20" s="66"/>
      <c r="N20" s="67"/>
      <c r="O20" s="68"/>
      <c r="P20" s="69"/>
    </row>
    <row r="21" spans="1:16" customFormat="1" ht="15" x14ac:dyDescent="0.25">
      <c r="A21" s="85" t="s">
        <v>116</v>
      </c>
      <c r="B21" s="86"/>
      <c r="C21" s="87"/>
      <c r="D21" s="88"/>
      <c r="E21" s="74">
        <f>P15</f>
        <v>51.328571428571429</v>
      </c>
      <c r="F21" s="89" t="str">
        <f>"Recording the tax withheld for expenses and purchases using the house fund received on " &amp; TEXT(A5, "mmmm dd, yyyy")</f>
        <v>Recording the tax withheld for expenses and purchases using the house fund received on August 13, 2025</v>
      </c>
      <c r="G21" s="82"/>
      <c r="H21" s="83"/>
      <c r="I21" s="84"/>
      <c r="J21" s="82"/>
      <c r="K21" s="1"/>
      <c r="L21" s="65"/>
      <c r="M21" s="66"/>
      <c r="N21" s="67"/>
      <c r="O21" s="68"/>
      <c r="P21" s="69"/>
    </row>
    <row r="22" spans="1:16" customFormat="1" ht="15" x14ac:dyDescent="0.25">
      <c r="A22" s="70" t="s">
        <v>117</v>
      </c>
      <c r="B22" s="86"/>
      <c r="C22" s="87"/>
      <c r="D22" s="90"/>
      <c r="E22" s="91">
        <f>M15</f>
        <v>5748.8</v>
      </c>
      <c r="F22" s="89" t="str">
        <f>"Recording house fund expenses for replenishment on " &amp; TEXT(A5, "mmmm dd, yyyy")</f>
        <v>Recording house fund expenses for replenishment on August 13, 2025</v>
      </c>
      <c r="G22" s="82"/>
      <c r="H22" s="83"/>
      <c r="I22" s="84"/>
      <c r="J22" s="82"/>
      <c r="K22" s="1"/>
      <c r="L22" s="65"/>
      <c r="M22" s="66"/>
      <c r="N22" s="67"/>
      <c r="O22" s="68"/>
      <c r="P22" s="69"/>
    </row>
    <row r="23" spans="1:16" customFormat="1" ht="15" x14ac:dyDescent="0.25">
      <c r="A23" s="85"/>
      <c r="B23" s="86"/>
      <c r="C23" s="87"/>
      <c r="D23" s="88">
        <f>SUM(D19:D20)</f>
        <v>5800.1285714285705</v>
      </c>
      <c r="E23" s="88">
        <f>SUM(E19:E22)</f>
        <v>5800.1285714285714</v>
      </c>
      <c r="F23" s="92"/>
      <c r="G23" s="92"/>
      <c r="H23" s="93"/>
      <c r="I23" s="94"/>
      <c r="J23" s="92"/>
      <c r="K23" s="1"/>
      <c r="L23" s="65"/>
      <c r="M23" s="66"/>
      <c r="N23" s="67"/>
      <c r="O23" s="68"/>
      <c r="P23" s="69"/>
    </row>
    <row r="24" spans="1:16" customFormat="1" ht="15" x14ac:dyDescent="0.25">
      <c r="A24" s="95" t="s">
        <v>118</v>
      </c>
      <c r="B24" s="96" t="str">
        <f>"To record house fund expenses on " &amp; TEXT(A5, "mmmm dd, yyyy") &amp; " with PCV#" &amp; C5</f>
        <v>To record house fund expenses on August 13, 2025 with PCV#20913</v>
      </c>
      <c r="C24" s="97"/>
      <c r="D24" s="98"/>
      <c r="E24" s="98"/>
      <c r="F24" s="98"/>
      <c r="G24" s="92"/>
      <c r="H24" s="93"/>
      <c r="I24" s="94"/>
      <c r="J24" s="92"/>
      <c r="K24" s="1"/>
      <c r="L24" s="65"/>
      <c r="M24" s="66"/>
      <c r="N24" s="67"/>
      <c r="O24" s="68"/>
      <c r="P24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3A302-03C5-4039-8E5F-5773665C00C3}">
  <sheetPr>
    <tabColor rgb="FFFF0066"/>
  </sheetPr>
  <dimension ref="A1:CY16"/>
  <sheetViews>
    <sheetView workbookViewId="0">
      <selection activeCell="A5" sqref="A5:XFD7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45882</v>
      </c>
      <c r="B5" s="3" t="s">
        <v>414</v>
      </c>
      <c r="C5" s="4" t="s">
        <v>548</v>
      </c>
      <c r="D5" s="5" t="s">
        <v>122</v>
      </c>
      <c r="E5" s="6" t="s">
        <v>436</v>
      </c>
      <c r="F5" s="7"/>
      <c r="G5" s="8"/>
      <c r="H5" s="9"/>
      <c r="I5" s="10"/>
      <c r="J5" s="11" t="s">
        <v>437</v>
      </c>
      <c r="K5" s="12">
        <v>1</v>
      </c>
      <c r="L5" s="13">
        <v>140</v>
      </c>
      <c r="M5" s="14">
        <f t="shared" ref="M5" si="0">L5*K5</f>
        <v>140</v>
      </c>
      <c r="N5" s="15"/>
      <c r="O5" s="16" t="s">
        <v>137</v>
      </c>
      <c r="P5" s="17"/>
      <c r="Q5" s="18"/>
      <c r="R5" s="17">
        <f>M5+P5-Q5</f>
        <v>140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437</v>
      </c>
      <c r="K6" s="12">
        <v>6</v>
      </c>
      <c r="L6" s="13">
        <v>11.6666666666666</v>
      </c>
      <c r="M6" s="14">
        <f>L6*K6</f>
        <v>69.999999999999602</v>
      </c>
      <c r="N6" s="15"/>
      <c r="O6" s="16" t="s">
        <v>137</v>
      </c>
      <c r="P6" s="17"/>
      <c r="Q6" s="18"/>
      <c r="R6" s="17">
        <f t="shared" ref="R6" si="1">M6+P6-Q6</f>
        <v>69.999999999999602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30" customFormat="1" ht="11.25" x14ac:dyDescent="0.2">
      <c r="A7" s="27"/>
      <c r="B7" s="28"/>
      <c r="C7" s="29"/>
      <c r="E7" s="31"/>
      <c r="F7" s="32"/>
      <c r="G7" s="33"/>
      <c r="H7" s="34"/>
      <c r="I7" s="34"/>
      <c r="J7" s="35"/>
      <c r="K7" s="36"/>
      <c r="L7" s="37"/>
      <c r="M7" s="38">
        <f>SUM(M5:M6)</f>
        <v>209.9999999999996</v>
      </c>
      <c r="N7" s="38">
        <f>M7</f>
        <v>209.9999999999996</v>
      </c>
      <c r="O7" s="39" t="s">
        <v>137</v>
      </c>
      <c r="P7" s="38">
        <f>SUM(P5:P6)</f>
        <v>0</v>
      </c>
      <c r="Q7" s="38">
        <f>SUM(Q5:Q6)</f>
        <v>0</v>
      </c>
      <c r="R7" s="38">
        <f>SUM(R5:R6)</f>
        <v>209.9999999999996</v>
      </c>
      <c r="S7" s="38">
        <f t="shared" ref="S7:AD7" si="2">SUM(S5:S5)</f>
        <v>0</v>
      </c>
      <c r="T7" s="38">
        <f t="shared" si="2"/>
        <v>0</v>
      </c>
      <c r="U7" s="38">
        <f t="shared" si="2"/>
        <v>0</v>
      </c>
      <c r="V7" s="38">
        <f t="shared" si="2"/>
        <v>0</v>
      </c>
      <c r="W7" s="38">
        <f t="shared" si="2"/>
        <v>0</v>
      </c>
      <c r="X7" s="38">
        <f t="shared" si="2"/>
        <v>0</v>
      </c>
      <c r="Y7" s="38">
        <f t="shared" si="2"/>
        <v>0</v>
      </c>
      <c r="Z7" s="38">
        <f t="shared" si="2"/>
        <v>0</v>
      </c>
      <c r="AA7" s="38">
        <f t="shared" si="2"/>
        <v>0</v>
      </c>
      <c r="AB7" s="38">
        <f t="shared" si="2"/>
        <v>0</v>
      </c>
      <c r="AC7" s="38">
        <f t="shared" si="2"/>
        <v>0</v>
      </c>
      <c r="AD7" s="38">
        <f t="shared" si="2"/>
        <v>0</v>
      </c>
      <c r="AF7" s="38">
        <f>SUM(AF5:AF5)</f>
        <v>0</v>
      </c>
      <c r="AH7" s="38">
        <f t="shared" ref="AH7:AZ7" si="3">SUM(AH5:AH5)</f>
        <v>0</v>
      </c>
      <c r="AI7" s="38">
        <f t="shared" si="3"/>
        <v>0</v>
      </c>
      <c r="AJ7" s="38">
        <f t="shared" si="3"/>
        <v>0</v>
      </c>
      <c r="AK7" s="38">
        <f t="shared" si="3"/>
        <v>0</v>
      </c>
      <c r="AL7" s="38">
        <f t="shared" si="3"/>
        <v>0</v>
      </c>
      <c r="AM7" s="38">
        <f t="shared" si="3"/>
        <v>0</v>
      </c>
      <c r="AN7" s="38">
        <f t="shared" si="3"/>
        <v>0</v>
      </c>
      <c r="AO7" s="38">
        <f t="shared" si="3"/>
        <v>0</v>
      </c>
      <c r="AP7" s="38">
        <f t="shared" si="3"/>
        <v>0</v>
      </c>
      <c r="AQ7" s="38">
        <f t="shared" si="3"/>
        <v>0</v>
      </c>
      <c r="AR7" s="38">
        <f t="shared" si="3"/>
        <v>0</v>
      </c>
      <c r="AS7" s="38">
        <f t="shared" si="3"/>
        <v>0</v>
      </c>
      <c r="AT7" s="38">
        <f t="shared" si="3"/>
        <v>0</v>
      </c>
      <c r="AU7" s="38">
        <f t="shared" si="3"/>
        <v>0</v>
      </c>
      <c r="AV7" s="38">
        <f t="shared" si="3"/>
        <v>0</v>
      </c>
      <c r="AW7" s="38">
        <f t="shared" si="3"/>
        <v>0</v>
      </c>
      <c r="AX7" s="38">
        <f t="shared" si="3"/>
        <v>0</v>
      </c>
      <c r="AY7" s="38">
        <f t="shared" si="3"/>
        <v>0</v>
      </c>
      <c r="AZ7" s="38">
        <f t="shared" si="3"/>
        <v>0</v>
      </c>
      <c r="BB7" s="38">
        <f t="shared" ref="BB7:CV7" si="4">SUM(BB5:BB5)</f>
        <v>0</v>
      </c>
      <c r="BC7" s="38">
        <f t="shared" si="4"/>
        <v>0</v>
      </c>
      <c r="BD7" s="38">
        <f t="shared" si="4"/>
        <v>0</v>
      </c>
      <c r="BE7" s="38">
        <f t="shared" si="4"/>
        <v>0</v>
      </c>
      <c r="BF7" s="38">
        <f t="shared" si="4"/>
        <v>0</v>
      </c>
      <c r="BG7" s="38">
        <f t="shared" si="4"/>
        <v>0</v>
      </c>
      <c r="BH7" s="38">
        <f t="shared" si="4"/>
        <v>0</v>
      </c>
      <c r="BI7" s="38">
        <f t="shared" si="4"/>
        <v>0</v>
      </c>
      <c r="BJ7" s="38">
        <f t="shared" si="4"/>
        <v>0</v>
      </c>
      <c r="BK7" s="38">
        <f t="shared" si="4"/>
        <v>0</v>
      </c>
      <c r="BL7" s="38">
        <f t="shared" si="4"/>
        <v>0</v>
      </c>
      <c r="BM7" s="38">
        <f t="shared" si="4"/>
        <v>0</v>
      </c>
      <c r="BN7" s="38">
        <f t="shared" si="4"/>
        <v>0</v>
      </c>
      <c r="BO7" s="38">
        <f t="shared" si="4"/>
        <v>0</v>
      </c>
      <c r="BP7" s="38">
        <f t="shared" si="4"/>
        <v>0</v>
      </c>
      <c r="BQ7" s="38">
        <f t="shared" si="4"/>
        <v>0</v>
      </c>
      <c r="BR7" s="38">
        <f t="shared" si="4"/>
        <v>0</v>
      </c>
      <c r="BS7" s="38">
        <f t="shared" si="4"/>
        <v>0</v>
      </c>
      <c r="BT7" s="38">
        <f t="shared" si="4"/>
        <v>0</v>
      </c>
      <c r="BU7" s="38">
        <f t="shared" si="4"/>
        <v>0</v>
      </c>
      <c r="BV7" s="38">
        <f t="shared" si="4"/>
        <v>0</v>
      </c>
      <c r="BW7" s="38">
        <f t="shared" si="4"/>
        <v>0</v>
      </c>
      <c r="BX7" s="38">
        <f t="shared" si="4"/>
        <v>0</v>
      </c>
      <c r="BY7" s="38">
        <f t="shared" si="4"/>
        <v>0</v>
      </c>
      <c r="BZ7" s="38">
        <f t="shared" si="4"/>
        <v>0</v>
      </c>
      <c r="CA7" s="38">
        <f t="shared" si="4"/>
        <v>0</v>
      </c>
      <c r="CB7" s="38">
        <f t="shared" si="4"/>
        <v>0</v>
      </c>
      <c r="CC7" s="38">
        <f t="shared" si="4"/>
        <v>0</v>
      </c>
      <c r="CD7" s="38">
        <f t="shared" si="4"/>
        <v>0</v>
      </c>
      <c r="CE7" s="38">
        <f t="shared" si="4"/>
        <v>0</v>
      </c>
      <c r="CF7" s="38">
        <f t="shared" si="4"/>
        <v>0</v>
      </c>
      <c r="CG7" s="38">
        <f t="shared" si="4"/>
        <v>0</v>
      </c>
      <c r="CH7" s="38">
        <f t="shared" si="4"/>
        <v>0</v>
      </c>
      <c r="CI7" s="38">
        <f t="shared" si="4"/>
        <v>0</v>
      </c>
      <c r="CJ7" s="38">
        <f t="shared" si="4"/>
        <v>0</v>
      </c>
      <c r="CK7" s="38">
        <f t="shared" si="4"/>
        <v>0</v>
      </c>
      <c r="CL7" s="38">
        <f t="shared" si="4"/>
        <v>0</v>
      </c>
      <c r="CM7" s="38">
        <f t="shared" si="4"/>
        <v>0</v>
      </c>
      <c r="CN7" s="38">
        <f t="shared" si="4"/>
        <v>0</v>
      </c>
      <c r="CO7" s="38">
        <f t="shared" si="4"/>
        <v>0</v>
      </c>
      <c r="CP7" s="38">
        <f t="shared" si="4"/>
        <v>0</v>
      </c>
      <c r="CQ7" s="38">
        <f t="shared" si="4"/>
        <v>0</v>
      </c>
      <c r="CR7" s="38">
        <f t="shared" si="4"/>
        <v>0</v>
      </c>
      <c r="CS7" s="38">
        <f t="shared" si="4"/>
        <v>0</v>
      </c>
      <c r="CT7" s="38">
        <f t="shared" si="4"/>
        <v>0</v>
      </c>
      <c r="CU7" s="38">
        <f t="shared" si="4"/>
        <v>0</v>
      </c>
      <c r="CV7" s="38">
        <f t="shared" si="4"/>
        <v>0</v>
      </c>
      <c r="CW7" s="40"/>
    </row>
    <row r="8" spans="1:103" customFormat="1" ht="15" x14ac:dyDescent="0.25"/>
    <row r="9" spans="1:103" customFormat="1" ht="15" x14ac:dyDescent="0.25">
      <c r="A9" s="41" t="str">
        <f>E5</f>
        <v>SARI-SARI STORE</v>
      </c>
      <c r="B9" s="42"/>
      <c r="C9" s="43"/>
      <c r="D9" s="44"/>
      <c r="E9" s="44"/>
      <c r="F9" s="45"/>
      <c r="G9" s="46"/>
      <c r="H9" s="47"/>
      <c r="I9" s="48"/>
      <c r="J9" s="49"/>
      <c r="K9" s="50"/>
      <c r="L9" s="51"/>
      <c r="M9" s="52"/>
      <c r="N9" s="53"/>
      <c r="O9" s="54"/>
      <c r="P9" s="55"/>
    </row>
    <row r="10" spans="1:103" customFormat="1" ht="15" x14ac:dyDescent="0.25">
      <c r="A10" s="56"/>
      <c r="B10" s="57"/>
      <c r="C10" s="58"/>
      <c r="D10" s="59" t="s">
        <v>112</v>
      </c>
      <c r="E10" s="59" t="s">
        <v>113</v>
      </c>
      <c r="F10" s="60" t="s">
        <v>114</v>
      </c>
      <c r="G10" s="61"/>
      <c r="H10" s="62"/>
      <c r="I10" s="63"/>
      <c r="J10" s="64"/>
      <c r="K10" s="1"/>
      <c r="L10" s="65"/>
      <c r="M10" s="66"/>
      <c r="N10" s="67"/>
      <c r="O10" s="68"/>
      <c r="P10" s="69"/>
    </row>
    <row r="11" spans="1:103" customFormat="1" ht="13.5" customHeight="1" x14ac:dyDescent="0.25">
      <c r="A11" s="70" t="s">
        <v>151</v>
      </c>
      <c r="B11" s="71"/>
      <c r="C11" s="72"/>
      <c r="D11" s="73">
        <f>R7</f>
        <v>209.9999999999996</v>
      </c>
      <c r="E11" s="74"/>
      <c r="F11" s="75" t="str">
        <f>"In payment for 1 pack of sprite sakto and 6 pcs of sprite sakto using housefund received on " &amp; TEXT(A5, "mmmm dd, yyyy") &amp; " with RR#50211" &amp; " CPO#" &amp;B5</f>
        <v>In payment for 1 pack of sprite sakto and 6 pcs of sprite sakto using housefund received on August 13, 2025 with RR#50211 CPO#18977</v>
      </c>
      <c r="G11" s="76"/>
      <c r="H11" s="77"/>
      <c r="I11" s="77"/>
      <c r="J11" s="76"/>
      <c r="K11" s="1"/>
      <c r="L11" s="65"/>
      <c r="M11" s="78"/>
      <c r="N11" s="79"/>
      <c r="O11" s="80"/>
      <c r="P11" s="81"/>
    </row>
    <row r="12" spans="1:103" customFormat="1" ht="15" x14ac:dyDescent="0.25">
      <c r="A12" s="70" t="s">
        <v>115</v>
      </c>
      <c r="B12" s="71"/>
      <c r="C12" s="72"/>
      <c r="D12" s="73">
        <f>Q7</f>
        <v>0</v>
      </c>
      <c r="E12" s="74"/>
      <c r="F12" s="64" t="str">
        <f>"Recording input VAT for expenses and purchases made using house fund for " &amp; TEXT(A5, "mmmm dd, yyyy")</f>
        <v>Recording input VAT for expenses and purchases made using house fund for August 13,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85" t="s">
        <v>116</v>
      </c>
      <c r="B13" s="86"/>
      <c r="C13" s="87"/>
      <c r="D13" s="88"/>
      <c r="E13" s="74">
        <f>P7</f>
        <v>0</v>
      </c>
      <c r="F13" s="89" t="str">
        <f>"Recording the tax withheld for expenses and purchases using the house fund received on " &amp; TEXT(A5, "mmmm dd, yyyy")</f>
        <v>Recording the tax withheld for expenses and purchases using the house fund received on August 13,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70" t="s">
        <v>117</v>
      </c>
      <c r="B14" s="86"/>
      <c r="C14" s="87"/>
      <c r="D14" s="90"/>
      <c r="E14" s="91">
        <f>M7</f>
        <v>209.9999999999996</v>
      </c>
      <c r="F14" s="89" t="str">
        <f>"Recording house fund expenses for replenishment on " &amp; TEXT(A5, "mmmm dd, yyyy")</f>
        <v>Recording house fund expenses for replenishment on August 13,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85"/>
      <c r="B15" s="86"/>
      <c r="C15" s="87"/>
      <c r="D15" s="88">
        <f>SUM(D11:D12)</f>
        <v>209.9999999999996</v>
      </c>
      <c r="E15" s="88">
        <f>SUM(E11:E14)</f>
        <v>209.9999999999996</v>
      </c>
      <c r="F15" s="92"/>
      <c r="G15" s="92"/>
      <c r="H15" s="93"/>
      <c r="I15" s="94"/>
      <c r="J15" s="92"/>
      <c r="K15" s="1"/>
      <c r="L15" s="65"/>
      <c r="M15" s="66"/>
      <c r="N15" s="67"/>
      <c r="O15" s="68"/>
      <c r="P15" s="69"/>
    </row>
    <row r="16" spans="1:103" customFormat="1" ht="15" x14ac:dyDescent="0.25">
      <c r="A16" s="95" t="s">
        <v>118</v>
      </c>
      <c r="B16" s="96" t="str">
        <f>"To record house fund expenses on " &amp; TEXT(A5, "mmmm dd, yyyy") &amp; " with PCV#" &amp; C5</f>
        <v>To record house fund expenses on August 13, 2025 with PCV#20914</v>
      </c>
      <c r="C16" s="97"/>
      <c r="D16" s="98"/>
      <c r="E16" s="98"/>
      <c r="F16" s="98"/>
      <c r="G16" s="92"/>
      <c r="H16" s="93"/>
      <c r="I16" s="94"/>
      <c r="J16" s="92"/>
      <c r="K16" s="1"/>
      <c r="L16" s="65"/>
      <c r="M16" s="66"/>
      <c r="N16" s="67"/>
      <c r="O16" s="68"/>
      <c r="P16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09649-B96B-4E15-8B16-BD779273CC44}">
  <sheetPr>
    <tabColor rgb="FFFF0066"/>
  </sheetPr>
  <dimension ref="A1:CY18"/>
  <sheetViews>
    <sheetView workbookViewId="0">
      <selection activeCell="A5" sqref="A5:XFD9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45882</v>
      </c>
      <c r="B5" s="3" t="s">
        <v>438</v>
      </c>
      <c r="C5" s="4" t="s">
        <v>549</v>
      </c>
      <c r="D5" s="5" t="s">
        <v>133</v>
      </c>
      <c r="E5" s="6" t="s">
        <v>439</v>
      </c>
      <c r="F5" s="7" t="s">
        <v>229</v>
      </c>
      <c r="G5" s="8" t="s">
        <v>440</v>
      </c>
      <c r="H5" s="9">
        <v>140737</v>
      </c>
      <c r="I5" s="10" t="s">
        <v>441</v>
      </c>
      <c r="J5" s="11" t="s">
        <v>442</v>
      </c>
      <c r="K5" s="12">
        <v>8</v>
      </c>
      <c r="L5" s="13">
        <v>43</v>
      </c>
      <c r="M5" s="14">
        <f t="shared" ref="M5:M8" si="0">L5*K5</f>
        <v>344</v>
      </c>
      <c r="N5" s="15"/>
      <c r="O5" s="16" t="s">
        <v>111</v>
      </c>
      <c r="P5" s="17">
        <f>M5/1.12*0.01</f>
        <v>3.0714285714285712</v>
      </c>
      <c r="Q5" s="18">
        <f>M5/1.12*0.12</f>
        <v>36.857142857142854</v>
      </c>
      <c r="S5" s="19"/>
      <c r="T5" s="19"/>
      <c r="U5" s="19"/>
      <c r="V5" s="19"/>
      <c r="W5" s="17">
        <f>M5+P5-Q5</f>
        <v>310.21428571428572</v>
      </c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443</v>
      </c>
      <c r="K6" s="12">
        <v>1</v>
      </c>
      <c r="L6" s="13">
        <v>363</v>
      </c>
      <c r="M6" s="14">
        <f t="shared" si="0"/>
        <v>363</v>
      </c>
      <c r="N6" s="15"/>
      <c r="O6" s="16" t="s">
        <v>111</v>
      </c>
      <c r="P6" s="17">
        <f t="shared" ref="P6:P8" si="1">M6/1.12*0.01</f>
        <v>3.2410714285714284</v>
      </c>
      <c r="Q6" s="18">
        <f t="shared" ref="Q6:Q8" si="2">M6/1.12*0.12</f>
        <v>38.892857142857139</v>
      </c>
      <c r="S6" s="19"/>
      <c r="T6" s="19"/>
      <c r="U6" s="19"/>
      <c r="V6" s="19"/>
      <c r="W6" s="17">
        <f>M6+P6-Q6</f>
        <v>327.34821428571433</v>
      </c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5" customFormat="1" x14ac:dyDescent="0.2">
      <c r="A7" s="2"/>
      <c r="B7" s="3"/>
      <c r="C7" s="4"/>
      <c r="E7" s="6"/>
      <c r="F7" s="7"/>
      <c r="G7" s="8"/>
      <c r="H7" s="9"/>
      <c r="I7" s="10"/>
      <c r="J7" s="11" t="s">
        <v>444</v>
      </c>
      <c r="K7" s="12">
        <v>8</v>
      </c>
      <c r="L7" s="13">
        <v>104</v>
      </c>
      <c r="M7" s="14">
        <f t="shared" si="0"/>
        <v>832</v>
      </c>
      <c r="N7" s="15"/>
      <c r="O7" s="16" t="s">
        <v>111</v>
      </c>
      <c r="P7" s="17">
        <f t="shared" si="1"/>
        <v>7.4285714285714279</v>
      </c>
      <c r="Q7" s="18">
        <f t="shared" si="2"/>
        <v>89.142857142857125</v>
      </c>
      <c r="S7" s="19"/>
      <c r="T7" s="19"/>
      <c r="U7" s="19"/>
      <c r="V7" s="19"/>
      <c r="W7" s="17">
        <f>M7+P7-Q7</f>
        <v>750.28571428571433</v>
      </c>
      <c r="X7" s="20"/>
      <c r="Y7" s="19"/>
      <c r="Z7" s="19"/>
      <c r="AA7" s="19"/>
      <c r="AB7" s="19"/>
      <c r="AC7" s="19"/>
      <c r="AD7" s="19"/>
      <c r="AF7" s="19"/>
      <c r="AH7" s="17"/>
      <c r="AI7" s="19"/>
      <c r="AJ7" s="19"/>
      <c r="AK7" s="19"/>
      <c r="AL7" s="19"/>
      <c r="AM7" s="17"/>
      <c r="AN7" s="19"/>
      <c r="AO7" s="19"/>
      <c r="AP7" s="19"/>
      <c r="AQ7" s="19"/>
      <c r="AR7" s="19"/>
      <c r="AS7" s="21"/>
      <c r="AU7" s="19"/>
      <c r="AW7" s="22"/>
      <c r="AX7" s="19"/>
      <c r="AZ7" s="19"/>
      <c r="BC7" s="19"/>
      <c r="BD7" s="19"/>
      <c r="BE7" s="19"/>
      <c r="BF7" s="19"/>
      <c r="BG7" s="19"/>
      <c r="BH7" s="19"/>
      <c r="BI7" s="19"/>
      <c r="BJ7" s="19"/>
      <c r="BK7" s="13"/>
      <c r="BN7" s="19"/>
      <c r="BO7" s="17"/>
      <c r="BP7" s="19"/>
      <c r="BQ7" s="17"/>
      <c r="BR7" s="19"/>
      <c r="BS7" s="13"/>
      <c r="BU7" s="23"/>
      <c r="BV7" s="23"/>
      <c r="BW7" s="24"/>
      <c r="CA7" s="24"/>
      <c r="CB7" s="24"/>
      <c r="CC7" s="24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25"/>
      <c r="CW7" s="26"/>
    </row>
    <row r="8" spans="1:103" s="5" customFormat="1" x14ac:dyDescent="0.2">
      <c r="A8" s="2"/>
      <c r="B8" s="3"/>
      <c r="C8" s="4"/>
      <c r="E8" s="6"/>
      <c r="F8" s="7"/>
      <c r="G8" s="8"/>
      <c r="H8" s="9"/>
      <c r="I8" s="10"/>
      <c r="J8" s="11" t="s">
        <v>445</v>
      </c>
      <c r="K8" s="12">
        <v>2</v>
      </c>
      <c r="L8" s="13">
        <v>392</v>
      </c>
      <c r="M8" s="14">
        <f t="shared" si="0"/>
        <v>784</v>
      </c>
      <c r="N8" s="15"/>
      <c r="O8" s="16" t="s">
        <v>111</v>
      </c>
      <c r="P8" s="17">
        <f t="shared" si="1"/>
        <v>6.9999999999999991</v>
      </c>
      <c r="Q8" s="18">
        <f t="shared" si="2"/>
        <v>83.999999999999986</v>
      </c>
      <c r="S8" s="19"/>
      <c r="T8" s="19"/>
      <c r="U8" s="19"/>
      <c r="V8" s="19"/>
      <c r="W8" s="17">
        <f>M8+P8-Q8</f>
        <v>707</v>
      </c>
      <c r="X8" s="20"/>
      <c r="Y8" s="19"/>
      <c r="Z8" s="19"/>
      <c r="AA8" s="19"/>
      <c r="AB8" s="19"/>
      <c r="AC8" s="19"/>
      <c r="AD8" s="19"/>
      <c r="AF8" s="19"/>
      <c r="AH8" s="17"/>
      <c r="AI8" s="19"/>
      <c r="AJ8" s="19"/>
      <c r="AK8" s="19"/>
      <c r="AL8" s="19"/>
      <c r="AM8" s="17"/>
      <c r="AN8" s="19"/>
      <c r="AO8" s="19"/>
      <c r="AP8" s="19"/>
      <c r="AQ8" s="19"/>
      <c r="AR8" s="19"/>
      <c r="AS8" s="21"/>
      <c r="AU8" s="19"/>
      <c r="AW8" s="22"/>
      <c r="AX8" s="19"/>
      <c r="AZ8" s="19"/>
      <c r="BC8" s="19"/>
      <c r="BD8" s="19"/>
      <c r="BE8" s="19"/>
      <c r="BF8" s="19"/>
      <c r="BG8" s="19"/>
      <c r="BH8" s="19"/>
      <c r="BI8" s="19"/>
      <c r="BJ8" s="19"/>
      <c r="BK8" s="13"/>
      <c r="BN8" s="19"/>
      <c r="BO8" s="17"/>
      <c r="BP8" s="19"/>
      <c r="BQ8" s="17"/>
      <c r="BR8" s="19"/>
      <c r="BS8" s="13"/>
      <c r="BU8" s="23"/>
      <c r="BV8" s="23"/>
      <c r="BW8" s="24"/>
      <c r="CA8" s="24"/>
      <c r="CB8" s="24"/>
      <c r="CC8" s="24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25"/>
      <c r="CW8" s="26"/>
    </row>
    <row r="9" spans="1:103" s="30" customFormat="1" ht="11.25" x14ac:dyDescent="0.2">
      <c r="A9" s="27"/>
      <c r="B9" s="28"/>
      <c r="C9" s="29"/>
      <c r="E9" s="31"/>
      <c r="F9" s="32"/>
      <c r="G9" s="33"/>
      <c r="H9" s="34"/>
      <c r="I9" s="34"/>
      <c r="J9" s="35"/>
      <c r="K9" s="36"/>
      <c r="L9" s="37"/>
      <c r="M9" s="38">
        <f>SUM(M5:M8)</f>
        <v>2323</v>
      </c>
      <c r="N9" s="38">
        <f>M9</f>
        <v>2323</v>
      </c>
      <c r="O9" s="39" t="s">
        <v>111</v>
      </c>
      <c r="P9" s="38">
        <f>SUM(P5:P8)</f>
        <v>20.741071428571427</v>
      </c>
      <c r="Q9" s="38">
        <f>SUM(Q5:Q8)</f>
        <v>248.89285714285711</v>
      </c>
      <c r="S9" s="38">
        <f t="shared" ref="S9:AD9" si="3">SUM(S5:S5)</f>
        <v>0</v>
      </c>
      <c r="T9" s="38">
        <f t="shared" si="3"/>
        <v>0</v>
      </c>
      <c r="U9" s="38">
        <f t="shared" si="3"/>
        <v>0</v>
      </c>
      <c r="V9" s="38">
        <f t="shared" si="3"/>
        <v>0</v>
      </c>
      <c r="W9" s="38">
        <f>SUM(W5:W8)</f>
        <v>2094.8482142857142</v>
      </c>
      <c r="X9" s="38">
        <f t="shared" si="3"/>
        <v>0</v>
      </c>
      <c r="Y9" s="38">
        <f t="shared" si="3"/>
        <v>0</v>
      </c>
      <c r="Z9" s="38">
        <f t="shared" si="3"/>
        <v>0</v>
      </c>
      <c r="AA9" s="38">
        <f t="shared" si="3"/>
        <v>0</v>
      </c>
      <c r="AB9" s="38">
        <f t="shared" si="3"/>
        <v>0</v>
      </c>
      <c r="AC9" s="38">
        <f t="shared" si="3"/>
        <v>0</v>
      </c>
      <c r="AD9" s="38">
        <f t="shared" si="3"/>
        <v>0</v>
      </c>
      <c r="AF9" s="38">
        <f>SUM(AF5:AF5)</f>
        <v>0</v>
      </c>
      <c r="AH9" s="38">
        <f t="shared" ref="AH9:AZ9" si="4">SUM(AH5:AH5)</f>
        <v>0</v>
      </c>
      <c r="AI9" s="38">
        <f t="shared" si="4"/>
        <v>0</v>
      </c>
      <c r="AJ9" s="38">
        <f t="shared" si="4"/>
        <v>0</v>
      </c>
      <c r="AK9" s="38">
        <f t="shared" si="4"/>
        <v>0</v>
      </c>
      <c r="AL9" s="38">
        <f t="shared" si="4"/>
        <v>0</v>
      </c>
      <c r="AM9" s="38">
        <f t="shared" si="4"/>
        <v>0</v>
      </c>
      <c r="AN9" s="38">
        <f t="shared" si="4"/>
        <v>0</v>
      </c>
      <c r="AO9" s="38">
        <f t="shared" si="4"/>
        <v>0</v>
      </c>
      <c r="AP9" s="38">
        <f t="shared" si="4"/>
        <v>0</v>
      </c>
      <c r="AQ9" s="38">
        <f t="shared" si="4"/>
        <v>0</v>
      </c>
      <c r="AR9" s="38">
        <f t="shared" si="4"/>
        <v>0</v>
      </c>
      <c r="AS9" s="38">
        <f t="shared" si="4"/>
        <v>0</v>
      </c>
      <c r="AT9" s="38">
        <f t="shared" si="4"/>
        <v>0</v>
      </c>
      <c r="AU9" s="38">
        <f t="shared" si="4"/>
        <v>0</v>
      </c>
      <c r="AV9" s="38">
        <f t="shared" si="4"/>
        <v>0</v>
      </c>
      <c r="AW9" s="38">
        <f t="shared" si="4"/>
        <v>0</v>
      </c>
      <c r="AX9" s="38">
        <f t="shared" si="4"/>
        <v>0</v>
      </c>
      <c r="AY9" s="38">
        <f t="shared" si="4"/>
        <v>0</v>
      </c>
      <c r="AZ9" s="38">
        <f t="shared" si="4"/>
        <v>0</v>
      </c>
      <c r="BB9" s="38">
        <f t="shared" ref="BB9:CV9" si="5">SUM(BB5:BB5)</f>
        <v>0</v>
      </c>
      <c r="BC9" s="38">
        <f t="shared" si="5"/>
        <v>0</v>
      </c>
      <c r="BD9" s="38">
        <f t="shared" si="5"/>
        <v>0</v>
      </c>
      <c r="BE9" s="38">
        <f t="shared" si="5"/>
        <v>0</v>
      </c>
      <c r="BF9" s="38">
        <f t="shared" si="5"/>
        <v>0</v>
      </c>
      <c r="BG9" s="38">
        <f t="shared" si="5"/>
        <v>0</v>
      </c>
      <c r="BH9" s="38">
        <f t="shared" si="5"/>
        <v>0</v>
      </c>
      <c r="BI9" s="38">
        <f t="shared" si="5"/>
        <v>0</v>
      </c>
      <c r="BJ9" s="38">
        <f t="shared" si="5"/>
        <v>0</v>
      </c>
      <c r="BK9" s="38">
        <f t="shared" si="5"/>
        <v>0</v>
      </c>
      <c r="BL9" s="38">
        <f t="shared" si="5"/>
        <v>0</v>
      </c>
      <c r="BM9" s="38">
        <f t="shared" si="5"/>
        <v>0</v>
      </c>
      <c r="BN9" s="38">
        <f t="shared" si="5"/>
        <v>0</v>
      </c>
      <c r="BO9" s="38">
        <f t="shared" si="5"/>
        <v>0</v>
      </c>
      <c r="BP9" s="38">
        <f t="shared" si="5"/>
        <v>0</v>
      </c>
      <c r="BQ9" s="38">
        <f t="shared" si="5"/>
        <v>0</v>
      </c>
      <c r="BR9" s="38">
        <f t="shared" si="5"/>
        <v>0</v>
      </c>
      <c r="BS9" s="38">
        <f t="shared" si="5"/>
        <v>0</v>
      </c>
      <c r="BT9" s="38">
        <f t="shared" si="5"/>
        <v>0</v>
      </c>
      <c r="BU9" s="38">
        <f t="shared" si="5"/>
        <v>0</v>
      </c>
      <c r="BV9" s="38">
        <f t="shared" si="5"/>
        <v>0</v>
      </c>
      <c r="BW9" s="38">
        <f t="shared" si="5"/>
        <v>0</v>
      </c>
      <c r="BX9" s="38">
        <f t="shared" si="5"/>
        <v>0</v>
      </c>
      <c r="BY9" s="38">
        <f t="shared" si="5"/>
        <v>0</v>
      </c>
      <c r="BZ9" s="38">
        <f t="shared" si="5"/>
        <v>0</v>
      </c>
      <c r="CA9" s="38">
        <f t="shared" si="5"/>
        <v>0</v>
      </c>
      <c r="CB9" s="38">
        <f t="shared" si="5"/>
        <v>0</v>
      </c>
      <c r="CC9" s="38">
        <f t="shared" si="5"/>
        <v>0</v>
      </c>
      <c r="CD9" s="38">
        <f t="shared" si="5"/>
        <v>0</v>
      </c>
      <c r="CE9" s="38">
        <f t="shared" si="5"/>
        <v>0</v>
      </c>
      <c r="CF9" s="38">
        <f t="shared" si="5"/>
        <v>0</v>
      </c>
      <c r="CG9" s="38">
        <f t="shared" si="5"/>
        <v>0</v>
      </c>
      <c r="CH9" s="38">
        <f t="shared" si="5"/>
        <v>0</v>
      </c>
      <c r="CI9" s="38">
        <f t="shared" si="5"/>
        <v>0</v>
      </c>
      <c r="CJ9" s="38">
        <f t="shared" si="5"/>
        <v>0</v>
      </c>
      <c r="CK9" s="38">
        <f t="shared" si="5"/>
        <v>0</v>
      </c>
      <c r="CL9" s="38">
        <f t="shared" si="5"/>
        <v>0</v>
      </c>
      <c r="CM9" s="38">
        <f t="shared" si="5"/>
        <v>0</v>
      </c>
      <c r="CN9" s="38">
        <f t="shared" si="5"/>
        <v>0</v>
      </c>
      <c r="CO9" s="38">
        <f t="shared" si="5"/>
        <v>0</v>
      </c>
      <c r="CP9" s="38">
        <f t="shared" si="5"/>
        <v>0</v>
      </c>
      <c r="CQ9" s="38">
        <f t="shared" si="5"/>
        <v>0</v>
      </c>
      <c r="CR9" s="38">
        <f t="shared" si="5"/>
        <v>0</v>
      </c>
      <c r="CS9" s="38">
        <f t="shared" si="5"/>
        <v>0</v>
      </c>
      <c r="CT9" s="38">
        <f t="shared" si="5"/>
        <v>0</v>
      </c>
      <c r="CU9" s="38">
        <f t="shared" si="5"/>
        <v>0</v>
      </c>
      <c r="CV9" s="38">
        <f t="shared" si="5"/>
        <v>0</v>
      </c>
      <c r="CW9" s="40"/>
    </row>
    <row r="10" spans="1:103" customFormat="1" ht="15" x14ac:dyDescent="0.25"/>
    <row r="11" spans="1:103" customFormat="1" ht="15" x14ac:dyDescent="0.25">
      <c r="A11" s="41" t="str">
        <f>E5</f>
        <v xml:space="preserve">MADILOUS MARKETING </v>
      </c>
      <c r="B11" s="42"/>
      <c r="C11" s="43"/>
      <c r="D11" s="44"/>
      <c r="E11" s="44"/>
      <c r="F11" s="45"/>
      <c r="G11" s="46"/>
      <c r="H11" s="47"/>
      <c r="I11" s="48"/>
      <c r="J11" s="49"/>
      <c r="K11" s="50"/>
      <c r="L11" s="51"/>
      <c r="M11" s="52"/>
      <c r="N11" s="53"/>
      <c r="O11" s="54"/>
      <c r="P11" s="55"/>
    </row>
    <row r="12" spans="1:103" customFormat="1" ht="15" x14ac:dyDescent="0.25">
      <c r="A12" s="56"/>
      <c r="B12" s="57"/>
      <c r="C12" s="58"/>
      <c r="D12" s="59" t="s">
        <v>112</v>
      </c>
      <c r="E12" s="59" t="s">
        <v>113</v>
      </c>
      <c r="F12" s="60" t="s">
        <v>114</v>
      </c>
      <c r="G12" s="61"/>
      <c r="H12" s="62"/>
      <c r="I12" s="63"/>
      <c r="J12" s="64"/>
      <c r="K12" s="1"/>
      <c r="L12" s="65"/>
      <c r="M12" s="66"/>
      <c r="N12" s="67"/>
      <c r="O12" s="68"/>
      <c r="P12" s="69"/>
    </row>
    <row r="13" spans="1:103" customFormat="1" ht="13.5" customHeight="1" x14ac:dyDescent="0.25">
      <c r="A13" s="70" t="s">
        <v>160</v>
      </c>
      <c r="B13" s="71"/>
      <c r="C13" s="72"/>
      <c r="D13" s="73">
        <f>W9</f>
        <v>2094.8482142857142</v>
      </c>
      <c r="E13" s="74"/>
      <c r="F13" s="75" t="str">
        <f>"In payment for using housefund received on " &amp; TEXT(A5, "mmmm dd, yyyy") &amp; " with SI# PR# RR#" &amp; " CPO#" &amp;B5</f>
        <v>In payment for using housefund received on August 13, 2025 with SI# PR# RR# CPO#18978</v>
      </c>
      <c r="G13" s="76"/>
      <c r="H13" s="77"/>
      <c r="I13" s="77"/>
      <c r="J13" s="76"/>
      <c r="K13" s="1"/>
      <c r="L13" s="65"/>
      <c r="M13" s="78"/>
      <c r="N13" s="79"/>
      <c r="O13" s="80"/>
      <c r="P13" s="81"/>
    </row>
    <row r="14" spans="1:103" customFormat="1" ht="15" x14ac:dyDescent="0.25">
      <c r="A14" s="70" t="s">
        <v>115</v>
      </c>
      <c r="B14" s="71"/>
      <c r="C14" s="72"/>
      <c r="D14" s="73">
        <f>Q9</f>
        <v>248.89285714285711</v>
      </c>
      <c r="E14" s="74"/>
      <c r="F14" s="64" t="str">
        <f>"Recording input VAT for expenses and purchases made using house fund for " &amp; TEXT(A5, "mmmm dd, yyyy")</f>
        <v>Recording input VAT for expenses and purchases made using house fund for August 13,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85" t="s">
        <v>116</v>
      </c>
      <c r="B15" s="86"/>
      <c r="C15" s="87"/>
      <c r="D15" s="88"/>
      <c r="E15" s="74">
        <f>P9</f>
        <v>20.741071428571427</v>
      </c>
      <c r="F15" s="89" t="str">
        <f>"Recording the tax withheld for expenses and purchases using the house fund received on " &amp; TEXT(A5, "mmmm dd, yyyy")</f>
        <v>Recording the tax withheld for expenses and purchases using the house fund received on August 13, 2025</v>
      </c>
      <c r="G15" s="82"/>
      <c r="H15" s="83"/>
      <c r="I15" s="84"/>
      <c r="J15" s="82"/>
      <c r="K15" s="1"/>
      <c r="L15" s="65"/>
      <c r="M15" s="66"/>
      <c r="N15" s="67"/>
      <c r="O15" s="68"/>
      <c r="P15" s="69"/>
    </row>
    <row r="16" spans="1:103" customFormat="1" ht="15" x14ac:dyDescent="0.25">
      <c r="A16" s="70" t="s">
        <v>117</v>
      </c>
      <c r="B16" s="86"/>
      <c r="C16" s="87"/>
      <c r="D16" s="90"/>
      <c r="E16" s="91">
        <f>M9</f>
        <v>2323</v>
      </c>
      <c r="F16" s="89" t="str">
        <f>"Recording house fund expenses for replenishment on " &amp; TEXT(A5, "mmmm dd, yyyy")</f>
        <v>Recording house fund expenses for replenishment on August 13, 2025</v>
      </c>
      <c r="G16" s="82"/>
      <c r="H16" s="83"/>
      <c r="I16" s="84"/>
      <c r="J16" s="82"/>
      <c r="K16" s="1"/>
      <c r="L16" s="65"/>
      <c r="M16" s="66"/>
      <c r="N16" s="67"/>
      <c r="O16" s="68"/>
      <c r="P16" s="69"/>
    </row>
    <row r="17" spans="1:16" customFormat="1" ht="15" x14ac:dyDescent="0.25">
      <c r="A17" s="85"/>
      <c r="B17" s="86"/>
      <c r="C17" s="87"/>
      <c r="D17" s="88">
        <f>SUM(D13:D14)</f>
        <v>2343.7410714285716</v>
      </c>
      <c r="E17" s="88">
        <f>SUM(E13:E16)</f>
        <v>2343.7410714285716</v>
      </c>
      <c r="F17" s="92"/>
      <c r="G17" s="92"/>
      <c r="H17" s="93"/>
      <c r="I17" s="94"/>
      <c r="J17" s="92"/>
      <c r="K17" s="1"/>
      <c r="L17" s="65"/>
      <c r="M17" s="66"/>
      <c r="N17" s="67"/>
      <c r="O17" s="68"/>
      <c r="P17" s="69"/>
    </row>
    <row r="18" spans="1:16" customFormat="1" ht="15" x14ac:dyDescent="0.25">
      <c r="A18" s="95" t="s">
        <v>118</v>
      </c>
      <c r="B18" s="96" t="str">
        <f>"To record house fund expenses on " &amp; TEXT(A5, "mmmm dd, yyyy") &amp; " with PCV#" &amp; C5</f>
        <v>To record house fund expenses on August 13, 2025 with PCV#20915</v>
      </c>
      <c r="C18" s="97"/>
      <c r="D18" s="98"/>
      <c r="E18" s="98"/>
      <c r="F18" s="98"/>
      <c r="G18" s="92"/>
      <c r="H18" s="93"/>
      <c r="I18" s="94"/>
      <c r="J18" s="92"/>
      <c r="K18" s="1"/>
      <c r="L18" s="65"/>
      <c r="M18" s="66"/>
      <c r="N18" s="67"/>
      <c r="O18" s="68"/>
      <c r="P18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5C142-7F75-4716-8365-E0801586BE40}">
  <sheetPr>
    <tabColor rgb="FFFF0066"/>
  </sheetPr>
  <dimension ref="A1:CY16"/>
  <sheetViews>
    <sheetView workbookViewId="0">
      <selection activeCell="A5" sqref="A5:XFD7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45882</v>
      </c>
      <c r="B5" s="3" t="s">
        <v>438</v>
      </c>
      <c r="C5" s="4" t="s">
        <v>550</v>
      </c>
      <c r="D5" s="5" t="s">
        <v>133</v>
      </c>
      <c r="E5" s="6" t="s">
        <v>446</v>
      </c>
      <c r="F5" s="7"/>
      <c r="G5" s="8"/>
      <c r="H5" s="9"/>
      <c r="I5" s="10"/>
      <c r="J5" s="11" t="s">
        <v>447</v>
      </c>
      <c r="K5" s="12">
        <v>3</v>
      </c>
      <c r="L5" s="13">
        <v>137</v>
      </c>
      <c r="M5" s="14">
        <f t="shared" ref="M5:M6" si="0">L5*K5</f>
        <v>411</v>
      </c>
      <c r="N5" s="15"/>
      <c r="O5" s="16" t="s">
        <v>137</v>
      </c>
      <c r="P5" s="17"/>
      <c r="Q5" s="18"/>
      <c r="R5" s="17">
        <f>M5+P5-Q5</f>
        <v>411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448</v>
      </c>
      <c r="K6" s="12">
        <v>2</v>
      </c>
      <c r="L6" s="13">
        <v>15</v>
      </c>
      <c r="M6" s="14">
        <f t="shared" si="0"/>
        <v>30</v>
      </c>
      <c r="N6" s="15"/>
      <c r="O6" s="16" t="s">
        <v>137</v>
      </c>
      <c r="P6" s="17"/>
      <c r="Q6" s="18"/>
      <c r="R6" s="17">
        <f t="shared" ref="R6" si="1">M6+P6-Q6</f>
        <v>30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30" customFormat="1" ht="11.25" x14ac:dyDescent="0.2">
      <c r="A7" s="27"/>
      <c r="B7" s="28"/>
      <c r="C7" s="29"/>
      <c r="E7" s="31"/>
      <c r="F7" s="32"/>
      <c r="G7" s="33"/>
      <c r="H7" s="34"/>
      <c r="I7" s="34"/>
      <c r="J7" s="35"/>
      <c r="K7" s="36"/>
      <c r="L7" s="37"/>
      <c r="M7" s="38">
        <f>SUM(M5:M6)</f>
        <v>441</v>
      </c>
      <c r="N7" s="38">
        <f>M7</f>
        <v>441</v>
      </c>
      <c r="O7" s="39" t="s">
        <v>137</v>
      </c>
      <c r="P7" s="38"/>
      <c r="Q7" s="38"/>
      <c r="R7" s="38">
        <f>SUM(R5:R6)</f>
        <v>441</v>
      </c>
      <c r="S7" s="38">
        <f t="shared" ref="S7:AD7" si="2">SUM(S5:S5)</f>
        <v>0</v>
      </c>
      <c r="T7" s="38">
        <f t="shared" si="2"/>
        <v>0</v>
      </c>
      <c r="U7" s="38">
        <f t="shared" si="2"/>
        <v>0</v>
      </c>
      <c r="V7" s="38">
        <f t="shared" si="2"/>
        <v>0</v>
      </c>
      <c r="W7" s="38">
        <f t="shared" si="2"/>
        <v>0</v>
      </c>
      <c r="X7" s="38">
        <f t="shared" si="2"/>
        <v>0</v>
      </c>
      <c r="Y7" s="38">
        <f t="shared" si="2"/>
        <v>0</v>
      </c>
      <c r="Z7" s="38">
        <f t="shared" si="2"/>
        <v>0</v>
      </c>
      <c r="AA7" s="38">
        <f t="shared" si="2"/>
        <v>0</v>
      </c>
      <c r="AB7" s="38">
        <f t="shared" si="2"/>
        <v>0</v>
      </c>
      <c r="AC7" s="38">
        <f t="shared" si="2"/>
        <v>0</v>
      </c>
      <c r="AD7" s="38">
        <f t="shared" si="2"/>
        <v>0</v>
      </c>
      <c r="AF7" s="38">
        <f>SUM(AF5:AF5)</f>
        <v>0</v>
      </c>
      <c r="AH7" s="38">
        <f t="shared" ref="AH7:AZ7" si="3">SUM(AH5:AH5)</f>
        <v>0</v>
      </c>
      <c r="AI7" s="38">
        <f t="shared" si="3"/>
        <v>0</v>
      </c>
      <c r="AJ7" s="38">
        <f t="shared" si="3"/>
        <v>0</v>
      </c>
      <c r="AK7" s="38">
        <f t="shared" si="3"/>
        <v>0</v>
      </c>
      <c r="AL7" s="38">
        <f t="shared" si="3"/>
        <v>0</v>
      </c>
      <c r="AM7" s="38">
        <f t="shared" si="3"/>
        <v>0</v>
      </c>
      <c r="AN7" s="38">
        <f t="shared" si="3"/>
        <v>0</v>
      </c>
      <c r="AO7" s="38">
        <f t="shared" si="3"/>
        <v>0</v>
      </c>
      <c r="AP7" s="38">
        <f t="shared" si="3"/>
        <v>0</v>
      </c>
      <c r="AQ7" s="38">
        <f t="shared" si="3"/>
        <v>0</v>
      </c>
      <c r="AR7" s="38">
        <f t="shared" si="3"/>
        <v>0</v>
      </c>
      <c r="AS7" s="38">
        <f t="shared" si="3"/>
        <v>0</v>
      </c>
      <c r="AT7" s="38">
        <f t="shared" si="3"/>
        <v>0</v>
      </c>
      <c r="AU7" s="38">
        <f t="shared" si="3"/>
        <v>0</v>
      </c>
      <c r="AV7" s="38">
        <f t="shared" si="3"/>
        <v>0</v>
      </c>
      <c r="AW7" s="38">
        <f t="shared" si="3"/>
        <v>0</v>
      </c>
      <c r="AX7" s="38">
        <f t="shared" si="3"/>
        <v>0</v>
      </c>
      <c r="AY7" s="38">
        <f t="shared" si="3"/>
        <v>0</v>
      </c>
      <c r="AZ7" s="38">
        <f t="shared" si="3"/>
        <v>0</v>
      </c>
      <c r="BB7" s="38">
        <f t="shared" ref="BB7:CV7" si="4">SUM(BB5:BB5)</f>
        <v>0</v>
      </c>
      <c r="BC7" s="38">
        <f t="shared" si="4"/>
        <v>0</v>
      </c>
      <c r="BD7" s="38">
        <f t="shared" si="4"/>
        <v>0</v>
      </c>
      <c r="BE7" s="38">
        <f t="shared" si="4"/>
        <v>0</v>
      </c>
      <c r="BF7" s="38">
        <f t="shared" si="4"/>
        <v>0</v>
      </c>
      <c r="BG7" s="38">
        <f t="shared" si="4"/>
        <v>0</v>
      </c>
      <c r="BH7" s="38">
        <f t="shared" si="4"/>
        <v>0</v>
      </c>
      <c r="BI7" s="38">
        <f t="shared" si="4"/>
        <v>0</v>
      </c>
      <c r="BJ7" s="38">
        <f t="shared" si="4"/>
        <v>0</v>
      </c>
      <c r="BK7" s="38">
        <f t="shared" si="4"/>
        <v>0</v>
      </c>
      <c r="BL7" s="38">
        <f t="shared" si="4"/>
        <v>0</v>
      </c>
      <c r="BM7" s="38">
        <f t="shared" si="4"/>
        <v>0</v>
      </c>
      <c r="BN7" s="38">
        <f t="shared" si="4"/>
        <v>0</v>
      </c>
      <c r="BO7" s="38">
        <f t="shared" si="4"/>
        <v>0</v>
      </c>
      <c r="BP7" s="38">
        <f t="shared" si="4"/>
        <v>0</v>
      </c>
      <c r="BQ7" s="38">
        <f t="shared" si="4"/>
        <v>0</v>
      </c>
      <c r="BR7" s="38">
        <f t="shared" si="4"/>
        <v>0</v>
      </c>
      <c r="BS7" s="38">
        <f t="shared" si="4"/>
        <v>0</v>
      </c>
      <c r="BT7" s="38">
        <f t="shared" si="4"/>
        <v>0</v>
      </c>
      <c r="BU7" s="38">
        <f t="shared" si="4"/>
        <v>0</v>
      </c>
      <c r="BV7" s="38">
        <f t="shared" si="4"/>
        <v>0</v>
      </c>
      <c r="BW7" s="38">
        <f t="shared" si="4"/>
        <v>0</v>
      </c>
      <c r="BX7" s="38">
        <f t="shared" si="4"/>
        <v>0</v>
      </c>
      <c r="BY7" s="38">
        <f t="shared" si="4"/>
        <v>0</v>
      </c>
      <c r="BZ7" s="38">
        <f t="shared" si="4"/>
        <v>0</v>
      </c>
      <c r="CA7" s="38">
        <f t="shared" si="4"/>
        <v>0</v>
      </c>
      <c r="CB7" s="38">
        <f t="shared" si="4"/>
        <v>0</v>
      </c>
      <c r="CC7" s="38">
        <f t="shared" si="4"/>
        <v>0</v>
      </c>
      <c r="CD7" s="38">
        <f t="shared" si="4"/>
        <v>0</v>
      </c>
      <c r="CE7" s="38">
        <f t="shared" si="4"/>
        <v>0</v>
      </c>
      <c r="CF7" s="38">
        <f t="shared" si="4"/>
        <v>0</v>
      </c>
      <c r="CG7" s="38">
        <f t="shared" si="4"/>
        <v>0</v>
      </c>
      <c r="CH7" s="38">
        <f t="shared" si="4"/>
        <v>0</v>
      </c>
      <c r="CI7" s="38">
        <f t="shared" si="4"/>
        <v>0</v>
      </c>
      <c r="CJ7" s="38">
        <f t="shared" si="4"/>
        <v>0</v>
      </c>
      <c r="CK7" s="38">
        <f t="shared" si="4"/>
        <v>0</v>
      </c>
      <c r="CL7" s="38">
        <f t="shared" si="4"/>
        <v>0</v>
      </c>
      <c r="CM7" s="38">
        <f t="shared" si="4"/>
        <v>0</v>
      </c>
      <c r="CN7" s="38">
        <f t="shared" si="4"/>
        <v>0</v>
      </c>
      <c r="CO7" s="38">
        <f t="shared" si="4"/>
        <v>0</v>
      </c>
      <c r="CP7" s="38">
        <f t="shared" si="4"/>
        <v>0</v>
      </c>
      <c r="CQ7" s="38">
        <f t="shared" si="4"/>
        <v>0</v>
      </c>
      <c r="CR7" s="38">
        <f t="shared" si="4"/>
        <v>0</v>
      </c>
      <c r="CS7" s="38">
        <f t="shared" si="4"/>
        <v>0</v>
      </c>
      <c r="CT7" s="38">
        <f t="shared" si="4"/>
        <v>0</v>
      </c>
      <c r="CU7" s="38">
        <f t="shared" si="4"/>
        <v>0</v>
      </c>
      <c r="CV7" s="38">
        <f t="shared" si="4"/>
        <v>0</v>
      </c>
      <c r="CW7" s="40"/>
    </row>
    <row r="8" spans="1:103" customFormat="1" ht="15" x14ac:dyDescent="0.25"/>
    <row r="9" spans="1:103" customFormat="1" ht="15" x14ac:dyDescent="0.25">
      <c r="A9" s="41" t="str">
        <f>E5</f>
        <v>SARI SARI STORE</v>
      </c>
      <c r="B9" s="42"/>
      <c r="C9" s="43"/>
      <c r="D9" s="44"/>
      <c r="E9" s="44"/>
      <c r="F9" s="45"/>
      <c r="G9" s="46"/>
      <c r="H9" s="47"/>
      <c r="I9" s="48"/>
      <c r="J9" s="49"/>
      <c r="K9" s="50"/>
      <c r="L9" s="51"/>
      <c r="M9" s="52"/>
      <c r="N9" s="53"/>
      <c r="O9" s="54"/>
      <c r="P9" s="55"/>
    </row>
    <row r="10" spans="1:103" customFormat="1" ht="15" x14ac:dyDescent="0.25">
      <c r="A10" s="56"/>
      <c r="B10" s="57"/>
      <c r="C10" s="58"/>
      <c r="D10" s="59" t="s">
        <v>112</v>
      </c>
      <c r="E10" s="59" t="s">
        <v>113</v>
      </c>
      <c r="F10" s="60" t="s">
        <v>114</v>
      </c>
      <c r="G10" s="61"/>
      <c r="H10" s="62"/>
      <c r="I10" s="63"/>
      <c r="J10" s="64"/>
      <c r="K10" s="1"/>
      <c r="L10" s="65"/>
      <c r="M10" s="66"/>
      <c r="N10" s="67"/>
      <c r="O10" s="68"/>
      <c r="P10" s="69"/>
    </row>
    <row r="11" spans="1:103" customFormat="1" ht="13.5" customHeight="1" x14ac:dyDescent="0.25">
      <c r="A11" s="70" t="s">
        <v>151</v>
      </c>
      <c r="B11" s="71"/>
      <c r="C11" s="72"/>
      <c r="D11" s="73">
        <f>R7</f>
        <v>441</v>
      </c>
      <c r="E11" s="74"/>
      <c r="F11" s="75" t="str">
        <f>"In payment for 3 packs of coke, sprite, royal and 2 pcs of royal for function using housefund received on " &amp; TEXT(A5, "mmmm dd, yyyy") &amp; " with PR#30537 RR#50207" &amp; " CPO#" &amp;B5</f>
        <v>In payment for 3 packs of coke, sprite, royal and 2 pcs of royal for function using housefund received on August 13, 2025 with PR#30537 RR#50207 CPO#18978</v>
      </c>
      <c r="G11" s="76"/>
      <c r="H11" s="77"/>
      <c r="I11" s="77"/>
      <c r="J11" s="76"/>
      <c r="K11" s="1"/>
      <c r="L11" s="65"/>
      <c r="M11" s="78"/>
      <c r="N11" s="79"/>
      <c r="O11" s="80"/>
      <c r="P11" s="81"/>
    </row>
    <row r="12" spans="1:103" customFormat="1" ht="15" x14ac:dyDescent="0.25">
      <c r="A12" s="70" t="s">
        <v>115</v>
      </c>
      <c r="B12" s="71"/>
      <c r="C12" s="72"/>
      <c r="D12" s="73">
        <f>Q7</f>
        <v>0</v>
      </c>
      <c r="E12" s="74"/>
      <c r="F12" s="64" t="str">
        <f>"Recording input VAT for expenses and purchases made using house fund for " &amp; TEXT(A5, "mmmm dd, yyyy")</f>
        <v>Recording input VAT for expenses and purchases made using house fund for August 13,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85" t="s">
        <v>116</v>
      </c>
      <c r="B13" s="86"/>
      <c r="C13" s="87" t="s">
        <v>351</v>
      </c>
      <c r="D13" s="88"/>
      <c r="E13" s="74">
        <f>P7</f>
        <v>0</v>
      </c>
      <c r="F13" s="89" t="str">
        <f>"Recording the tax withheld for expenses and purchases using the house fund received on " &amp; TEXT(A5, "mmmm dd, yyyy")</f>
        <v>Recording the tax withheld for expenses and purchases using the house fund received on August 13,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70" t="s">
        <v>117</v>
      </c>
      <c r="B14" s="86"/>
      <c r="C14" s="87"/>
      <c r="D14" s="90"/>
      <c r="E14" s="91">
        <f>M7</f>
        <v>441</v>
      </c>
      <c r="F14" s="89" t="str">
        <f>"Recording house fund expenses for replenishment on " &amp; TEXT(A5, "mmmm dd, yyyy")</f>
        <v>Recording house fund expenses for replenishment on August 13,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85"/>
      <c r="B15" s="86"/>
      <c r="C15" s="87"/>
      <c r="D15" s="88">
        <f>SUM(D11:D12)</f>
        <v>441</v>
      </c>
      <c r="E15" s="88">
        <f>SUM(E11:E14)</f>
        <v>441</v>
      </c>
      <c r="F15" s="92"/>
      <c r="G15" s="92"/>
      <c r="H15" s="93"/>
      <c r="I15" s="94"/>
      <c r="J15" s="92"/>
      <c r="K15" s="1"/>
      <c r="L15" s="65"/>
      <c r="M15" s="66"/>
      <c r="N15" s="67"/>
      <c r="O15" s="68"/>
      <c r="P15" s="69"/>
    </row>
    <row r="16" spans="1:103" customFormat="1" ht="15" x14ac:dyDescent="0.25">
      <c r="A16" s="95" t="s">
        <v>118</v>
      </c>
      <c r="B16" s="96" t="str">
        <f>"To record house fund expenses on " &amp; TEXT(A5, "mmmm dd, yyyy") &amp; " with PCV#" &amp; C5</f>
        <v>To record house fund expenses on August 13, 2025 with PCV#20916</v>
      </c>
      <c r="C16" s="97"/>
      <c r="D16" s="98"/>
      <c r="E16" s="98"/>
      <c r="F16" s="98"/>
      <c r="G16" s="92"/>
      <c r="H16" s="93"/>
      <c r="I16" s="94"/>
      <c r="J16" s="92"/>
      <c r="K16" s="1"/>
      <c r="L16" s="65"/>
      <c r="M16" s="66"/>
      <c r="N16" s="67"/>
      <c r="O16" s="68"/>
      <c r="P16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C3DC8-B6AD-43B6-85AC-764445F6F5A5}">
  <sheetPr>
    <tabColor rgb="FFFF0066"/>
  </sheetPr>
  <dimension ref="A1:CY16"/>
  <sheetViews>
    <sheetView workbookViewId="0">
      <selection activeCell="A5" sqref="A5:XFD7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45880</v>
      </c>
      <c r="B5" s="3" t="s">
        <v>438</v>
      </c>
      <c r="C5" s="4" t="s">
        <v>551</v>
      </c>
      <c r="D5" s="5" t="s">
        <v>133</v>
      </c>
      <c r="E5" s="6" t="s">
        <v>449</v>
      </c>
      <c r="F5" s="7" t="s">
        <v>450</v>
      </c>
      <c r="G5" s="8" t="s">
        <v>451</v>
      </c>
      <c r="H5" s="9">
        <v>5046</v>
      </c>
      <c r="I5" s="10" t="s">
        <v>452</v>
      </c>
      <c r="J5" s="11" t="s">
        <v>453</v>
      </c>
      <c r="K5" s="12">
        <v>3</v>
      </c>
      <c r="L5" s="13">
        <v>310</v>
      </c>
      <c r="M5" s="14">
        <f t="shared" ref="M5:M6" si="0">L5*K5</f>
        <v>930</v>
      </c>
      <c r="N5" s="15"/>
      <c r="O5" s="16" t="s">
        <v>137</v>
      </c>
      <c r="P5" s="17">
        <f>M5*0.01</f>
        <v>9.3000000000000007</v>
      </c>
      <c r="Q5" s="18"/>
      <c r="R5" s="17">
        <f>M5+P5-Q5</f>
        <v>939.3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453</v>
      </c>
      <c r="K6" s="12">
        <v>2</v>
      </c>
      <c r="L6" s="13">
        <v>310</v>
      </c>
      <c r="M6" s="14">
        <f t="shared" si="0"/>
        <v>620</v>
      </c>
      <c r="N6" s="15"/>
      <c r="O6" s="16" t="s">
        <v>137</v>
      </c>
      <c r="P6" s="17">
        <f>M6*0.01</f>
        <v>6.2</v>
      </c>
      <c r="Q6" s="18"/>
      <c r="R6" s="17">
        <f t="shared" ref="R6" si="1">M6+P6-Q6</f>
        <v>626.20000000000005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30" customFormat="1" ht="11.25" x14ac:dyDescent="0.2">
      <c r="A7" s="27"/>
      <c r="B7" s="28"/>
      <c r="C7" s="29"/>
      <c r="E7" s="31"/>
      <c r="F7" s="32"/>
      <c r="G7" s="33"/>
      <c r="H7" s="34"/>
      <c r="I7" s="34"/>
      <c r="J7" s="35"/>
      <c r="K7" s="36"/>
      <c r="L7" s="37"/>
      <c r="M7" s="38">
        <f>SUM(M5:M6)</f>
        <v>1550</v>
      </c>
      <c r="N7" s="38">
        <f>M7</f>
        <v>1550</v>
      </c>
      <c r="O7" s="39" t="s">
        <v>137</v>
      </c>
      <c r="P7" s="38">
        <f>SUM(P5:P6)</f>
        <v>15.5</v>
      </c>
      <c r="Q7" s="38">
        <f>SUM(Q5:Q6)</f>
        <v>0</v>
      </c>
      <c r="R7" s="38">
        <f>SUM(R5:R6)</f>
        <v>1565.5</v>
      </c>
      <c r="S7" s="38">
        <f t="shared" ref="S7:AD7" si="2">SUM(S5:S5)</f>
        <v>0</v>
      </c>
      <c r="T7" s="38">
        <f t="shared" si="2"/>
        <v>0</v>
      </c>
      <c r="U7" s="38">
        <f t="shared" si="2"/>
        <v>0</v>
      </c>
      <c r="V7" s="38">
        <f t="shared" si="2"/>
        <v>0</v>
      </c>
      <c r="W7" s="38">
        <f t="shared" si="2"/>
        <v>0</v>
      </c>
      <c r="X7" s="38">
        <f t="shared" si="2"/>
        <v>0</v>
      </c>
      <c r="Y7" s="38">
        <f t="shared" si="2"/>
        <v>0</v>
      </c>
      <c r="Z7" s="38">
        <f t="shared" si="2"/>
        <v>0</v>
      </c>
      <c r="AA7" s="38">
        <f t="shared" si="2"/>
        <v>0</v>
      </c>
      <c r="AB7" s="38">
        <f t="shared" si="2"/>
        <v>0</v>
      </c>
      <c r="AC7" s="38">
        <f t="shared" si="2"/>
        <v>0</v>
      </c>
      <c r="AD7" s="38">
        <f t="shared" si="2"/>
        <v>0</v>
      </c>
      <c r="AF7" s="38">
        <f>SUM(AF5:AF5)</f>
        <v>0</v>
      </c>
      <c r="AH7" s="38">
        <f t="shared" ref="AH7:AZ7" si="3">SUM(AH5:AH5)</f>
        <v>0</v>
      </c>
      <c r="AI7" s="38">
        <f t="shared" si="3"/>
        <v>0</v>
      </c>
      <c r="AJ7" s="38">
        <f t="shared" si="3"/>
        <v>0</v>
      </c>
      <c r="AK7" s="38">
        <f t="shared" si="3"/>
        <v>0</v>
      </c>
      <c r="AL7" s="38">
        <f t="shared" si="3"/>
        <v>0</v>
      </c>
      <c r="AM7" s="38">
        <f t="shared" si="3"/>
        <v>0</v>
      </c>
      <c r="AN7" s="38">
        <f t="shared" si="3"/>
        <v>0</v>
      </c>
      <c r="AO7" s="38">
        <f t="shared" si="3"/>
        <v>0</v>
      </c>
      <c r="AP7" s="38">
        <f t="shared" si="3"/>
        <v>0</v>
      </c>
      <c r="AQ7" s="38">
        <f t="shared" si="3"/>
        <v>0</v>
      </c>
      <c r="AR7" s="38">
        <f t="shared" si="3"/>
        <v>0</v>
      </c>
      <c r="AS7" s="38">
        <f t="shared" si="3"/>
        <v>0</v>
      </c>
      <c r="AT7" s="38">
        <f t="shared" si="3"/>
        <v>0</v>
      </c>
      <c r="AU7" s="38">
        <f t="shared" si="3"/>
        <v>0</v>
      </c>
      <c r="AV7" s="38">
        <f t="shared" si="3"/>
        <v>0</v>
      </c>
      <c r="AW7" s="38">
        <f t="shared" si="3"/>
        <v>0</v>
      </c>
      <c r="AX7" s="38">
        <f t="shared" si="3"/>
        <v>0</v>
      </c>
      <c r="AY7" s="38">
        <f t="shared" si="3"/>
        <v>0</v>
      </c>
      <c r="AZ7" s="38">
        <f t="shared" si="3"/>
        <v>0</v>
      </c>
      <c r="BB7" s="38">
        <f t="shared" ref="BB7:CV7" si="4">SUM(BB5:BB5)</f>
        <v>0</v>
      </c>
      <c r="BC7" s="38">
        <f t="shared" si="4"/>
        <v>0</v>
      </c>
      <c r="BD7" s="38">
        <f t="shared" si="4"/>
        <v>0</v>
      </c>
      <c r="BE7" s="38">
        <f t="shared" si="4"/>
        <v>0</v>
      </c>
      <c r="BF7" s="38">
        <f t="shared" si="4"/>
        <v>0</v>
      </c>
      <c r="BG7" s="38">
        <f t="shared" si="4"/>
        <v>0</v>
      </c>
      <c r="BH7" s="38">
        <f t="shared" si="4"/>
        <v>0</v>
      </c>
      <c r="BI7" s="38">
        <f t="shared" si="4"/>
        <v>0</v>
      </c>
      <c r="BJ7" s="38">
        <f t="shared" si="4"/>
        <v>0</v>
      </c>
      <c r="BK7" s="38">
        <f t="shared" si="4"/>
        <v>0</v>
      </c>
      <c r="BL7" s="38">
        <f t="shared" si="4"/>
        <v>0</v>
      </c>
      <c r="BM7" s="38">
        <f t="shared" si="4"/>
        <v>0</v>
      </c>
      <c r="BN7" s="38">
        <f t="shared" si="4"/>
        <v>0</v>
      </c>
      <c r="BO7" s="38">
        <f t="shared" si="4"/>
        <v>0</v>
      </c>
      <c r="BP7" s="38">
        <f t="shared" si="4"/>
        <v>0</v>
      </c>
      <c r="BQ7" s="38">
        <f t="shared" si="4"/>
        <v>0</v>
      </c>
      <c r="BR7" s="38">
        <f t="shared" si="4"/>
        <v>0</v>
      </c>
      <c r="BS7" s="38">
        <f t="shared" si="4"/>
        <v>0</v>
      </c>
      <c r="BT7" s="38">
        <f t="shared" si="4"/>
        <v>0</v>
      </c>
      <c r="BU7" s="38">
        <f t="shared" si="4"/>
        <v>0</v>
      </c>
      <c r="BV7" s="38">
        <f t="shared" si="4"/>
        <v>0</v>
      </c>
      <c r="BW7" s="38">
        <f t="shared" si="4"/>
        <v>0</v>
      </c>
      <c r="BX7" s="38">
        <f t="shared" si="4"/>
        <v>0</v>
      </c>
      <c r="BY7" s="38">
        <f t="shared" si="4"/>
        <v>0</v>
      </c>
      <c r="BZ7" s="38">
        <f t="shared" si="4"/>
        <v>0</v>
      </c>
      <c r="CA7" s="38">
        <f t="shared" si="4"/>
        <v>0</v>
      </c>
      <c r="CB7" s="38">
        <f t="shared" si="4"/>
        <v>0</v>
      </c>
      <c r="CC7" s="38">
        <f t="shared" si="4"/>
        <v>0</v>
      </c>
      <c r="CD7" s="38">
        <f t="shared" si="4"/>
        <v>0</v>
      </c>
      <c r="CE7" s="38">
        <f t="shared" si="4"/>
        <v>0</v>
      </c>
      <c r="CF7" s="38">
        <f t="shared" si="4"/>
        <v>0</v>
      </c>
      <c r="CG7" s="38">
        <f t="shared" si="4"/>
        <v>0</v>
      </c>
      <c r="CH7" s="38">
        <f t="shared" si="4"/>
        <v>0</v>
      </c>
      <c r="CI7" s="38">
        <f t="shared" si="4"/>
        <v>0</v>
      </c>
      <c r="CJ7" s="38">
        <f t="shared" si="4"/>
        <v>0</v>
      </c>
      <c r="CK7" s="38">
        <f t="shared" si="4"/>
        <v>0</v>
      </c>
      <c r="CL7" s="38">
        <f t="shared" si="4"/>
        <v>0</v>
      </c>
      <c r="CM7" s="38">
        <f t="shared" si="4"/>
        <v>0</v>
      </c>
      <c r="CN7" s="38">
        <f t="shared" si="4"/>
        <v>0</v>
      </c>
      <c r="CO7" s="38">
        <f t="shared" si="4"/>
        <v>0</v>
      </c>
      <c r="CP7" s="38">
        <f t="shared" si="4"/>
        <v>0</v>
      </c>
      <c r="CQ7" s="38">
        <f t="shared" si="4"/>
        <v>0</v>
      </c>
      <c r="CR7" s="38">
        <f t="shared" si="4"/>
        <v>0</v>
      </c>
      <c r="CS7" s="38">
        <f t="shared" si="4"/>
        <v>0</v>
      </c>
      <c r="CT7" s="38">
        <f t="shared" si="4"/>
        <v>0</v>
      </c>
      <c r="CU7" s="38">
        <f t="shared" si="4"/>
        <v>0</v>
      </c>
      <c r="CV7" s="38">
        <f t="shared" si="4"/>
        <v>0</v>
      </c>
      <c r="CW7" s="40"/>
    </row>
    <row r="8" spans="1:103" customFormat="1" ht="15" x14ac:dyDescent="0.25"/>
    <row r="9" spans="1:103" customFormat="1" ht="15" x14ac:dyDescent="0.25">
      <c r="A9" s="41" t="str">
        <f>E5</f>
        <v>VIRGINIA FOOD</v>
      </c>
      <c r="B9" s="42"/>
      <c r="C9" s="43"/>
      <c r="D9" s="44"/>
      <c r="E9" s="44"/>
      <c r="F9" s="45"/>
      <c r="G9" s="46"/>
      <c r="H9" s="47"/>
      <c r="I9" s="48"/>
      <c r="J9" s="49"/>
      <c r="K9" s="50"/>
      <c r="L9" s="51"/>
      <c r="M9" s="52"/>
      <c r="N9" s="53"/>
      <c r="O9" s="54"/>
      <c r="P9" s="55"/>
    </row>
    <row r="10" spans="1:103" customFormat="1" ht="15" x14ac:dyDescent="0.25">
      <c r="A10" s="56"/>
      <c r="B10" s="57"/>
      <c r="C10" s="58"/>
      <c r="D10" s="59" t="s">
        <v>112</v>
      </c>
      <c r="E10" s="59" t="s">
        <v>113</v>
      </c>
      <c r="F10" s="60" t="s">
        <v>114</v>
      </c>
      <c r="G10" s="61"/>
      <c r="H10" s="62"/>
      <c r="I10" s="63"/>
      <c r="J10" s="64"/>
      <c r="K10" s="1"/>
      <c r="L10" s="65"/>
      <c r="M10" s="66"/>
      <c r="N10" s="67"/>
      <c r="O10" s="68"/>
      <c r="P10" s="69"/>
    </row>
    <row r="11" spans="1:103" customFormat="1" ht="13.5" customHeight="1" x14ac:dyDescent="0.25">
      <c r="A11" s="70" t="s">
        <v>151</v>
      </c>
      <c r="B11" s="71"/>
      <c r="C11" s="72"/>
      <c r="D11" s="73">
        <f>R7</f>
        <v>1565.5</v>
      </c>
      <c r="E11" s="74"/>
      <c r="F11" s="75" t="str">
        <f>"In payment for 3kg and 2kg of tocino ladlad for function using housefund received on " &amp; TEXT(A5, "mmmm dd, yyyy") &amp; " with SI#5046 PR#30536 RR#50188" &amp; " CPO#" &amp;B5</f>
        <v>In payment for 3kg and 2kg of tocino ladlad for function using housefund received on August 11, 2025 with SI#5046 PR#30536 RR#50188 CPO#18978</v>
      </c>
      <c r="G11" s="76"/>
      <c r="H11" s="77"/>
      <c r="I11" s="77"/>
      <c r="J11" s="76"/>
      <c r="K11" s="1"/>
      <c r="L11" s="65"/>
      <c r="M11" s="78"/>
      <c r="N11" s="79"/>
      <c r="O11" s="80"/>
      <c r="P11" s="81"/>
    </row>
    <row r="12" spans="1:103" customFormat="1" ht="15" x14ac:dyDescent="0.25">
      <c r="A12" s="70" t="s">
        <v>115</v>
      </c>
      <c r="B12" s="71"/>
      <c r="C12" s="72"/>
      <c r="D12" s="73">
        <f>Q7</f>
        <v>0</v>
      </c>
      <c r="E12" s="74"/>
      <c r="F12" s="64" t="str">
        <f>"Recording input VAT for expenses and purchases made using house fund for " &amp; TEXT(A5, "mmmm dd, yyyy")</f>
        <v>Recording input VAT for expenses and purchases made using house fund for August 11,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85" t="s">
        <v>116</v>
      </c>
      <c r="B13" s="86"/>
      <c r="C13" s="87"/>
      <c r="D13" s="88"/>
      <c r="E13" s="74">
        <f>P7</f>
        <v>15.5</v>
      </c>
      <c r="F13" s="89" t="str">
        <f>"Recording the tax withheld for expenses and purchases using the house fund received on " &amp; TEXT(A5, "mmmm dd, yyyy")</f>
        <v>Recording the tax withheld for expenses and purchases using the house fund received on August 11,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70" t="s">
        <v>117</v>
      </c>
      <c r="B14" s="86"/>
      <c r="C14" s="87"/>
      <c r="D14" s="90"/>
      <c r="E14" s="91">
        <f>M7</f>
        <v>1550</v>
      </c>
      <c r="F14" s="89" t="str">
        <f>"Recording house fund expenses for replenishment on " &amp; TEXT(A5, "mmmm dd, yyyy")</f>
        <v>Recording house fund expenses for replenishment on August 11,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85"/>
      <c r="B15" s="86"/>
      <c r="C15" s="87"/>
      <c r="D15" s="88">
        <f>SUM(D11:D12)</f>
        <v>1565.5</v>
      </c>
      <c r="E15" s="88">
        <f>SUM(E11:E14)</f>
        <v>1565.5</v>
      </c>
      <c r="F15" s="92"/>
      <c r="G15" s="92"/>
      <c r="H15" s="93"/>
      <c r="I15" s="94"/>
      <c r="J15" s="92"/>
      <c r="K15" s="1"/>
      <c r="L15" s="65"/>
      <c r="M15" s="66"/>
      <c r="N15" s="67"/>
      <c r="O15" s="68"/>
      <c r="P15" s="69"/>
    </row>
    <row r="16" spans="1:103" customFormat="1" ht="15" x14ac:dyDescent="0.25">
      <c r="A16" s="95" t="s">
        <v>118</v>
      </c>
      <c r="B16" s="96" t="str">
        <f>"To record house fund expenses on " &amp; TEXT(A5, "mmmm dd, yyyy") &amp; " with PCV#" &amp; C5</f>
        <v>To record house fund expenses on August 11, 2025 with PCV#20917</v>
      </c>
      <c r="C16" s="97"/>
      <c r="D16" s="98"/>
      <c r="E16" s="98"/>
      <c r="F16" s="98"/>
      <c r="G16" s="92"/>
      <c r="H16" s="93"/>
      <c r="I16" s="94"/>
      <c r="J16" s="92"/>
      <c r="K16" s="1"/>
      <c r="L16" s="65"/>
      <c r="M16" s="66"/>
      <c r="N16" s="67"/>
      <c r="O16" s="68"/>
      <c r="P16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EC618-CA9A-4019-8F42-5B0EFD1D1116}">
  <sheetPr>
    <tabColor rgb="FFFF0066"/>
  </sheetPr>
  <dimension ref="A1:CY15"/>
  <sheetViews>
    <sheetView topLeftCell="A2" workbookViewId="0">
      <selection activeCell="M13" sqref="M13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45882</v>
      </c>
      <c r="B5" s="3" t="s">
        <v>270</v>
      </c>
      <c r="C5" s="4" t="s">
        <v>552</v>
      </c>
      <c r="D5" s="5" t="s">
        <v>271</v>
      </c>
      <c r="E5" s="6" t="s">
        <v>272</v>
      </c>
      <c r="F5" s="7"/>
      <c r="G5" s="8" t="s">
        <v>273</v>
      </c>
      <c r="H5" s="9">
        <v>28472</v>
      </c>
      <c r="I5" s="10" t="s">
        <v>553</v>
      </c>
      <c r="J5" s="11" t="s">
        <v>274</v>
      </c>
      <c r="K5" s="12">
        <v>6</v>
      </c>
      <c r="L5" s="13">
        <v>90</v>
      </c>
      <c r="M5" s="14">
        <f t="shared" ref="M5" si="0">L5*K5</f>
        <v>540</v>
      </c>
      <c r="N5" s="15"/>
      <c r="O5" s="16" t="s">
        <v>111</v>
      </c>
      <c r="P5" s="17">
        <f>M5/1.12*0.01</f>
        <v>4.8214285714285712</v>
      </c>
      <c r="Q5" s="18">
        <f>M5/1.12*0.12</f>
        <v>57.857142857142854</v>
      </c>
      <c r="R5" s="17">
        <f>M5+P5-Q5</f>
        <v>486.96428571428572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540</v>
      </c>
      <c r="N6" s="38">
        <f>M6</f>
        <v>540</v>
      </c>
      <c r="O6" s="39" t="s">
        <v>111</v>
      </c>
      <c r="P6" s="38">
        <f>SUM(P5:P5)</f>
        <v>4.8214285714285712</v>
      </c>
      <c r="Q6" s="38">
        <f>SUM(Q5:Q5)</f>
        <v>57.857142857142854</v>
      </c>
      <c r="R6" s="38">
        <f>SUM(R5:R5)</f>
        <v>486.96428571428572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CEBU CUBE ICE CORPORATION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486.96428571428572</v>
      </c>
      <c r="E10" s="74"/>
      <c r="F10" s="75" t="str">
        <f>"In payment for using housefund received on " &amp; TEXT(A5, "mmmm dd, yyyy") &amp; " with SI# PR# RR#" &amp; " CPO#" &amp;B5</f>
        <v>In payment for using housefund received on August 13, 2025 with SI# PR# RR# CPO#18980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57.857142857142854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13,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4.8214285714285712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13,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540</v>
      </c>
      <c r="F13" s="89" t="str">
        <f>"Recording house fund expenses for replenishment on " &amp; TEXT(A5, "mmmm dd, yyyy")</f>
        <v>Recording house fund expenses for replenishment on August 13,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544.82142857142856</v>
      </c>
      <c r="E14" s="88">
        <f>SUM(E10:E13)</f>
        <v>544.82142857142856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13, 2025 with PCV#20918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5B4DE-1BEC-465E-BF63-4EFF6E750D5B}">
  <sheetPr>
    <tabColor rgb="FFFF0066"/>
  </sheetPr>
  <dimension ref="A1:CY16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45870</v>
      </c>
      <c r="B5" s="3" t="s">
        <v>454</v>
      </c>
      <c r="C5" s="4" t="s">
        <v>554</v>
      </c>
      <c r="D5" s="5" t="s">
        <v>315</v>
      </c>
      <c r="E5" s="6" t="s">
        <v>455</v>
      </c>
      <c r="F5" s="7" t="s">
        <v>456</v>
      </c>
      <c r="G5" s="8" t="s">
        <v>457</v>
      </c>
      <c r="H5" s="9">
        <v>54588</v>
      </c>
      <c r="I5" s="10" t="s">
        <v>458</v>
      </c>
      <c r="J5" s="11" t="s">
        <v>459</v>
      </c>
      <c r="K5" s="12">
        <v>5.8</v>
      </c>
      <c r="L5" s="13">
        <v>350</v>
      </c>
      <c r="M5" s="14">
        <f t="shared" ref="M5" si="0">L5*K5</f>
        <v>2030</v>
      </c>
      <c r="N5" s="15"/>
      <c r="O5" s="16" t="s">
        <v>137</v>
      </c>
      <c r="P5" s="17">
        <f>M5*0.01</f>
        <v>20.3</v>
      </c>
      <c r="Q5" s="18"/>
      <c r="R5" s="17">
        <f>M5+P5-Q5</f>
        <v>2050.3000000000002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2030</v>
      </c>
      <c r="N6" s="38">
        <f>M6</f>
        <v>2030</v>
      </c>
      <c r="O6" s="39" t="s">
        <v>137</v>
      </c>
      <c r="P6" s="38">
        <f>SUM(P5:P5)</f>
        <v>20.3</v>
      </c>
      <c r="Q6" s="38"/>
      <c r="R6" s="38">
        <f>SUM(R5:R5)</f>
        <v>2050.3000000000002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CORDOVA SEAFOODS ATBP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2050.3000000000002</v>
      </c>
      <c r="E10" s="74"/>
      <c r="F10" s="75" t="str">
        <f>"In payment for 5.8kg of pork spareribs using housefund received on " &amp; TEXT(A5, "mmmm dd, yyyy") &amp; " with SI#54588 PR#30242 RR#50144" &amp; " CPO#" &amp;B5</f>
        <v>In payment for 5.8kg of pork spareribs using housefund received on August 01, 2025 with SI#54588 PR#30242 RR#50144 CPO#18982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01,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20.3</v>
      </c>
      <c r="F12" s="89" t="str">
        <f>"Recording the tax withheld for oyexpenses and purchases using the house fund received on " &amp; TEXT(A5, "mmmm dd, yyyy")</f>
        <v>Recording the tax withheld for oyexpenses and purchases using the house fund received on August 01,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2030</v>
      </c>
      <c r="F13" s="89" t="str">
        <f>"Recording house fund expenses for replenishment on " &amp; TEXT(A5, "mmmm dd, yyyy")</f>
        <v>Recording house fund expenses for replenishment on August 01,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2050.3000000000002</v>
      </c>
      <c r="E14" s="88">
        <f>SUM(E10:E13)</f>
        <v>2050.3000000000002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01, 2025 with PCV#20919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  <row r="16" spans="1:103" x14ac:dyDescent="0.2">
      <c r="I16" s="155" t="s">
        <v>351</v>
      </c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9D28D-07A2-4D6E-8FC6-A25378FE160E}">
  <sheetPr>
    <tabColor rgb="FFFF0066"/>
  </sheetPr>
  <dimension ref="A1:CY15"/>
  <sheetViews>
    <sheetView topLeftCell="A4"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45878</v>
      </c>
      <c r="B5" s="3" t="s">
        <v>460</v>
      </c>
      <c r="C5" s="4" t="s">
        <v>555</v>
      </c>
      <c r="D5" s="5" t="s">
        <v>315</v>
      </c>
      <c r="E5" s="6" t="s">
        <v>455</v>
      </c>
      <c r="F5" s="7" t="s">
        <v>456</v>
      </c>
      <c r="G5" s="8" t="s">
        <v>457</v>
      </c>
      <c r="H5" s="9">
        <v>54823</v>
      </c>
      <c r="I5" s="10" t="s">
        <v>461</v>
      </c>
      <c r="J5" s="11" t="s">
        <v>462</v>
      </c>
      <c r="K5" s="12">
        <v>8.6999999999999993</v>
      </c>
      <c r="L5" s="13">
        <v>350</v>
      </c>
      <c r="M5" s="14">
        <f t="shared" ref="M5" si="0">L5*K5</f>
        <v>3044.9999999999995</v>
      </c>
      <c r="N5" s="15"/>
      <c r="O5" s="16" t="s">
        <v>137</v>
      </c>
      <c r="P5" s="17">
        <f>M5*0.01</f>
        <v>30.449999999999996</v>
      </c>
      <c r="Q5" s="18"/>
      <c r="R5" s="17">
        <f>M5+P5-Q5</f>
        <v>3075.4499999999994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3044.9999999999995</v>
      </c>
      <c r="N6" s="38">
        <f>M6</f>
        <v>3044.9999999999995</v>
      </c>
      <c r="O6" s="39" t="s">
        <v>137</v>
      </c>
      <c r="P6" s="38">
        <f>SUM(P5:P5)</f>
        <v>30.449999999999996</v>
      </c>
      <c r="Q6" s="38"/>
      <c r="R6" s="38">
        <f>SUM(R5:R5)</f>
        <v>3075.4499999999994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CORDOVA SEAFOODS ATBP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3075.4499999999994</v>
      </c>
      <c r="E10" s="74"/>
      <c r="F10" s="75" t="str">
        <f>"In payment for 8.7kg of pork spareribs for function using housefund received on " &amp; TEXT(A5, "mmmm dd, yyyy") &amp; " with SI#54823 PR#30518 RR#50175" &amp; " CPO#" &amp;B5</f>
        <v>In payment for 8.7kg of pork spareribs for function using housefund received on August 09, 2025 with SI#54823 PR#30518 RR#50175 CPO#18983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09,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30.449999999999996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09,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3044.9999999999995</v>
      </c>
      <c r="F13" s="89" t="str">
        <f>"Recording house fund expenses for replenishment on " &amp; TEXT(A5, "mmmm dd, yyyy")</f>
        <v>Recording house fund expenses for replenishment on August 09,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3075.4499999999994</v>
      </c>
      <c r="E14" s="88">
        <f>SUM(E10:E13)</f>
        <v>3075.4499999999994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09, 2025 with PCV#20920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D5D9E-D788-4EF8-9CB4-E2C5D40723F9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17.28515625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45883</v>
      </c>
      <c r="B5" s="3" t="s">
        <v>304</v>
      </c>
      <c r="C5" s="4" t="s">
        <v>556</v>
      </c>
      <c r="D5" s="5" t="s">
        <v>305</v>
      </c>
      <c r="E5" s="6" t="s">
        <v>306</v>
      </c>
      <c r="F5" s="7" t="s">
        <v>307</v>
      </c>
      <c r="G5" s="8" t="s">
        <v>308</v>
      </c>
      <c r="H5" s="9">
        <v>1000000000046270</v>
      </c>
      <c r="I5" s="10"/>
      <c r="J5" s="11"/>
      <c r="K5" s="12">
        <v>1</v>
      </c>
      <c r="L5" s="13">
        <v>2000</v>
      </c>
      <c r="M5" s="14">
        <f t="shared" ref="M5" si="0">L5*K5</f>
        <v>2000</v>
      </c>
      <c r="N5" s="15"/>
      <c r="O5" s="16" t="s">
        <v>111</v>
      </c>
      <c r="P5" s="17">
        <f>M5/1.12*0.02</f>
        <v>35.714285714285715</v>
      </c>
      <c r="Q5" s="18">
        <f>M5/1.12*0.12</f>
        <v>214.28571428571425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7">
        <f>M5+P5-Q5</f>
        <v>1821.4285714285716</v>
      </c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2000</v>
      </c>
      <c r="N6" s="38">
        <f>M6</f>
        <v>2000</v>
      </c>
      <c r="O6" s="39" t="s">
        <v>111</v>
      </c>
      <c r="P6" s="38">
        <f>SUM(P5:P5)</f>
        <v>35.714285714285715</v>
      </c>
      <c r="Q6" s="38">
        <f>SUM(Q5:Q5)</f>
        <v>214.28571428571425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>SUM(AK5:AK5)</f>
        <v>1821.4285714285716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TOYOTA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309</v>
      </c>
      <c r="B10" s="71"/>
      <c r="C10" s="72"/>
      <c r="D10" s="73">
        <f>AK6</f>
        <v>1821.4285714285716</v>
      </c>
      <c r="E10" s="74"/>
      <c r="F10" s="75" t="str">
        <f>"In payment for repair and maintenance for vehicle using housefund received on " &amp; TEXT(A5, "mmmm dd, yyyy") &amp; " with SI#1000000000046270" &amp; " CPO#" &amp;B5</f>
        <v>In payment for repair and maintenance for vehicle using housefund received on August 14, 2025 with SI#1000000000046270 CPO#18984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214.28571428571425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14,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35.714285714285715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14,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2000</v>
      </c>
      <c r="F13" s="89" t="str">
        <f>"Recording house fund expenses for replenishment on " &amp; TEXT(A5, "mmmm dd, yyyy")</f>
        <v>Recording house fund expenses for replenishment on August 14,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2035.7142857142858</v>
      </c>
      <c r="E14" s="88">
        <f>SUM(E10:E13)</f>
        <v>2035.7142857142858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14, 2025 with PCV#20921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B3FC5-CC4E-4239-BA35-A9B6D86BE75A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45883</v>
      </c>
      <c r="B5" s="3" t="s">
        <v>314</v>
      </c>
      <c r="C5" s="4" t="s">
        <v>557</v>
      </c>
      <c r="D5" s="5" t="s">
        <v>315</v>
      </c>
      <c r="E5" s="6" t="s">
        <v>316</v>
      </c>
      <c r="F5" s="7" t="s">
        <v>229</v>
      </c>
      <c r="G5" s="8" t="s">
        <v>149</v>
      </c>
      <c r="H5" s="9">
        <v>267192</v>
      </c>
      <c r="I5" s="10" t="s">
        <v>464</v>
      </c>
      <c r="J5" s="11" t="s">
        <v>317</v>
      </c>
      <c r="K5" s="12">
        <v>6</v>
      </c>
      <c r="L5" s="13">
        <v>546.75</v>
      </c>
      <c r="M5" s="14">
        <f t="shared" ref="M5" si="0">L5*K5</f>
        <v>3280.5</v>
      </c>
      <c r="N5" s="15"/>
      <c r="O5" s="16" t="s">
        <v>111</v>
      </c>
      <c r="P5" s="17">
        <f>M5/1.12*0.01</f>
        <v>29.290178571428569</v>
      </c>
      <c r="Q5" s="18">
        <f>M5/1.12*0.12</f>
        <v>351.48214285714283</v>
      </c>
      <c r="R5" s="17">
        <f>M5+P5-Q5</f>
        <v>2958.3080357142858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3280.5</v>
      </c>
      <c r="N6" s="38">
        <f>M6</f>
        <v>3280.5</v>
      </c>
      <c r="O6" s="39" t="s">
        <v>111</v>
      </c>
      <c r="P6" s="38">
        <f>SUM(P5:P5)</f>
        <v>29.290178571428569</v>
      </c>
      <c r="Q6" s="38">
        <f>SUM(Q5:Q5)</f>
        <v>351.48214285714283</v>
      </c>
      <c r="R6" s="38">
        <f>SUM(R5:R5)</f>
        <v>2958.3080357142858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METRO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2958.3080357142858</v>
      </c>
      <c r="E10" s="74"/>
      <c r="F10" s="75" t="str">
        <f>"In payment for 6 packs of batangas brewed coffee using housefund received on " &amp; TEXT(A5, "mmmm dd, yyyy") &amp; " with SI#267192 PR#30537 RR#" &amp; " CPO#" &amp;B5</f>
        <v>In payment for 6 packs of batangas brewed coffee using housefund received on August 14, 2025 with SI#267192 PR#30537 RR# CPO#18985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351.48214285714283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14,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29.290178571428569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14,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3280.5</v>
      </c>
      <c r="F13" s="89" t="str">
        <f>"Recording house fund expenses for replenishment on " &amp; TEXT(A5, "mmmm dd, yyyy")</f>
        <v>Recording house fund expenses for replenishment on August 14,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3309.7901785714284</v>
      </c>
      <c r="E14" s="88">
        <f>SUM(E10:E13)</f>
        <v>3309.7901785714284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14, 2025 with PCV#20922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E72D0-C0F9-43B6-BECF-B31572927AF2}">
  <sheetPr>
    <tabColor rgb="FFFF0066"/>
  </sheetPr>
  <dimension ref="A1:CY16"/>
  <sheetViews>
    <sheetView workbookViewId="0">
      <selection activeCell="A5" sqref="A5:XFD7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45883</v>
      </c>
      <c r="B5" s="3" t="s">
        <v>465</v>
      </c>
      <c r="C5" s="4" t="s">
        <v>558</v>
      </c>
      <c r="D5" s="5" t="s">
        <v>466</v>
      </c>
      <c r="E5" s="6" t="s">
        <v>455</v>
      </c>
      <c r="F5" s="7" t="s">
        <v>467</v>
      </c>
      <c r="G5" s="8" t="s">
        <v>457</v>
      </c>
      <c r="H5" s="9">
        <v>54670</v>
      </c>
      <c r="I5" s="10" t="s">
        <v>468</v>
      </c>
      <c r="J5" s="11" t="s">
        <v>469</v>
      </c>
      <c r="K5" s="12">
        <v>6.5</v>
      </c>
      <c r="L5" s="13">
        <v>350</v>
      </c>
      <c r="M5" s="14">
        <f t="shared" ref="M5:M6" si="0">L5*K5</f>
        <v>2275</v>
      </c>
      <c r="N5" s="15"/>
      <c r="O5" s="16" t="s">
        <v>137</v>
      </c>
      <c r="P5" s="17">
        <f>M5*0.01</f>
        <v>22.75</v>
      </c>
      <c r="Q5" s="18"/>
      <c r="R5" s="17">
        <f>M5+P5-Q5</f>
        <v>2297.75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470</v>
      </c>
      <c r="K6" s="12">
        <v>10.45</v>
      </c>
      <c r="L6" s="13">
        <v>380</v>
      </c>
      <c r="M6" s="14">
        <f t="shared" si="0"/>
        <v>3970.9999999999995</v>
      </c>
      <c r="N6" s="15"/>
      <c r="O6" s="16" t="s">
        <v>137</v>
      </c>
      <c r="P6" s="17">
        <f>M6*0.01</f>
        <v>39.709999999999994</v>
      </c>
      <c r="Q6" s="18"/>
      <c r="R6" s="17">
        <f t="shared" ref="R6" si="1">M6+P6-Q6</f>
        <v>4010.7099999999996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30" customFormat="1" ht="11.25" x14ac:dyDescent="0.2">
      <c r="A7" s="27"/>
      <c r="B7" s="28"/>
      <c r="C7" s="29"/>
      <c r="E7" s="31"/>
      <c r="F7" s="32"/>
      <c r="G7" s="33"/>
      <c r="H7" s="34"/>
      <c r="I7" s="34"/>
      <c r="J7" s="35"/>
      <c r="K7" s="36"/>
      <c r="L7" s="37"/>
      <c r="M7" s="38">
        <f>SUM(M5:M6)</f>
        <v>6246</v>
      </c>
      <c r="N7" s="38">
        <f>M7</f>
        <v>6246</v>
      </c>
      <c r="O7" s="39" t="s">
        <v>137</v>
      </c>
      <c r="P7" s="38">
        <f>SUM(P5:P6)</f>
        <v>62.459999999999994</v>
      </c>
      <c r="Q7" s="38"/>
      <c r="R7" s="38">
        <f>SUM(R5:R6)</f>
        <v>6308.4599999999991</v>
      </c>
      <c r="S7" s="38">
        <f t="shared" ref="S7:AD7" si="2">SUM(S5:S5)</f>
        <v>0</v>
      </c>
      <c r="T7" s="38">
        <f t="shared" si="2"/>
        <v>0</v>
      </c>
      <c r="U7" s="38">
        <f t="shared" si="2"/>
        <v>0</v>
      </c>
      <c r="V7" s="38">
        <f t="shared" si="2"/>
        <v>0</v>
      </c>
      <c r="W7" s="38">
        <f t="shared" si="2"/>
        <v>0</v>
      </c>
      <c r="X7" s="38">
        <f t="shared" si="2"/>
        <v>0</v>
      </c>
      <c r="Y7" s="38">
        <f t="shared" si="2"/>
        <v>0</v>
      </c>
      <c r="Z7" s="38">
        <f t="shared" si="2"/>
        <v>0</v>
      </c>
      <c r="AA7" s="38">
        <f t="shared" si="2"/>
        <v>0</v>
      </c>
      <c r="AB7" s="38">
        <f t="shared" si="2"/>
        <v>0</v>
      </c>
      <c r="AC7" s="38">
        <f t="shared" si="2"/>
        <v>0</v>
      </c>
      <c r="AD7" s="38">
        <f t="shared" si="2"/>
        <v>0</v>
      </c>
      <c r="AF7" s="38">
        <f>SUM(AF5:AF5)</f>
        <v>0</v>
      </c>
      <c r="AH7" s="38">
        <f t="shared" ref="AH7:AZ7" si="3">SUM(AH5:AH5)</f>
        <v>0</v>
      </c>
      <c r="AI7" s="38">
        <f t="shared" si="3"/>
        <v>0</v>
      </c>
      <c r="AJ7" s="38">
        <f t="shared" si="3"/>
        <v>0</v>
      </c>
      <c r="AK7" s="38">
        <f t="shared" si="3"/>
        <v>0</v>
      </c>
      <c r="AL7" s="38">
        <f t="shared" si="3"/>
        <v>0</v>
      </c>
      <c r="AM7" s="38">
        <f t="shared" si="3"/>
        <v>0</v>
      </c>
      <c r="AN7" s="38">
        <f t="shared" si="3"/>
        <v>0</v>
      </c>
      <c r="AO7" s="38">
        <f t="shared" si="3"/>
        <v>0</v>
      </c>
      <c r="AP7" s="38">
        <f t="shared" si="3"/>
        <v>0</v>
      </c>
      <c r="AQ7" s="38">
        <f t="shared" si="3"/>
        <v>0</v>
      </c>
      <c r="AR7" s="38">
        <f t="shared" si="3"/>
        <v>0</v>
      </c>
      <c r="AS7" s="38">
        <f t="shared" si="3"/>
        <v>0</v>
      </c>
      <c r="AT7" s="38">
        <f t="shared" si="3"/>
        <v>0</v>
      </c>
      <c r="AU7" s="38">
        <f t="shared" si="3"/>
        <v>0</v>
      </c>
      <c r="AV7" s="38">
        <f t="shared" si="3"/>
        <v>0</v>
      </c>
      <c r="AW7" s="38">
        <f t="shared" si="3"/>
        <v>0</v>
      </c>
      <c r="AX7" s="38">
        <f t="shared" si="3"/>
        <v>0</v>
      </c>
      <c r="AY7" s="38">
        <f t="shared" si="3"/>
        <v>0</v>
      </c>
      <c r="AZ7" s="38">
        <f t="shared" si="3"/>
        <v>0</v>
      </c>
      <c r="BB7" s="38">
        <f t="shared" ref="BB7:CV7" si="4">SUM(BB5:BB5)</f>
        <v>0</v>
      </c>
      <c r="BC7" s="38">
        <f t="shared" si="4"/>
        <v>0</v>
      </c>
      <c r="BD7" s="38">
        <f t="shared" si="4"/>
        <v>0</v>
      </c>
      <c r="BE7" s="38">
        <f t="shared" si="4"/>
        <v>0</v>
      </c>
      <c r="BF7" s="38">
        <f t="shared" si="4"/>
        <v>0</v>
      </c>
      <c r="BG7" s="38">
        <f t="shared" si="4"/>
        <v>0</v>
      </c>
      <c r="BH7" s="38">
        <f t="shared" si="4"/>
        <v>0</v>
      </c>
      <c r="BI7" s="38">
        <f t="shared" si="4"/>
        <v>0</v>
      </c>
      <c r="BJ7" s="38">
        <f t="shared" si="4"/>
        <v>0</v>
      </c>
      <c r="BK7" s="38">
        <f t="shared" si="4"/>
        <v>0</v>
      </c>
      <c r="BL7" s="38">
        <f t="shared" si="4"/>
        <v>0</v>
      </c>
      <c r="BM7" s="38">
        <f t="shared" si="4"/>
        <v>0</v>
      </c>
      <c r="BN7" s="38">
        <f t="shared" si="4"/>
        <v>0</v>
      </c>
      <c r="BO7" s="38">
        <f t="shared" si="4"/>
        <v>0</v>
      </c>
      <c r="BP7" s="38">
        <f t="shared" si="4"/>
        <v>0</v>
      </c>
      <c r="BQ7" s="38">
        <f t="shared" si="4"/>
        <v>0</v>
      </c>
      <c r="BR7" s="38">
        <f t="shared" si="4"/>
        <v>0</v>
      </c>
      <c r="BS7" s="38">
        <f t="shared" si="4"/>
        <v>0</v>
      </c>
      <c r="BT7" s="38">
        <f t="shared" si="4"/>
        <v>0</v>
      </c>
      <c r="BU7" s="38">
        <f t="shared" si="4"/>
        <v>0</v>
      </c>
      <c r="BV7" s="38">
        <f t="shared" si="4"/>
        <v>0</v>
      </c>
      <c r="BW7" s="38">
        <f t="shared" si="4"/>
        <v>0</v>
      </c>
      <c r="BX7" s="38">
        <f t="shared" si="4"/>
        <v>0</v>
      </c>
      <c r="BY7" s="38">
        <f t="shared" si="4"/>
        <v>0</v>
      </c>
      <c r="BZ7" s="38">
        <f t="shared" si="4"/>
        <v>0</v>
      </c>
      <c r="CA7" s="38">
        <f t="shared" si="4"/>
        <v>0</v>
      </c>
      <c r="CB7" s="38">
        <f t="shared" si="4"/>
        <v>0</v>
      </c>
      <c r="CC7" s="38">
        <f t="shared" si="4"/>
        <v>0</v>
      </c>
      <c r="CD7" s="38">
        <f t="shared" si="4"/>
        <v>0</v>
      </c>
      <c r="CE7" s="38">
        <f t="shared" si="4"/>
        <v>0</v>
      </c>
      <c r="CF7" s="38">
        <f t="shared" si="4"/>
        <v>0</v>
      </c>
      <c r="CG7" s="38">
        <f t="shared" si="4"/>
        <v>0</v>
      </c>
      <c r="CH7" s="38">
        <f t="shared" si="4"/>
        <v>0</v>
      </c>
      <c r="CI7" s="38">
        <f t="shared" si="4"/>
        <v>0</v>
      </c>
      <c r="CJ7" s="38">
        <f t="shared" si="4"/>
        <v>0</v>
      </c>
      <c r="CK7" s="38">
        <f t="shared" si="4"/>
        <v>0</v>
      </c>
      <c r="CL7" s="38">
        <f t="shared" si="4"/>
        <v>0</v>
      </c>
      <c r="CM7" s="38">
        <f t="shared" si="4"/>
        <v>0</v>
      </c>
      <c r="CN7" s="38">
        <f t="shared" si="4"/>
        <v>0</v>
      </c>
      <c r="CO7" s="38">
        <f t="shared" si="4"/>
        <v>0</v>
      </c>
      <c r="CP7" s="38">
        <f t="shared" si="4"/>
        <v>0</v>
      </c>
      <c r="CQ7" s="38">
        <f t="shared" si="4"/>
        <v>0</v>
      </c>
      <c r="CR7" s="38">
        <f t="shared" si="4"/>
        <v>0</v>
      </c>
      <c r="CS7" s="38">
        <f t="shared" si="4"/>
        <v>0</v>
      </c>
      <c r="CT7" s="38">
        <f t="shared" si="4"/>
        <v>0</v>
      </c>
      <c r="CU7" s="38">
        <f t="shared" si="4"/>
        <v>0</v>
      </c>
      <c r="CV7" s="38">
        <f t="shared" si="4"/>
        <v>0</v>
      </c>
      <c r="CW7" s="40"/>
    </row>
    <row r="8" spans="1:103" customFormat="1" ht="15" x14ac:dyDescent="0.25"/>
    <row r="9" spans="1:103" customFormat="1" ht="15" x14ac:dyDescent="0.25">
      <c r="A9" s="41" t="str">
        <f>E5</f>
        <v>CORDOVA SEAFOODS ATBP</v>
      </c>
      <c r="B9" s="42"/>
      <c r="C9" s="43"/>
      <c r="D9" s="44"/>
      <c r="E9" s="44"/>
      <c r="F9" s="45"/>
      <c r="G9" s="46"/>
      <c r="H9" s="47"/>
      <c r="I9" s="48"/>
      <c r="J9" s="49"/>
      <c r="K9" s="50"/>
      <c r="L9" s="51"/>
      <c r="M9" s="52"/>
      <c r="N9" s="53"/>
      <c r="O9" s="54"/>
      <c r="P9" s="55"/>
    </row>
    <row r="10" spans="1:103" customFormat="1" ht="15" x14ac:dyDescent="0.25">
      <c r="A10" s="56"/>
      <c r="B10" s="57"/>
      <c r="C10" s="58"/>
      <c r="D10" s="59" t="s">
        <v>112</v>
      </c>
      <c r="E10" s="59" t="s">
        <v>113</v>
      </c>
      <c r="F10" s="60" t="s">
        <v>114</v>
      </c>
      <c r="G10" s="61"/>
      <c r="H10" s="62"/>
      <c r="I10" s="63"/>
      <c r="J10" s="64"/>
      <c r="K10" s="1"/>
      <c r="L10" s="65"/>
      <c r="M10" s="66"/>
      <c r="N10" s="67"/>
      <c r="O10" s="68"/>
      <c r="P10" s="69"/>
    </row>
    <row r="11" spans="1:103" customFormat="1" ht="13.5" customHeight="1" x14ac:dyDescent="0.25">
      <c r="A11" s="70" t="s">
        <v>151</v>
      </c>
      <c r="B11" s="71"/>
      <c r="C11" s="72"/>
      <c r="D11" s="73">
        <f>R7</f>
        <v>6308.4599999999991</v>
      </c>
      <c r="E11" s="74"/>
      <c r="F11" s="75" t="str">
        <f>"In payment for 6.5kg of pork spare ribs and 10.45kg of bangus boneless for function using housefund received on " &amp; TEXT(A5, "mmmm dd, yyyy") &amp; " with SI#54670 PR#30536 RR#50215" &amp; " CPO#" &amp;B5</f>
        <v>In payment for 6.5kg of pork spare ribs and 10.45kg of bangus boneless for function using housefund received on August 14, 2025 with SI#54670 PR#30536 RR#50215 CPO#18986</v>
      </c>
      <c r="G11" s="76"/>
      <c r="H11" s="77"/>
      <c r="I11" s="77"/>
      <c r="J11" s="76"/>
      <c r="K11" s="1"/>
      <c r="L11" s="65"/>
      <c r="M11" s="78"/>
      <c r="N11" s="79"/>
      <c r="O11" s="80"/>
      <c r="P11" s="81"/>
    </row>
    <row r="12" spans="1:103" customFormat="1" ht="15" x14ac:dyDescent="0.25">
      <c r="A12" s="70" t="s">
        <v>115</v>
      </c>
      <c r="B12" s="71"/>
      <c r="C12" s="72"/>
      <c r="D12" s="73">
        <f>Q7</f>
        <v>0</v>
      </c>
      <c r="E12" s="74"/>
      <c r="F12" s="64" t="str">
        <f>"Recording input VAT for expenses and purchases made using house fund for " &amp; TEXT(A5, "mmmm dd, yyyy")</f>
        <v>Recording input VAT for expenses and purchases made using house fund for August 14,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85" t="s">
        <v>116</v>
      </c>
      <c r="B13" s="86"/>
      <c r="C13" s="87"/>
      <c r="D13" s="88"/>
      <c r="E13" s="74">
        <f>P7</f>
        <v>62.459999999999994</v>
      </c>
      <c r="F13" s="89" t="str">
        <f>"Recording the tax withheld for expenses and purchases using the house fund received on " &amp; TEXT(A5, "mmmm dd, yyyy")</f>
        <v>Recording the tax withheld for expenses and purchases using the house fund received on August 14,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70" t="s">
        <v>117</v>
      </c>
      <c r="B14" s="86"/>
      <c r="C14" s="87"/>
      <c r="D14" s="90"/>
      <c r="E14" s="91">
        <f>M7</f>
        <v>6246</v>
      </c>
      <c r="F14" s="89" t="str">
        <f>"Recording house fund expenses for replenishment on " &amp; TEXT(A5, "mmmm dd, yyyy")</f>
        <v>Recording house fund expenses for replenishment on August 14,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85"/>
      <c r="B15" s="86"/>
      <c r="C15" s="87"/>
      <c r="D15" s="88">
        <f>SUM(D11:D12)</f>
        <v>6308.4599999999991</v>
      </c>
      <c r="E15" s="88">
        <f>SUM(E11:E14)</f>
        <v>6308.46</v>
      </c>
      <c r="F15" s="92"/>
      <c r="G15" s="92"/>
      <c r="H15" s="93"/>
      <c r="I15" s="94"/>
      <c r="J15" s="92"/>
      <c r="K15" s="1"/>
      <c r="L15" s="65"/>
      <c r="M15" s="66"/>
      <c r="N15" s="67"/>
      <c r="O15" s="68"/>
      <c r="P15" s="69"/>
    </row>
    <row r="16" spans="1:103" customFormat="1" ht="15" x14ac:dyDescent="0.25">
      <c r="A16" s="95" t="s">
        <v>118</v>
      </c>
      <c r="B16" s="96" t="str">
        <f>"To record house fund expenses on " &amp; TEXT(A5, "mmmm dd, yyyy") &amp; " with PCV#" &amp; C5</f>
        <v>To record house fund expenses on August 14, 2025 with PCV#20923</v>
      </c>
      <c r="C16" s="97"/>
      <c r="D16" s="98"/>
      <c r="E16" s="98"/>
      <c r="F16" s="98"/>
      <c r="G16" s="92"/>
      <c r="H16" s="93"/>
      <c r="I16" s="94"/>
      <c r="J16" s="92"/>
      <c r="K16" s="1"/>
      <c r="L16" s="65"/>
      <c r="M16" s="66"/>
      <c r="N16" s="67"/>
      <c r="O16" s="68"/>
      <c r="P16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02EAD-C54E-4462-B5EA-779E27C4BC61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45883</v>
      </c>
      <c r="B5" s="3" t="s">
        <v>322</v>
      </c>
      <c r="C5" s="4" t="s">
        <v>559</v>
      </c>
      <c r="D5" s="5" t="s">
        <v>323</v>
      </c>
      <c r="E5" s="6" t="s">
        <v>324</v>
      </c>
      <c r="F5" s="7"/>
      <c r="G5" s="8" t="s">
        <v>325</v>
      </c>
      <c r="H5" s="9">
        <v>259360</v>
      </c>
      <c r="I5" s="10"/>
      <c r="J5" s="11" t="s">
        <v>226</v>
      </c>
      <c r="K5" s="12">
        <v>1</v>
      </c>
      <c r="L5" s="13">
        <v>500</v>
      </c>
      <c r="M5" s="14">
        <f t="shared" ref="M5" si="0">L5*K5</f>
        <v>500</v>
      </c>
      <c r="N5" s="15"/>
      <c r="O5" s="16" t="s">
        <v>111</v>
      </c>
      <c r="P5" s="17">
        <f>M5/1.12*0.01</f>
        <v>4.4642857142857144</v>
      </c>
      <c r="Q5" s="18">
        <f>M5/1.12*0.12</f>
        <v>53.571428571428562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B5" s="17">
        <f>M5+P5-Q5</f>
        <v>450.89285714285717</v>
      </c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500</v>
      </c>
      <c r="N6" s="38">
        <f>M6</f>
        <v>500</v>
      </c>
      <c r="O6" s="39" t="s">
        <v>111</v>
      </c>
      <c r="P6" s="38">
        <f>SUM(P5:P5)</f>
        <v>4.4642857142857144</v>
      </c>
      <c r="Q6" s="38">
        <f>SUM(Q5:Q5)</f>
        <v>53.571428571428562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>SUM(BB5:BB5)</f>
        <v>450.89285714285717</v>
      </c>
      <c r="BC6" s="38">
        <f t="shared" ref="BC6:CV6" si="3">SUM(BC5:BC5)</f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GOLDEN ARCHES DEVELOPMENT CORPORATION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227</v>
      </c>
      <c r="B10" s="71"/>
      <c r="C10" s="72"/>
      <c r="D10" s="73">
        <f>BB6</f>
        <v>450.89285714285717</v>
      </c>
      <c r="E10" s="74"/>
      <c r="F10" s="75" t="str">
        <f>"In payment for employees meal for meal allowance in WTE using housefund received on " &amp; TEXT(A5, "mmmm dd, yyyy") &amp; " with SI#259360" &amp; " CPO#" &amp;B5</f>
        <v>In payment for employees meal for meal allowance in WTE using housefund received on August 14, 2025 with SI#259360 CPO#18989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53.571428571428562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14,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4.4642857142857144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14,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500</v>
      </c>
      <c r="F13" s="89" t="str">
        <f>"Recording house fund expenses for replenishment on " &amp; TEXT(A5, "mmmm dd, yyyy")</f>
        <v>Recording house fund expenses for replenishment on August 14,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504.46428571428572</v>
      </c>
      <c r="E14" s="88">
        <f>SUM(E10:E13)</f>
        <v>504.46428571428572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14, 2025 with PCV#20924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E8540-87F9-43DB-B15F-ADB9AF1AC459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45884</v>
      </c>
      <c r="B5" s="3" t="s">
        <v>322</v>
      </c>
      <c r="C5" s="4" t="s">
        <v>560</v>
      </c>
      <c r="D5" s="5" t="s">
        <v>323</v>
      </c>
      <c r="E5" s="6" t="s">
        <v>327</v>
      </c>
      <c r="F5" s="7"/>
      <c r="G5" s="8"/>
      <c r="H5" s="9" t="s">
        <v>326</v>
      </c>
      <c r="I5" s="10"/>
      <c r="J5" s="11" t="s">
        <v>226</v>
      </c>
      <c r="K5" s="12">
        <v>1</v>
      </c>
      <c r="L5" s="13">
        <v>716</v>
      </c>
      <c r="M5" s="14">
        <f t="shared" ref="M5" si="0">L5*K5</f>
        <v>716</v>
      </c>
      <c r="N5" s="15"/>
      <c r="O5" s="16" t="s">
        <v>137</v>
      </c>
      <c r="P5" s="17"/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B5" s="17">
        <f>M5+P5-Q5</f>
        <v>716</v>
      </c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716</v>
      </c>
      <c r="N6" s="38">
        <f>M6</f>
        <v>716</v>
      </c>
      <c r="O6" s="39" t="s">
        <v>137</v>
      </c>
      <c r="P6" s="38"/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>SUM(BB5:BB5)</f>
        <v>716</v>
      </c>
      <c r="BC6" s="38">
        <f t="shared" ref="BC6:CV6" si="3">SUM(BC5:BC5)</f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FOOD PANDA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227</v>
      </c>
      <c r="B10" s="71"/>
      <c r="C10" s="72"/>
      <c r="D10" s="73">
        <f>BB6</f>
        <v>716</v>
      </c>
      <c r="E10" s="74"/>
      <c r="F10" s="75" t="str">
        <f>"In payment for employees meal for meal allowance in WTE using housefund received on " &amp; TEXT(A5, "mmmm dd, yyyy") &amp; " with SI#A-88BT9JDWWT7QAV, #a4lb-2533-3sdw" &amp; " CPO#" &amp;B5</f>
        <v>In payment for employees meal for meal allowance in WTE using housefund received on August 15, 2025 with SI#A-88BT9JDWWT7QAV, #a4lb-2533-3sdw CPO#18989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15,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15,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716</v>
      </c>
      <c r="F13" s="89" t="str">
        <f>"Recording house fund expenses for replenishment on " &amp; TEXT(A5, "mmmm dd, yyyy")</f>
        <v>Recording house fund expenses for replenishment on August 15,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716</v>
      </c>
      <c r="E14" s="88">
        <f>SUM(E10:E13)</f>
        <v>716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15, 2025 with PCV#20925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83592-C1A4-4A03-8A2D-10162B3E6580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45883</v>
      </c>
      <c r="B5" s="3" t="s">
        <v>322</v>
      </c>
      <c r="C5" s="4" t="s">
        <v>561</v>
      </c>
      <c r="D5" s="5" t="s">
        <v>323</v>
      </c>
      <c r="E5" s="6" t="s">
        <v>134</v>
      </c>
      <c r="F5" s="7"/>
      <c r="G5" s="8"/>
      <c r="H5" s="9"/>
      <c r="I5" s="10"/>
      <c r="J5" s="11" t="s">
        <v>135</v>
      </c>
      <c r="K5" s="12">
        <v>1</v>
      </c>
      <c r="L5" s="13">
        <v>535</v>
      </c>
      <c r="M5" s="14">
        <f t="shared" ref="M5" si="0">L5*K5</f>
        <v>535</v>
      </c>
      <c r="N5" s="15"/>
      <c r="O5" s="16" t="s">
        <v>137</v>
      </c>
      <c r="P5" s="17"/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>
        <f>M5+P5-Q5</f>
        <v>535</v>
      </c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535</v>
      </c>
      <c r="N6" s="38">
        <f>M6</f>
        <v>535</v>
      </c>
      <c r="O6" s="39" t="s">
        <v>137</v>
      </c>
      <c r="P6" s="38"/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>SUM(BO5:BO5)</f>
        <v>535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MAXIM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233</v>
      </c>
      <c r="B10" s="71"/>
      <c r="C10" s="72"/>
      <c r="D10" s="73">
        <f>BO6</f>
        <v>535</v>
      </c>
      <c r="E10" s="74"/>
      <c r="F10" s="75" t="str">
        <f>"In payment for transportation expense from ayala terraces to vista mar using housefund received on " &amp; TEXT(A5, "mmmm dd, yyyy") &amp; " with" &amp; " CPO#" &amp;B5</f>
        <v>In payment for transportation expense from ayala terraces to vista mar using housefund received on August 14, 2025 with CPO#18989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14,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14,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535</v>
      </c>
      <c r="F13" s="89" t="str">
        <f>"Recording house fund expenses for replenishment on " &amp; TEXT(A5, "mmmm dd, yyyy")</f>
        <v>Recording house fund expenses for replenishment on August 14,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535</v>
      </c>
      <c r="E14" s="88">
        <f>SUM(E10:E13)</f>
        <v>535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14, 2025 with PCV#20926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7805-75F2-4B32-BCF9-04F5D40DC3BB}">
  <sheetPr>
    <tabColor rgb="FFFF0066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45886</v>
      </c>
      <c r="B5" s="3" t="s">
        <v>472</v>
      </c>
      <c r="C5" s="4" t="s">
        <v>563</v>
      </c>
      <c r="D5" s="5" t="s">
        <v>473</v>
      </c>
      <c r="E5" s="6" t="s">
        <v>474</v>
      </c>
      <c r="F5" s="7" t="s">
        <v>475</v>
      </c>
      <c r="G5" s="8" t="s">
        <v>286</v>
      </c>
      <c r="H5" s="9">
        <v>370</v>
      </c>
      <c r="I5" s="10"/>
      <c r="J5" s="11" t="s">
        <v>310</v>
      </c>
      <c r="K5" s="12">
        <v>1</v>
      </c>
      <c r="L5" s="13">
        <v>350</v>
      </c>
      <c r="M5" s="14">
        <f t="shared" ref="M5" si="0">L5*K5</f>
        <v>350</v>
      </c>
      <c r="N5" s="15"/>
      <c r="O5" s="16" t="s">
        <v>137</v>
      </c>
      <c r="P5" s="17">
        <f>M5*0.02</f>
        <v>7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7">
        <f>M5+P5-Q5</f>
        <v>357</v>
      </c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350</v>
      </c>
      <c r="N6" s="38">
        <f>M6</f>
        <v>350</v>
      </c>
      <c r="O6" s="39" t="s">
        <v>137</v>
      </c>
      <c r="P6" s="38">
        <f>SUM(P5:P5)</f>
        <v>7</v>
      </c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Y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>SUM(AZ5:AZ5)</f>
        <v>357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LAUNDRY SERVICES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311</v>
      </c>
      <c r="B10" s="71"/>
      <c r="C10" s="72"/>
      <c r="D10" s="73">
        <f>AZ6</f>
        <v>357</v>
      </c>
      <c r="E10" s="74"/>
      <c r="F10" s="75" t="str">
        <f>"In payment for laundry expense for rooms using housefund received on " &amp; TEXT(A5, "mmmm dd, yyyy") &amp; " with SI#370" &amp; " CPO#" &amp;B5</f>
        <v>In payment for laundry expense for rooms using housefund received on August 17, 2025 with SI#370 CPO#19002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17,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7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17,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350</v>
      </c>
      <c r="F13" s="89" t="str">
        <f>"Recording house fund expenses for replenishment on " &amp; TEXT(A5, "mmmm dd, yyyy")</f>
        <v>Recording house fund expenses for replenishment on August 17,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357</v>
      </c>
      <c r="E14" s="88">
        <f>SUM(E10:E13)</f>
        <v>357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17, 2025 with PCV#20927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6E7C0-935C-4467-A6BD-5229AA0AF651}">
  <sheetPr>
    <tabColor rgb="FFFF0066"/>
  </sheetPr>
  <dimension ref="A1:CY15"/>
  <sheetViews>
    <sheetView workbookViewId="0">
      <selection activeCell="J17" sqref="J17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45886</v>
      </c>
      <c r="B5" s="3" t="s">
        <v>472</v>
      </c>
      <c r="C5" s="4" t="s">
        <v>562</v>
      </c>
      <c r="D5" s="5" t="s">
        <v>473</v>
      </c>
      <c r="E5" s="6" t="s">
        <v>474</v>
      </c>
      <c r="F5" s="7" t="s">
        <v>475</v>
      </c>
      <c r="G5" s="8" t="s">
        <v>286</v>
      </c>
      <c r="H5" s="9">
        <v>371</v>
      </c>
      <c r="I5" s="10"/>
      <c r="J5" s="11" t="s">
        <v>310</v>
      </c>
      <c r="K5" s="12">
        <v>1</v>
      </c>
      <c r="L5" s="13">
        <v>350</v>
      </c>
      <c r="M5" s="14">
        <f>L5*K5</f>
        <v>350</v>
      </c>
      <c r="N5" s="15"/>
      <c r="O5" s="16" t="s">
        <v>137</v>
      </c>
      <c r="P5" s="17">
        <f>M5/1.12*0.02</f>
        <v>6.2499999999999991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7">
        <f>M5+P5-Q5</f>
        <v>356.25</v>
      </c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350</v>
      </c>
      <c r="N6" s="38">
        <f>M6</f>
        <v>350</v>
      </c>
      <c r="O6" s="39" t="s">
        <v>111</v>
      </c>
      <c r="P6" s="38">
        <f>SUM(P5:P5)</f>
        <v>6.2499999999999991</v>
      </c>
      <c r="Q6" s="38"/>
      <c r="S6" s="38">
        <f t="shared" ref="S6:AD6" si="0">SUM(S5:S5)</f>
        <v>0</v>
      </c>
      <c r="T6" s="38">
        <f t="shared" si="0"/>
        <v>0</v>
      </c>
      <c r="U6" s="38">
        <f t="shared" si="0"/>
        <v>0</v>
      </c>
      <c r="V6" s="38">
        <f t="shared" si="0"/>
        <v>0</v>
      </c>
      <c r="W6" s="38">
        <f t="shared" si="0"/>
        <v>0</v>
      </c>
      <c r="X6" s="38">
        <f t="shared" si="0"/>
        <v>0</v>
      </c>
      <c r="Y6" s="38">
        <f t="shared" si="0"/>
        <v>0</v>
      </c>
      <c r="Z6" s="38">
        <f t="shared" si="0"/>
        <v>0</v>
      </c>
      <c r="AA6" s="38">
        <f t="shared" si="0"/>
        <v>0</v>
      </c>
      <c r="AB6" s="38">
        <f t="shared" si="0"/>
        <v>0</v>
      </c>
      <c r="AC6" s="38">
        <f t="shared" si="0"/>
        <v>0</v>
      </c>
      <c r="AD6" s="38">
        <f t="shared" si="0"/>
        <v>0</v>
      </c>
      <c r="AF6" s="38">
        <f>SUM(AF5:AF5)</f>
        <v>0</v>
      </c>
      <c r="AH6" s="38">
        <f t="shared" ref="AH6:AZ6" si="1">SUM(AH5:AH5)</f>
        <v>0</v>
      </c>
      <c r="AI6" s="38">
        <f t="shared" si="1"/>
        <v>0</v>
      </c>
      <c r="AJ6" s="38">
        <f t="shared" si="1"/>
        <v>0</v>
      </c>
      <c r="AK6" s="38">
        <f t="shared" si="1"/>
        <v>0</v>
      </c>
      <c r="AL6" s="38">
        <f t="shared" si="1"/>
        <v>0</v>
      </c>
      <c r="AM6" s="38">
        <f t="shared" si="1"/>
        <v>0</v>
      </c>
      <c r="AN6" s="38">
        <f t="shared" si="1"/>
        <v>0</v>
      </c>
      <c r="AO6" s="38">
        <f t="shared" si="1"/>
        <v>0</v>
      </c>
      <c r="AP6" s="38">
        <f t="shared" si="1"/>
        <v>0</v>
      </c>
      <c r="AQ6" s="38">
        <f t="shared" si="1"/>
        <v>0</v>
      </c>
      <c r="AR6" s="38">
        <f t="shared" si="1"/>
        <v>0</v>
      </c>
      <c r="AS6" s="38">
        <f t="shared" si="1"/>
        <v>0</v>
      </c>
      <c r="AT6" s="38">
        <f t="shared" si="1"/>
        <v>0</v>
      </c>
      <c r="AU6" s="38">
        <f t="shared" si="1"/>
        <v>0</v>
      </c>
      <c r="AV6" s="38">
        <f t="shared" si="1"/>
        <v>0</v>
      </c>
      <c r="AW6" s="38">
        <f t="shared" si="1"/>
        <v>0</v>
      </c>
      <c r="AX6" s="38">
        <f t="shared" si="1"/>
        <v>0</v>
      </c>
      <c r="AY6" s="38">
        <f t="shared" si="1"/>
        <v>0</v>
      </c>
      <c r="AZ6" s="38">
        <f t="shared" si="1"/>
        <v>356.25</v>
      </c>
      <c r="BB6" s="38">
        <f t="shared" ref="BB6:CV6" si="2">SUM(BB5:BB5)</f>
        <v>0</v>
      </c>
      <c r="BC6" s="38">
        <f t="shared" si="2"/>
        <v>0</v>
      </c>
      <c r="BD6" s="38">
        <f t="shared" si="2"/>
        <v>0</v>
      </c>
      <c r="BE6" s="38">
        <f t="shared" si="2"/>
        <v>0</v>
      </c>
      <c r="BF6" s="38">
        <f t="shared" si="2"/>
        <v>0</v>
      </c>
      <c r="BG6" s="38">
        <f t="shared" si="2"/>
        <v>0</v>
      </c>
      <c r="BH6" s="38">
        <f t="shared" si="2"/>
        <v>0</v>
      </c>
      <c r="BI6" s="38">
        <f t="shared" si="2"/>
        <v>0</v>
      </c>
      <c r="BJ6" s="38">
        <f t="shared" si="2"/>
        <v>0</v>
      </c>
      <c r="BK6" s="38">
        <f t="shared" si="2"/>
        <v>0</v>
      </c>
      <c r="BL6" s="38">
        <f t="shared" si="2"/>
        <v>0</v>
      </c>
      <c r="BM6" s="38">
        <f t="shared" si="2"/>
        <v>0</v>
      </c>
      <c r="BN6" s="38">
        <f t="shared" si="2"/>
        <v>0</v>
      </c>
      <c r="BO6" s="38">
        <f t="shared" si="2"/>
        <v>0</v>
      </c>
      <c r="BP6" s="38">
        <f t="shared" si="2"/>
        <v>0</v>
      </c>
      <c r="BQ6" s="38">
        <f t="shared" si="2"/>
        <v>0</v>
      </c>
      <c r="BR6" s="38">
        <f t="shared" si="2"/>
        <v>0</v>
      </c>
      <c r="BS6" s="38">
        <f t="shared" si="2"/>
        <v>0</v>
      </c>
      <c r="BT6" s="38">
        <f t="shared" si="2"/>
        <v>0</v>
      </c>
      <c r="BU6" s="38">
        <f t="shared" si="2"/>
        <v>0</v>
      </c>
      <c r="BV6" s="38">
        <f t="shared" si="2"/>
        <v>0</v>
      </c>
      <c r="BW6" s="38">
        <f t="shared" si="2"/>
        <v>0</v>
      </c>
      <c r="BX6" s="38">
        <f t="shared" si="2"/>
        <v>0</v>
      </c>
      <c r="BY6" s="38">
        <f t="shared" si="2"/>
        <v>0</v>
      </c>
      <c r="BZ6" s="38">
        <f t="shared" si="2"/>
        <v>0</v>
      </c>
      <c r="CA6" s="38">
        <f t="shared" si="2"/>
        <v>0</v>
      </c>
      <c r="CB6" s="38">
        <f t="shared" si="2"/>
        <v>0</v>
      </c>
      <c r="CC6" s="38">
        <f t="shared" si="2"/>
        <v>0</v>
      </c>
      <c r="CD6" s="38">
        <f t="shared" si="2"/>
        <v>0</v>
      </c>
      <c r="CE6" s="38">
        <f t="shared" si="2"/>
        <v>0</v>
      </c>
      <c r="CF6" s="38">
        <f t="shared" si="2"/>
        <v>0</v>
      </c>
      <c r="CG6" s="38">
        <f t="shared" si="2"/>
        <v>0</v>
      </c>
      <c r="CH6" s="38">
        <f t="shared" si="2"/>
        <v>0</v>
      </c>
      <c r="CI6" s="38">
        <f t="shared" si="2"/>
        <v>0</v>
      </c>
      <c r="CJ6" s="38">
        <f t="shared" si="2"/>
        <v>0</v>
      </c>
      <c r="CK6" s="38">
        <f t="shared" si="2"/>
        <v>0</v>
      </c>
      <c r="CL6" s="38">
        <f t="shared" si="2"/>
        <v>0</v>
      </c>
      <c r="CM6" s="38">
        <f t="shared" si="2"/>
        <v>0</v>
      </c>
      <c r="CN6" s="38">
        <f t="shared" si="2"/>
        <v>0</v>
      </c>
      <c r="CO6" s="38">
        <f t="shared" si="2"/>
        <v>0</v>
      </c>
      <c r="CP6" s="38">
        <f t="shared" si="2"/>
        <v>0</v>
      </c>
      <c r="CQ6" s="38">
        <f t="shared" si="2"/>
        <v>0</v>
      </c>
      <c r="CR6" s="38">
        <f t="shared" si="2"/>
        <v>0</v>
      </c>
      <c r="CS6" s="38">
        <f t="shared" si="2"/>
        <v>0</v>
      </c>
      <c r="CT6" s="38">
        <f t="shared" si="2"/>
        <v>0</v>
      </c>
      <c r="CU6" s="38">
        <f t="shared" si="2"/>
        <v>0</v>
      </c>
      <c r="CV6" s="38">
        <f t="shared" si="2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LAUNDRY SERVICES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311</v>
      </c>
      <c r="B10" s="71"/>
      <c r="C10" s="72"/>
      <c r="D10" s="73">
        <f>AZ6</f>
        <v>356.25</v>
      </c>
      <c r="E10" s="74"/>
      <c r="F10" s="75" t="str">
        <f>"In payment for laundry expense for rooms using housefund received on " &amp; TEXT(A5, "mmmm dd, yyyy") &amp; " with SI#371" &amp; " CPO#" &amp;B5</f>
        <v>In payment for laundry expense for rooms using housefund received on August 17, 2025 with SI#371 CPO#19002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17,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6.2499999999999991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17,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350</v>
      </c>
      <c r="F13" s="89" t="str">
        <f>"Recording house fund expenses for replenishment on " &amp; TEXT(A5, "mmmm dd, yyyy")</f>
        <v>Recording house fund expenses for replenishment on August 17,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356.25</v>
      </c>
      <c r="E14" s="88">
        <f>SUM(E10:E13)</f>
        <v>356.25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17, 2025 with PCV#20928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67BBE-D15C-4535-BDEB-01D1A198540D}">
  <sheetPr>
    <tabColor rgb="FF00FF00"/>
  </sheetPr>
  <dimension ref="A1:CY15"/>
  <sheetViews>
    <sheetView workbookViewId="0">
      <selection activeCell="C21" sqref="C21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17.5703125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45882</v>
      </c>
      <c r="B5" s="3" t="s">
        <v>564</v>
      </c>
      <c r="C5" s="4" t="s">
        <v>696</v>
      </c>
      <c r="D5" s="5" t="s">
        <v>565</v>
      </c>
      <c r="E5" s="6" t="s">
        <v>566</v>
      </c>
      <c r="F5" s="7" t="s">
        <v>567</v>
      </c>
      <c r="G5" s="8" t="s">
        <v>695</v>
      </c>
      <c r="H5" s="9">
        <v>2080101542404010</v>
      </c>
      <c r="I5" s="10"/>
      <c r="J5" s="11" t="s">
        <v>568</v>
      </c>
      <c r="K5" s="12">
        <v>1</v>
      </c>
      <c r="L5" s="13">
        <v>2000</v>
      </c>
      <c r="M5" s="14">
        <f t="shared" ref="M5" si="0">L5*K5</f>
        <v>2000</v>
      </c>
      <c r="N5" s="15"/>
      <c r="O5" s="16" t="s">
        <v>111</v>
      </c>
      <c r="P5" s="17">
        <f>M5/1.12*0.02</f>
        <v>35.714285714285715</v>
      </c>
      <c r="Q5" s="18">
        <f>M5/1.12*0.12</f>
        <v>214.28571428571425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>
        <f>M5+P5-Q5</f>
        <v>1821.4285714285716</v>
      </c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2000</v>
      </c>
      <c r="N6" s="38">
        <f>M6</f>
        <v>2000</v>
      </c>
      <c r="O6" s="39" t="s">
        <v>111</v>
      </c>
      <c r="P6" s="38">
        <f>SUM(P5:P5)</f>
        <v>35.714285714285715</v>
      </c>
      <c r="Q6" s="38">
        <f>SUM(Q5:Q5)</f>
        <v>214.28571428571425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Y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>SUM(AZ5:AZ5)</f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>SUM(BQ5:BQ5)</f>
        <v>1821.4285714285716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META PLATFORMS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37</v>
      </c>
      <c r="B10" s="71"/>
      <c r="C10" s="72"/>
      <c r="D10" s="73">
        <f>BQ6</f>
        <v>1821.4285714285716</v>
      </c>
      <c r="E10" s="74"/>
      <c r="F10" s="75" t="str">
        <f>"In payment for using housefund received on " &amp; TEXT(A5, "mmmm dd, yyyy") &amp; " with SI# PR# RR#" &amp; " CPO#" &amp;B5</f>
        <v>In payment for using housefund received on August 13, 2025 with SI# PR# RR# CPO#18979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214.28571428571425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13,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35.714285714285715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13,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2000</v>
      </c>
      <c r="F13" s="89" t="str">
        <f>"Recording house fund expenses for replenishment on " &amp; TEXT(A5, "mmmm dd, yyyy")</f>
        <v>Recording house fund expenses for replenishment on August 13,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2035.7142857142858</v>
      </c>
      <c r="E14" s="88">
        <f>SUM(E10:E13)</f>
        <v>2035.7142857142858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13, 2025 with PCV#20929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B9CA0-D209-42EC-BB0A-8E7EFF4334A6}">
  <sheetPr>
    <tabColor rgb="FF00FF00"/>
  </sheetPr>
  <dimension ref="A1:CY18"/>
  <sheetViews>
    <sheetView workbookViewId="0">
      <selection activeCell="A5" sqref="A5:XFD9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45883</v>
      </c>
      <c r="B5" s="3" t="s">
        <v>640</v>
      </c>
      <c r="C5" s="4" t="s">
        <v>697</v>
      </c>
      <c r="D5" s="5" t="s">
        <v>133</v>
      </c>
      <c r="E5" s="6" t="s">
        <v>641</v>
      </c>
      <c r="F5" s="7" t="s">
        <v>229</v>
      </c>
      <c r="G5" s="8" t="s">
        <v>149</v>
      </c>
      <c r="H5" s="9">
        <v>267006</v>
      </c>
      <c r="I5" s="10" t="s">
        <v>642</v>
      </c>
      <c r="J5" s="11" t="s">
        <v>643</v>
      </c>
      <c r="K5" s="12">
        <v>20</v>
      </c>
      <c r="L5" s="13">
        <v>65</v>
      </c>
      <c r="M5" s="14">
        <f t="shared" ref="M5:M8" si="0">L5*K5</f>
        <v>1300</v>
      </c>
      <c r="N5" s="15"/>
      <c r="O5" s="16" t="s">
        <v>111</v>
      </c>
      <c r="P5" s="17">
        <f>M5/1.12*0.01</f>
        <v>11.607142857142856</v>
      </c>
      <c r="Q5" s="18">
        <f>M5/1.12*0.12</f>
        <v>139.28571428571425</v>
      </c>
      <c r="R5" s="17">
        <f>M5+P5-Q5</f>
        <v>1172.3214285714287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644</v>
      </c>
      <c r="K6" s="12">
        <v>10</v>
      </c>
      <c r="L6" s="13">
        <v>47</v>
      </c>
      <c r="M6" s="14">
        <f t="shared" si="0"/>
        <v>470</v>
      </c>
      <c r="N6" s="15"/>
      <c r="O6" s="16" t="s">
        <v>111</v>
      </c>
      <c r="P6" s="17">
        <f t="shared" ref="P6:P7" si="1">M6/1.12*0.01</f>
        <v>4.1964285714285712</v>
      </c>
      <c r="Q6" s="18">
        <f t="shared" ref="Q6:Q7" si="2">M6/1.12*0.12</f>
        <v>50.357142857142854</v>
      </c>
      <c r="R6" s="17">
        <f t="shared" ref="R6:R8" si="3">M6+P6-Q6</f>
        <v>423.83928571428572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5" customFormat="1" x14ac:dyDescent="0.2">
      <c r="A7" s="2"/>
      <c r="B7" s="3"/>
      <c r="C7" s="4"/>
      <c r="E7" s="6"/>
      <c r="F7" s="7"/>
      <c r="G7" s="8"/>
      <c r="H7" s="9"/>
      <c r="I7" s="10"/>
      <c r="J7" s="11" t="s">
        <v>645</v>
      </c>
      <c r="K7" s="12">
        <v>2</v>
      </c>
      <c r="L7" s="13">
        <v>49.5</v>
      </c>
      <c r="M7" s="14">
        <f t="shared" si="0"/>
        <v>99</v>
      </c>
      <c r="N7" s="15"/>
      <c r="O7" s="16" t="s">
        <v>111</v>
      </c>
      <c r="P7" s="17">
        <f t="shared" si="1"/>
        <v>0.8839285714285714</v>
      </c>
      <c r="Q7" s="18">
        <f t="shared" si="2"/>
        <v>10.607142857142856</v>
      </c>
      <c r="R7" s="17">
        <f t="shared" si="3"/>
        <v>89.276785714285708</v>
      </c>
      <c r="S7" s="19"/>
      <c r="T7" s="19"/>
      <c r="U7" s="19"/>
      <c r="V7" s="19"/>
      <c r="W7" s="17"/>
      <c r="X7" s="20"/>
      <c r="Y7" s="19"/>
      <c r="Z7" s="19"/>
      <c r="AA7" s="19"/>
      <c r="AB7" s="19"/>
      <c r="AC7" s="19"/>
      <c r="AD7" s="19"/>
      <c r="AF7" s="19"/>
      <c r="AH7" s="17"/>
      <c r="AI7" s="19"/>
      <c r="AJ7" s="19"/>
      <c r="AK7" s="19"/>
      <c r="AL7" s="19"/>
      <c r="AM7" s="17"/>
      <c r="AN7" s="19"/>
      <c r="AO7" s="19"/>
      <c r="AP7" s="19"/>
      <c r="AQ7" s="19"/>
      <c r="AR7" s="19"/>
      <c r="AS7" s="21"/>
      <c r="AU7" s="19"/>
      <c r="AW7" s="22"/>
      <c r="AX7" s="19"/>
      <c r="AZ7" s="19"/>
      <c r="BC7" s="19"/>
      <c r="BD7" s="19"/>
      <c r="BE7" s="19"/>
      <c r="BF7" s="19"/>
      <c r="BG7" s="19"/>
      <c r="BH7" s="19"/>
      <c r="BI7" s="19"/>
      <c r="BJ7" s="19"/>
      <c r="BK7" s="13"/>
      <c r="BN7" s="19"/>
      <c r="BO7" s="17"/>
      <c r="BP7" s="19"/>
      <c r="BQ7" s="17"/>
      <c r="BR7" s="19"/>
      <c r="BS7" s="13"/>
      <c r="BU7" s="23"/>
      <c r="BV7" s="23"/>
      <c r="BW7" s="24"/>
      <c r="CA7" s="24"/>
      <c r="CB7" s="24"/>
      <c r="CC7" s="24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25"/>
      <c r="CW7" s="26"/>
    </row>
    <row r="8" spans="1:103" s="5" customFormat="1" x14ac:dyDescent="0.2">
      <c r="A8" s="2"/>
      <c r="B8" s="3"/>
      <c r="C8" s="4"/>
      <c r="E8" s="6"/>
      <c r="F8" s="7"/>
      <c r="G8" s="8"/>
      <c r="H8" s="9"/>
      <c r="I8" s="10"/>
      <c r="J8" s="11" t="s">
        <v>646</v>
      </c>
      <c r="K8" s="12">
        <v>3</v>
      </c>
      <c r="L8" s="13">
        <v>150</v>
      </c>
      <c r="M8" s="14">
        <f t="shared" si="0"/>
        <v>450</v>
      </c>
      <c r="N8" s="15"/>
      <c r="O8" s="16" t="s">
        <v>137</v>
      </c>
      <c r="P8" s="17">
        <f>M8*0.01</f>
        <v>4.5</v>
      </c>
      <c r="Q8" s="18"/>
      <c r="R8" s="17">
        <f t="shared" si="3"/>
        <v>454.5</v>
      </c>
      <c r="S8" s="19"/>
      <c r="T8" s="19"/>
      <c r="U8" s="19"/>
      <c r="V8" s="19"/>
      <c r="W8" s="17"/>
      <c r="X8" s="20"/>
      <c r="Y8" s="19"/>
      <c r="Z8" s="19"/>
      <c r="AA8" s="19"/>
      <c r="AB8" s="19"/>
      <c r="AC8" s="19"/>
      <c r="AD8" s="19"/>
      <c r="AF8" s="19"/>
      <c r="AH8" s="17"/>
      <c r="AI8" s="19"/>
      <c r="AJ8" s="19"/>
      <c r="AK8" s="19"/>
      <c r="AL8" s="19"/>
      <c r="AM8" s="17"/>
      <c r="AN8" s="19"/>
      <c r="AO8" s="19"/>
      <c r="AP8" s="19"/>
      <c r="AQ8" s="19"/>
      <c r="AR8" s="19"/>
      <c r="AS8" s="21"/>
      <c r="AU8" s="19"/>
      <c r="AW8" s="22"/>
      <c r="AX8" s="19"/>
      <c r="AZ8" s="19"/>
      <c r="BC8" s="19"/>
      <c r="BD8" s="19"/>
      <c r="BE8" s="19"/>
      <c r="BF8" s="19"/>
      <c r="BG8" s="19"/>
      <c r="BH8" s="19"/>
      <c r="BI8" s="19"/>
      <c r="BJ8" s="19"/>
      <c r="BK8" s="13"/>
      <c r="BN8" s="19"/>
      <c r="BO8" s="17"/>
      <c r="BP8" s="19"/>
      <c r="BQ8" s="17"/>
      <c r="BR8" s="19"/>
      <c r="BS8" s="13"/>
      <c r="BU8" s="23"/>
      <c r="BV8" s="23"/>
      <c r="BW8" s="24"/>
      <c r="CA8" s="24"/>
      <c r="CB8" s="24"/>
      <c r="CC8" s="24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25"/>
      <c r="CW8" s="26"/>
    </row>
    <row r="9" spans="1:103" s="30" customFormat="1" ht="11.25" x14ac:dyDescent="0.2">
      <c r="A9" s="27"/>
      <c r="B9" s="28"/>
      <c r="C9" s="29"/>
      <c r="E9" s="31"/>
      <c r="F9" s="32"/>
      <c r="G9" s="33"/>
      <c r="H9" s="34"/>
      <c r="I9" s="34"/>
      <c r="J9" s="35"/>
      <c r="K9" s="36"/>
      <c r="L9" s="37"/>
      <c r="M9" s="38">
        <f>SUM(M5:M8)</f>
        <v>2319</v>
      </c>
      <c r="N9" s="38">
        <f>M9</f>
        <v>2319</v>
      </c>
      <c r="O9" s="39" t="s">
        <v>111</v>
      </c>
      <c r="P9" s="38">
        <f>SUM(P5:P8)</f>
        <v>21.1875</v>
      </c>
      <c r="Q9" s="38">
        <f>SUM(Q5:Q8)</f>
        <v>200.24999999999997</v>
      </c>
      <c r="R9" s="38">
        <f>SUM(R5:R8)</f>
        <v>2139.9375</v>
      </c>
      <c r="S9" s="38">
        <f t="shared" ref="S9:AD9" si="4">SUM(S5:S5)</f>
        <v>0</v>
      </c>
      <c r="T9" s="38">
        <f t="shared" si="4"/>
        <v>0</v>
      </c>
      <c r="U9" s="38">
        <f t="shared" si="4"/>
        <v>0</v>
      </c>
      <c r="V9" s="38">
        <f t="shared" si="4"/>
        <v>0</v>
      </c>
      <c r="W9" s="38">
        <f t="shared" si="4"/>
        <v>0</v>
      </c>
      <c r="X9" s="38">
        <f t="shared" si="4"/>
        <v>0</v>
      </c>
      <c r="Y9" s="38">
        <f t="shared" si="4"/>
        <v>0</v>
      </c>
      <c r="Z9" s="38">
        <f t="shared" si="4"/>
        <v>0</v>
      </c>
      <c r="AA9" s="38">
        <f t="shared" si="4"/>
        <v>0</v>
      </c>
      <c r="AB9" s="38">
        <f t="shared" si="4"/>
        <v>0</v>
      </c>
      <c r="AC9" s="38">
        <f t="shared" si="4"/>
        <v>0</v>
      </c>
      <c r="AD9" s="38">
        <f t="shared" si="4"/>
        <v>0</v>
      </c>
      <c r="AF9" s="38">
        <f>SUM(AF5:AF5)</f>
        <v>0</v>
      </c>
      <c r="AH9" s="38">
        <f t="shared" ref="AH9:AZ9" si="5">SUM(AH5:AH5)</f>
        <v>0</v>
      </c>
      <c r="AI9" s="38">
        <f t="shared" si="5"/>
        <v>0</v>
      </c>
      <c r="AJ9" s="38">
        <f t="shared" si="5"/>
        <v>0</v>
      </c>
      <c r="AK9" s="38">
        <f t="shared" si="5"/>
        <v>0</v>
      </c>
      <c r="AL9" s="38">
        <f t="shared" si="5"/>
        <v>0</v>
      </c>
      <c r="AM9" s="38">
        <f t="shared" si="5"/>
        <v>0</v>
      </c>
      <c r="AN9" s="38">
        <f t="shared" si="5"/>
        <v>0</v>
      </c>
      <c r="AO9" s="38">
        <f t="shared" si="5"/>
        <v>0</v>
      </c>
      <c r="AP9" s="38">
        <f t="shared" si="5"/>
        <v>0</v>
      </c>
      <c r="AQ9" s="38">
        <f t="shared" si="5"/>
        <v>0</v>
      </c>
      <c r="AR9" s="38">
        <f t="shared" si="5"/>
        <v>0</v>
      </c>
      <c r="AS9" s="38">
        <f t="shared" si="5"/>
        <v>0</v>
      </c>
      <c r="AT9" s="38">
        <f t="shared" si="5"/>
        <v>0</v>
      </c>
      <c r="AU9" s="38">
        <f t="shared" si="5"/>
        <v>0</v>
      </c>
      <c r="AV9" s="38">
        <f t="shared" si="5"/>
        <v>0</v>
      </c>
      <c r="AW9" s="38">
        <f t="shared" si="5"/>
        <v>0</v>
      </c>
      <c r="AX9" s="38">
        <f t="shared" si="5"/>
        <v>0</v>
      </c>
      <c r="AY9" s="38">
        <f t="shared" si="5"/>
        <v>0</v>
      </c>
      <c r="AZ9" s="38">
        <f t="shared" si="5"/>
        <v>0</v>
      </c>
      <c r="BB9" s="38">
        <f t="shared" ref="BB9:CV9" si="6">SUM(BB5:BB5)</f>
        <v>0</v>
      </c>
      <c r="BC9" s="38">
        <f t="shared" si="6"/>
        <v>0</v>
      </c>
      <c r="BD9" s="38">
        <f t="shared" si="6"/>
        <v>0</v>
      </c>
      <c r="BE9" s="38">
        <f t="shared" si="6"/>
        <v>0</v>
      </c>
      <c r="BF9" s="38">
        <f t="shared" si="6"/>
        <v>0</v>
      </c>
      <c r="BG9" s="38">
        <f t="shared" si="6"/>
        <v>0</v>
      </c>
      <c r="BH9" s="38">
        <f t="shared" si="6"/>
        <v>0</v>
      </c>
      <c r="BI9" s="38">
        <f t="shared" si="6"/>
        <v>0</v>
      </c>
      <c r="BJ9" s="38">
        <f t="shared" si="6"/>
        <v>0</v>
      </c>
      <c r="BK9" s="38">
        <f t="shared" si="6"/>
        <v>0</v>
      </c>
      <c r="BL9" s="38">
        <f t="shared" si="6"/>
        <v>0</v>
      </c>
      <c r="BM9" s="38">
        <f t="shared" si="6"/>
        <v>0</v>
      </c>
      <c r="BN9" s="38">
        <f t="shared" si="6"/>
        <v>0</v>
      </c>
      <c r="BO9" s="38">
        <f t="shared" si="6"/>
        <v>0</v>
      </c>
      <c r="BP9" s="38">
        <f t="shared" si="6"/>
        <v>0</v>
      </c>
      <c r="BQ9" s="38">
        <f t="shared" si="6"/>
        <v>0</v>
      </c>
      <c r="BR9" s="38">
        <f t="shared" si="6"/>
        <v>0</v>
      </c>
      <c r="BS9" s="38">
        <f t="shared" si="6"/>
        <v>0</v>
      </c>
      <c r="BT9" s="38">
        <f t="shared" si="6"/>
        <v>0</v>
      </c>
      <c r="BU9" s="38">
        <f t="shared" si="6"/>
        <v>0</v>
      </c>
      <c r="BV9" s="38">
        <f t="shared" si="6"/>
        <v>0</v>
      </c>
      <c r="BW9" s="38">
        <f t="shared" si="6"/>
        <v>0</v>
      </c>
      <c r="BX9" s="38">
        <f t="shared" si="6"/>
        <v>0</v>
      </c>
      <c r="BY9" s="38">
        <f t="shared" si="6"/>
        <v>0</v>
      </c>
      <c r="BZ9" s="38">
        <f t="shared" si="6"/>
        <v>0</v>
      </c>
      <c r="CA9" s="38">
        <f t="shared" si="6"/>
        <v>0</v>
      </c>
      <c r="CB9" s="38">
        <f t="shared" si="6"/>
        <v>0</v>
      </c>
      <c r="CC9" s="38">
        <f t="shared" si="6"/>
        <v>0</v>
      </c>
      <c r="CD9" s="38">
        <f t="shared" si="6"/>
        <v>0</v>
      </c>
      <c r="CE9" s="38">
        <f t="shared" si="6"/>
        <v>0</v>
      </c>
      <c r="CF9" s="38">
        <f t="shared" si="6"/>
        <v>0</v>
      </c>
      <c r="CG9" s="38">
        <f t="shared" si="6"/>
        <v>0</v>
      </c>
      <c r="CH9" s="38">
        <f t="shared" si="6"/>
        <v>0</v>
      </c>
      <c r="CI9" s="38">
        <f t="shared" si="6"/>
        <v>0</v>
      </c>
      <c r="CJ9" s="38">
        <f t="shared" si="6"/>
        <v>0</v>
      </c>
      <c r="CK9" s="38">
        <f t="shared" si="6"/>
        <v>0</v>
      </c>
      <c r="CL9" s="38">
        <f t="shared" si="6"/>
        <v>0</v>
      </c>
      <c r="CM9" s="38">
        <f t="shared" si="6"/>
        <v>0</v>
      </c>
      <c r="CN9" s="38">
        <f t="shared" si="6"/>
        <v>0</v>
      </c>
      <c r="CO9" s="38">
        <f t="shared" si="6"/>
        <v>0</v>
      </c>
      <c r="CP9" s="38">
        <f t="shared" si="6"/>
        <v>0</v>
      </c>
      <c r="CQ9" s="38">
        <f t="shared" si="6"/>
        <v>0</v>
      </c>
      <c r="CR9" s="38">
        <f t="shared" si="6"/>
        <v>0</v>
      </c>
      <c r="CS9" s="38">
        <f t="shared" si="6"/>
        <v>0</v>
      </c>
      <c r="CT9" s="38">
        <f t="shared" si="6"/>
        <v>0</v>
      </c>
      <c r="CU9" s="38">
        <f t="shared" si="6"/>
        <v>0</v>
      </c>
      <c r="CV9" s="38">
        <f t="shared" si="6"/>
        <v>0</v>
      </c>
      <c r="CW9" s="40"/>
    </row>
    <row r="10" spans="1:103" customFormat="1" ht="15" x14ac:dyDescent="0.25"/>
    <row r="11" spans="1:103" customFormat="1" ht="15" x14ac:dyDescent="0.25">
      <c r="A11" s="41" t="str">
        <f>E5</f>
        <v xml:space="preserve">METRO GAISANO </v>
      </c>
      <c r="B11" s="42"/>
      <c r="C11" s="43"/>
      <c r="D11" s="44"/>
      <c r="E11" s="44"/>
      <c r="F11" s="45"/>
      <c r="G11" s="46"/>
      <c r="H11" s="47"/>
      <c r="I11" s="48"/>
      <c r="J11" s="49"/>
      <c r="K11" s="50"/>
      <c r="L11" s="51"/>
      <c r="M11" s="52"/>
      <c r="N11" s="53"/>
      <c r="O11" s="54"/>
      <c r="P11" s="55"/>
    </row>
    <row r="12" spans="1:103" customFormat="1" ht="15" x14ac:dyDescent="0.25">
      <c r="A12" s="56"/>
      <c r="B12" s="57"/>
      <c r="C12" s="58"/>
      <c r="D12" s="59" t="s">
        <v>112</v>
      </c>
      <c r="E12" s="59" t="s">
        <v>113</v>
      </c>
      <c r="F12" s="60" t="s">
        <v>114</v>
      </c>
      <c r="G12" s="61"/>
      <c r="H12" s="62"/>
      <c r="I12" s="63"/>
      <c r="J12" s="64"/>
      <c r="K12" s="1"/>
      <c r="L12" s="65"/>
      <c r="M12" s="66"/>
      <c r="N12" s="67"/>
      <c r="O12" s="68"/>
      <c r="P12" s="69"/>
    </row>
    <row r="13" spans="1:103" customFormat="1" ht="13.5" customHeight="1" x14ac:dyDescent="0.25">
      <c r="A13" s="70" t="s">
        <v>340</v>
      </c>
      <c r="B13" s="71"/>
      <c r="C13" s="72"/>
      <c r="D13" s="73">
        <f>R9</f>
        <v>2139.9375</v>
      </c>
      <c r="E13" s="74"/>
      <c r="F13" s="75" t="str">
        <f>"In payment for inventory food for function using housefund received on " &amp; TEXT(A5, "mmmm dd, yyyy") &amp; " with SI#267006 PR#30542 RR#50217" &amp; " CPO#" &amp;B5</f>
        <v>In payment for inventory food for function using housefund received on August 14, 2025 with SI#267006 PR#30542 RR#50217 CPO#18991</v>
      </c>
      <c r="G13" s="76"/>
      <c r="H13" s="77"/>
      <c r="I13" s="77"/>
      <c r="J13" s="76"/>
      <c r="K13" s="1"/>
      <c r="L13" s="65"/>
      <c r="M13" s="78"/>
      <c r="N13" s="79"/>
      <c r="O13" s="80"/>
      <c r="P13" s="81"/>
    </row>
    <row r="14" spans="1:103" customFormat="1" ht="15" x14ac:dyDescent="0.25">
      <c r="A14" s="70" t="s">
        <v>115</v>
      </c>
      <c r="B14" s="71"/>
      <c r="C14" s="72"/>
      <c r="D14" s="73">
        <f>Q9</f>
        <v>200.24999999999997</v>
      </c>
      <c r="E14" s="74"/>
      <c r="F14" s="64" t="str">
        <f>"Recording input VAT for expenses and purchases made using house fund for " &amp; TEXT(A5, "mmmm dd, yyyy")</f>
        <v>Recording input VAT for expenses and purchases made using house fund for August 14,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85" t="s">
        <v>116</v>
      </c>
      <c r="B15" s="86"/>
      <c r="C15" s="87"/>
      <c r="D15" s="88"/>
      <c r="E15" s="74">
        <f>P9</f>
        <v>21.1875</v>
      </c>
      <c r="F15" s="89" t="str">
        <f>"Recording the tax withheld for expenses and purchases using the house fund received on " &amp; TEXT(A5, "mmmm dd, yyyy")</f>
        <v>Recording the tax withheld for expenses and purchases using the house fund received on August 14, 2025</v>
      </c>
      <c r="G15" s="82"/>
      <c r="H15" s="83"/>
      <c r="I15" s="84"/>
      <c r="J15" s="82"/>
      <c r="K15" s="1"/>
      <c r="L15" s="65"/>
      <c r="M15" s="66"/>
      <c r="N15" s="67"/>
      <c r="O15" s="68"/>
      <c r="P15" s="69"/>
    </row>
    <row r="16" spans="1:103" customFormat="1" ht="15" x14ac:dyDescent="0.25">
      <c r="A16" s="70" t="s">
        <v>117</v>
      </c>
      <c r="B16" s="86"/>
      <c r="C16" s="87"/>
      <c r="D16" s="90"/>
      <c r="E16" s="91">
        <f>M9</f>
        <v>2319</v>
      </c>
      <c r="F16" s="89" t="str">
        <f>"Recording house fund expenses for replenishment on " &amp; TEXT(A5, "mmmm dd, yyyy")</f>
        <v>Recording house fund expenses for replenishment on August 14, 2025</v>
      </c>
      <c r="G16" s="82"/>
      <c r="H16" s="83"/>
      <c r="I16" s="84"/>
      <c r="J16" s="82"/>
      <c r="K16" s="1"/>
      <c r="L16" s="65"/>
      <c r="M16" s="66"/>
      <c r="N16" s="67"/>
      <c r="O16" s="68"/>
      <c r="P16" s="69"/>
    </row>
    <row r="17" spans="1:16" customFormat="1" ht="15" x14ac:dyDescent="0.25">
      <c r="A17" s="85"/>
      <c r="B17" s="86"/>
      <c r="C17" s="87"/>
      <c r="D17" s="88">
        <f>SUM(D13:D14)</f>
        <v>2340.1875</v>
      </c>
      <c r="E17" s="88">
        <f>SUM(E13:E16)</f>
        <v>2340.1875</v>
      </c>
      <c r="F17" s="92"/>
      <c r="G17" s="92"/>
      <c r="H17" s="93"/>
      <c r="I17" s="94"/>
      <c r="J17" s="92"/>
      <c r="K17" s="1"/>
      <c r="L17" s="65"/>
      <c r="M17" s="66"/>
      <c r="N17" s="67"/>
      <c r="O17" s="68"/>
      <c r="P17" s="69"/>
    </row>
    <row r="18" spans="1:16" customFormat="1" ht="15" x14ac:dyDescent="0.25">
      <c r="A18" s="95" t="s">
        <v>118</v>
      </c>
      <c r="B18" s="96" t="str">
        <f>"To record house fund expenses on " &amp; TEXT(A5, "mmmm dd, yyyy") &amp; " with PCV#" &amp; C5</f>
        <v>To record house fund expenses on August 14, 2025 with PCV#20930</v>
      </c>
      <c r="C18" s="97"/>
      <c r="D18" s="98"/>
      <c r="E18" s="98"/>
      <c r="F18" s="98"/>
      <c r="G18" s="92"/>
      <c r="H18" s="93"/>
      <c r="I18" s="94"/>
      <c r="J18" s="92"/>
      <c r="K18" s="1"/>
      <c r="L18" s="65"/>
      <c r="M18" s="66"/>
      <c r="N18" s="67"/>
      <c r="O18" s="68"/>
      <c r="P18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8085B-35EC-4294-9965-90224D473581}">
  <sheetPr>
    <tabColor rgb="FF00FF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45883</v>
      </c>
      <c r="B5" s="3" t="s">
        <v>640</v>
      </c>
      <c r="C5" s="4" t="s">
        <v>698</v>
      </c>
      <c r="D5" s="5" t="s">
        <v>133</v>
      </c>
      <c r="E5" s="6" t="s">
        <v>650</v>
      </c>
      <c r="F5" s="7"/>
      <c r="G5" s="8"/>
      <c r="H5" s="9"/>
      <c r="I5" s="10" t="s">
        <v>648</v>
      </c>
      <c r="J5" s="11" t="s">
        <v>649</v>
      </c>
      <c r="K5" s="12">
        <v>1.75</v>
      </c>
      <c r="L5" s="13">
        <v>120</v>
      </c>
      <c r="M5" s="14">
        <f t="shared" ref="M5" si="0">L5*K5</f>
        <v>210</v>
      </c>
      <c r="N5" s="15"/>
      <c r="O5" s="16" t="s">
        <v>137</v>
      </c>
      <c r="P5" s="17"/>
      <c r="Q5" s="18"/>
      <c r="R5" s="17">
        <f>M5+P5-Q5</f>
        <v>210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210</v>
      </c>
      <c r="N6" s="38">
        <f>M6</f>
        <v>210</v>
      </c>
      <c r="O6" s="39" t="s">
        <v>137</v>
      </c>
      <c r="P6" s="38"/>
      <c r="Q6" s="38"/>
      <c r="R6" s="38">
        <f>SUM(R5:R5)</f>
        <v>210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CHONY FRUIT STAND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210</v>
      </c>
      <c r="E10" s="74"/>
      <c r="F10" s="75" t="str">
        <f>"In payment for 1.75kg of jack fruit ripe using housefund received on " &amp; TEXT(A5, "mmmm dd, yyyy") &amp; " with PR#30542 RR#50218" &amp; " CPO#" &amp;B5</f>
        <v>In payment for 1.75kg of jack fruit ripe using housefund received on August 14, 2025 with PR#30542 RR#50218 CPO#18991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14,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14,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210</v>
      </c>
      <c r="F13" s="89" t="str">
        <f>"Recording house fund expenses for replenishment on " &amp; TEXT(A5, "mmmm dd, yyyy")</f>
        <v>Recording house fund expenses for replenishment on August 14,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210</v>
      </c>
      <c r="E14" s="88">
        <f>SUM(E10:E13)</f>
        <v>210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14, 2025 with PCV#20931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</mergeCells>
  <pageMargins left="0.7" right="0.7" top="0.75" bottom="0.75" header="0.3" footer="0.3"/>
  <legacy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96AFE-9F7F-4D9F-A855-8314173AA01A}">
  <sheetPr>
    <tabColor rgb="FF00FF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45883</v>
      </c>
      <c r="B5" s="3" t="s">
        <v>640</v>
      </c>
      <c r="C5" s="4" t="s">
        <v>699</v>
      </c>
      <c r="D5" s="5" t="s">
        <v>133</v>
      </c>
      <c r="E5" s="6" t="s">
        <v>266</v>
      </c>
      <c r="F5" s="7"/>
      <c r="G5" s="8"/>
      <c r="H5" s="9"/>
      <c r="I5" s="10"/>
      <c r="J5" s="11" t="s">
        <v>647</v>
      </c>
      <c r="K5" s="12">
        <v>5</v>
      </c>
      <c r="L5" s="13">
        <v>120</v>
      </c>
      <c r="M5" s="14">
        <f t="shared" ref="M5" si="0">L5*K5</f>
        <v>600</v>
      </c>
      <c r="N5" s="15"/>
      <c r="O5" s="16" t="s">
        <v>137</v>
      </c>
      <c r="P5" s="17"/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17">
        <f>M5+P5-Q5</f>
        <v>600</v>
      </c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600</v>
      </c>
      <c r="N6" s="38">
        <f>M6</f>
        <v>600</v>
      </c>
      <c r="O6" s="39" t="s">
        <v>137</v>
      </c>
      <c r="P6" s="38"/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>SUM(AW5:AW5)</f>
        <v>600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MARKET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338</v>
      </c>
      <c r="B10" s="71"/>
      <c r="C10" s="72"/>
      <c r="D10" s="73">
        <f>AW6</f>
        <v>600</v>
      </c>
      <c r="E10" s="74"/>
      <c r="F10" s="75" t="str">
        <f>"In payment for 120pcs of pencils for function using housefund received on " &amp; TEXT(A5, "mmmm dd, yyyy") &amp; " with PR#30542 RR#502227" &amp; " CPO#" &amp;B5</f>
        <v>In payment for 120pcs of pencils for function using housefund received on August 14, 2025 with PR#30542 RR#502227 CPO#18991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14,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14,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600</v>
      </c>
      <c r="F13" s="89" t="str">
        <f>"Recording house fund expenses for replenishment on " &amp; TEXT(A5, "mmmm dd, yyyy")</f>
        <v>Recording house fund expenses for replenishment on August 14,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600</v>
      </c>
      <c r="E14" s="88">
        <f>SUM(E10:E13)</f>
        <v>600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14, 2025 with PCV#20932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</mergeCells>
  <pageMargins left="0.7" right="0.7" top="0.75" bottom="0.75" header="0.3" footer="0.3"/>
  <legacy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C6C3D-AA70-407C-8B6C-530F7E132A06}">
  <sheetPr>
    <tabColor rgb="FF00FF00"/>
  </sheetPr>
  <dimension ref="A1:CY17"/>
  <sheetViews>
    <sheetView workbookViewId="0">
      <selection activeCell="A5" sqref="A5:XFD8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45885</v>
      </c>
      <c r="B5" s="3" t="s">
        <v>318</v>
      </c>
      <c r="C5" s="4" t="s">
        <v>700</v>
      </c>
      <c r="D5" s="5" t="s">
        <v>189</v>
      </c>
      <c r="E5" s="6" t="s">
        <v>578</v>
      </c>
      <c r="F5" s="7" t="s">
        <v>456</v>
      </c>
      <c r="G5" s="8" t="s">
        <v>192</v>
      </c>
      <c r="H5" s="9">
        <v>12093</v>
      </c>
      <c r="I5" s="10" t="s">
        <v>471</v>
      </c>
      <c r="J5" s="11" t="s">
        <v>321</v>
      </c>
      <c r="K5" s="12">
        <v>10</v>
      </c>
      <c r="L5" s="13">
        <v>77.3</v>
      </c>
      <c r="M5" s="14">
        <f t="shared" ref="M5:M7" si="0">L5*K5</f>
        <v>773</v>
      </c>
      <c r="N5" s="15"/>
      <c r="O5" s="16" t="s">
        <v>137</v>
      </c>
      <c r="P5" s="17">
        <f>M5*0.01</f>
        <v>7.73</v>
      </c>
      <c r="Q5" s="18"/>
      <c r="R5" s="17">
        <f>M5+P5-Q5</f>
        <v>780.73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319</v>
      </c>
      <c r="K6" s="12">
        <v>10</v>
      </c>
      <c r="L6" s="13">
        <v>87.25</v>
      </c>
      <c r="M6" s="14">
        <f t="shared" si="0"/>
        <v>872.5</v>
      </c>
      <c r="N6" s="15"/>
      <c r="O6" s="16" t="s">
        <v>137</v>
      </c>
      <c r="P6" s="17">
        <f t="shared" ref="P6:P7" si="1">M6*0.01</f>
        <v>8.7249999999999996</v>
      </c>
      <c r="Q6" s="18"/>
      <c r="R6" s="17">
        <f t="shared" ref="R6:R7" si="2">M6+P6-Q6</f>
        <v>881.22500000000002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5" customFormat="1" x14ac:dyDescent="0.2">
      <c r="A7" s="2"/>
      <c r="B7" s="3"/>
      <c r="C7" s="4"/>
      <c r="E7" s="6"/>
      <c r="F7" s="7"/>
      <c r="G7" s="8"/>
      <c r="H7" s="9"/>
      <c r="I7" s="10"/>
      <c r="J7" s="11" t="s">
        <v>320</v>
      </c>
      <c r="K7" s="12">
        <v>9</v>
      </c>
      <c r="L7" s="13">
        <v>49.1</v>
      </c>
      <c r="M7" s="14">
        <f t="shared" si="0"/>
        <v>441.90000000000003</v>
      </c>
      <c r="N7" s="15"/>
      <c r="O7" s="16" t="s">
        <v>137</v>
      </c>
      <c r="P7" s="17">
        <f t="shared" si="1"/>
        <v>4.4190000000000005</v>
      </c>
      <c r="Q7" s="18"/>
      <c r="R7" s="17">
        <f t="shared" si="2"/>
        <v>446.31900000000002</v>
      </c>
      <c r="S7" s="19"/>
      <c r="T7" s="19"/>
      <c r="U7" s="19"/>
      <c r="V7" s="19"/>
      <c r="W7" s="17"/>
      <c r="X7" s="20"/>
      <c r="Y7" s="19"/>
      <c r="Z7" s="19"/>
      <c r="AA7" s="19"/>
      <c r="AB7" s="19"/>
      <c r="AC7" s="19"/>
      <c r="AD7" s="19"/>
      <c r="AF7" s="19"/>
      <c r="AH7" s="17"/>
      <c r="AI7" s="19"/>
      <c r="AJ7" s="19"/>
      <c r="AK7" s="19"/>
      <c r="AL7" s="19"/>
      <c r="AM7" s="17"/>
      <c r="AN7" s="19"/>
      <c r="AO7" s="19"/>
      <c r="AP7" s="19"/>
      <c r="AQ7" s="19"/>
      <c r="AR7" s="19"/>
      <c r="AS7" s="21"/>
      <c r="AU7" s="19"/>
      <c r="AW7" s="22"/>
      <c r="AX7" s="19"/>
      <c r="AZ7" s="19"/>
      <c r="BC7" s="19"/>
      <c r="BD7" s="19"/>
      <c r="BE7" s="19"/>
      <c r="BF7" s="19"/>
      <c r="BG7" s="19"/>
      <c r="BH7" s="19"/>
      <c r="BI7" s="19"/>
      <c r="BJ7" s="19"/>
      <c r="BK7" s="13"/>
      <c r="BN7" s="19"/>
      <c r="BO7" s="17"/>
      <c r="BP7" s="19"/>
      <c r="BQ7" s="17"/>
      <c r="BR7" s="19"/>
      <c r="BS7" s="13"/>
      <c r="BU7" s="23"/>
      <c r="BV7" s="23"/>
      <c r="BW7" s="24"/>
      <c r="CA7" s="24"/>
      <c r="CB7" s="24"/>
      <c r="CC7" s="24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25"/>
      <c r="CW7" s="26"/>
    </row>
    <row r="8" spans="1:103" s="30" customFormat="1" ht="11.25" x14ac:dyDescent="0.2">
      <c r="A8" s="27"/>
      <c r="B8" s="28"/>
      <c r="C8" s="29"/>
      <c r="E8" s="31"/>
      <c r="F8" s="32"/>
      <c r="G8" s="33"/>
      <c r="H8" s="34"/>
      <c r="I8" s="34"/>
      <c r="J8" s="35"/>
      <c r="K8" s="36"/>
      <c r="L8" s="37"/>
      <c r="M8" s="38">
        <f>SUM(M5:M7)</f>
        <v>2087.4</v>
      </c>
      <c r="N8" s="38">
        <f>M8</f>
        <v>2087.4</v>
      </c>
      <c r="O8" s="39" t="s">
        <v>137</v>
      </c>
      <c r="P8" s="38">
        <f>SUM(P5:P7)</f>
        <v>20.873999999999999</v>
      </c>
      <c r="Q8" s="38"/>
      <c r="R8" s="38">
        <f>SUM(R5:R7)</f>
        <v>2108.2739999999999</v>
      </c>
      <c r="S8" s="38">
        <f t="shared" ref="S8:AD8" si="3">SUM(S5:S5)</f>
        <v>0</v>
      </c>
      <c r="T8" s="38">
        <f t="shared" si="3"/>
        <v>0</v>
      </c>
      <c r="U8" s="38">
        <f t="shared" si="3"/>
        <v>0</v>
      </c>
      <c r="V8" s="38">
        <f t="shared" si="3"/>
        <v>0</v>
      </c>
      <c r="W8" s="38">
        <f t="shared" si="3"/>
        <v>0</v>
      </c>
      <c r="X8" s="38">
        <f t="shared" si="3"/>
        <v>0</v>
      </c>
      <c r="Y8" s="38">
        <f t="shared" si="3"/>
        <v>0</v>
      </c>
      <c r="Z8" s="38">
        <f t="shared" si="3"/>
        <v>0</v>
      </c>
      <c r="AA8" s="38">
        <f t="shared" si="3"/>
        <v>0</v>
      </c>
      <c r="AB8" s="38">
        <f t="shared" si="3"/>
        <v>0</v>
      </c>
      <c r="AC8" s="38">
        <f t="shared" si="3"/>
        <v>0</v>
      </c>
      <c r="AD8" s="38">
        <f t="shared" si="3"/>
        <v>0</v>
      </c>
      <c r="AF8" s="38">
        <f>SUM(AF5:AF5)</f>
        <v>0</v>
      </c>
      <c r="AH8" s="38">
        <f t="shared" ref="AH8:AZ8" si="4">SUM(AH5:AH5)</f>
        <v>0</v>
      </c>
      <c r="AI8" s="38">
        <f t="shared" si="4"/>
        <v>0</v>
      </c>
      <c r="AJ8" s="38">
        <f t="shared" si="4"/>
        <v>0</v>
      </c>
      <c r="AK8" s="38">
        <f t="shared" si="4"/>
        <v>0</v>
      </c>
      <c r="AL8" s="38">
        <f t="shared" si="4"/>
        <v>0</v>
      </c>
      <c r="AM8" s="38">
        <f t="shared" si="4"/>
        <v>0</v>
      </c>
      <c r="AN8" s="38">
        <f t="shared" si="4"/>
        <v>0</v>
      </c>
      <c r="AO8" s="38">
        <f t="shared" si="4"/>
        <v>0</v>
      </c>
      <c r="AP8" s="38">
        <f t="shared" si="4"/>
        <v>0</v>
      </c>
      <c r="AQ8" s="38">
        <f t="shared" si="4"/>
        <v>0</v>
      </c>
      <c r="AR8" s="38">
        <f t="shared" si="4"/>
        <v>0</v>
      </c>
      <c r="AS8" s="38">
        <f t="shared" si="4"/>
        <v>0</v>
      </c>
      <c r="AT8" s="38">
        <f t="shared" si="4"/>
        <v>0</v>
      </c>
      <c r="AU8" s="38">
        <f t="shared" si="4"/>
        <v>0</v>
      </c>
      <c r="AV8" s="38">
        <f t="shared" si="4"/>
        <v>0</v>
      </c>
      <c r="AW8" s="38">
        <f t="shared" si="4"/>
        <v>0</v>
      </c>
      <c r="AX8" s="38">
        <f t="shared" si="4"/>
        <v>0</v>
      </c>
      <c r="AY8" s="38">
        <f t="shared" si="4"/>
        <v>0</v>
      </c>
      <c r="AZ8" s="38">
        <f t="shared" si="4"/>
        <v>0</v>
      </c>
      <c r="BB8" s="38">
        <f t="shared" ref="BB8:CV8" si="5">SUM(BB5:BB5)</f>
        <v>0</v>
      </c>
      <c r="BC8" s="38">
        <f t="shared" si="5"/>
        <v>0</v>
      </c>
      <c r="BD8" s="38">
        <f t="shared" si="5"/>
        <v>0</v>
      </c>
      <c r="BE8" s="38">
        <f t="shared" si="5"/>
        <v>0</v>
      </c>
      <c r="BF8" s="38">
        <f t="shared" si="5"/>
        <v>0</v>
      </c>
      <c r="BG8" s="38">
        <f t="shared" si="5"/>
        <v>0</v>
      </c>
      <c r="BH8" s="38">
        <f t="shared" si="5"/>
        <v>0</v>
      </c>
      <c r="BI8" s="38">
        <f t="shared" si="5"/>
        <v>0</v>
      </c>
      <c r="BJ8" s="38">
        <f t="shared" si="5"/>
        <v>0</v>
      </c>
      <c r="BK8" s="38">
        <f t="shared" si="5"/>
        <v>0</v>
      </c>
      <c r="BL8" s="38">
        <f t="shared" si="5"/>
        <v>0</v>
      </c>
      <c r="BM8" s="38">
        <f t="shared" si="5"/>
        <v>0</v>
      </c>
      <c r="BN8" s="38">
        <f t="shared" si="5"/>
        <v>0</v>
      </c>
      <c r="BO8" s="38">
        <f t="shared" si="5"/>
        <v>0</v>
      </c>
      <c r="BP8" s="38">
        <f t="shared" si="5"/>
        <v>0</v>
      </c>
      <c r="BQ8" s="38">
        <f t="shared" si="5"/>
        <v>0</v>
      </c>
      <c r="BR8" s="38">
        <f t="shared" si="5"/>
        <v>0</v>
      </c>
      <c r="BS8" s="38">
        <f t="shared" si="5"/>
        <v>0</v>
      </c>
      <c r="BT8" s="38">
        <f t="shared" si="5"/>
        <v>0</v>
      </c>
      <c r="BU8" s="38">
        <f t="shared" si="5"/>
        <v>0</v>
      </c>
      <c r="BV8" s="38">
        <f t="shared" si="5"/>
        <v>0</v>
      </c>
      <c r="BW8" s="38">
        <f t="shared" si="5"/>
        <v>0</v>
      </c>
      <c r="BX8" s="38">
        <f t="shared" si="5"/>
        <v>0</v>
      </c>
      <c r="BY8" s="38">
        <f t="shared" si="5"/>
        <v>0</v>
      </c>
      <c r="BZ8" s="38">
        <f t="shared" si="5"/>
        <v>0</v>
      </c>
      <c r="CA8" s="38">
        <f t="shared" si="5"/>
        <v>0</v>
      </c>
      <c r="CB8" s="38">
        <f t="shared" si="5"/>
        <v>0</v>
      </c>
      <c r="CC8" s="38">
        <f t="shared" si="5"/>
        <v>0</v>
      </c>
      <c r="CD8" s="38">
        <f t="shared" si="5"/>
        <v>0</v>
      </c>
      <c r="CE8" s="38">
        <f t="shared" si="5"/>
        <v>0</v>
      </c>
      <c r="CF8" s="38">
        <f t="shared" si="5"/>
        <v>0</v>
      </c>
      <c r="CG8" s="38">
        <f t="shared" si="5"/>
        <v>0</v>
      </c>
      <c r="CH8" s="38">
        <f t="shared" si="5"/>
        <v>0</v>
      </c>
      <c r="CI8" s="38">
        <f t="shared" si="5"/>
        <v>0</v>
      </c>
      <c r="CJ8" s="38">
        <f t="shared" si="5"/>
        <v>0</v>
      </c>
      <c r="CK8" s="38">
        <f t="shared" si="5"/>
        <v>0</v>
      </c>
      <c r="CL8" s="38">
        <f t="shared" si="5"/>
        <v>0</v>
      </c>
      <c r="CM8" s="38">
        <f t="shared" si="5"/>
        <v>0</v>
      </c>
      <c r="CN8" s="38">
        <f t="shared" si="5"/>
        <v>0</v>
      </c>
      <c r="CO8" s="38">
        <f t="shared" si="5"/>
        <v>0</v>
      </c>
      <c r="CP8" s="38">
        <f t="shared" si="5"/>
        <v>0</v>
      </c>
      <c r="CQ8" s="38">
        <f t="shared" si="5"/>
        <v>0</v>
      </c>
      <c r="CR8" s="38">
        <f t="shared" si="5"/>
        <v>0</v>
      </c>
      <c r="CS8" s="38">
        <f t="shared" si="5"/>
        <v>0</v>
      </c>
      <c r="CT8" s="38">
        <f t="shared" si="5"/>
        <v>0</v>
      </c>
      <c r="CU8" s="38">
        <f t="shared" si="5"/>
        <v>0</v>
      </c>
      <c r="CV8" s="38">
        <f t="shared" si="5"/>
        <v>0</v>
      </c>
      <c r="CW8" s="40"/>
    </row>
    <row r="9" spans="1:103" customFormat="1" ht="15" x14ac:dyDescent="0.25"/>
    <row r="10" spans="1:103" customFormat="1" ht="15" x14ac:dyDescent="0.25">
      <c r="A10" s="41" t="str">
        <f>E5</f>
        <v>QUEEN V PERISHABLE FOOD DELIVERY SERVICES</v>
      </c>
      <c r="B10" s="42"/>
      <c r="C10" s="43"/>
      <c r="D10" s="44"/>
      <c r="E10" s="44"/>
      <c r="F10" s="45"/>
      <c r="G10" s="46"/>
      <c r="H10" s="47"/>
      <c r="I10" s="48"/>
      <c r="J10" s="49"/>
      <c r="K10" s="50"/>
      <c r="L10" s="51"/>
      <c r="M10" s="52"/>
      <c r="N10" s="53"/>
      <c r="O10" s="54"/>
      <c r="P10" s="55"/>
    </row>
    <row r="11" spans="1:103" customFormat="1" ht="15" x14ac:dyDescent="0.25">
      <c r="A11" s="56"/>
      <c r="B11" s="57"/>
      <c r="C11" s="58"/>
      <c r="D11" s="59" t="s">
        <v>112</v>
      </c>
      <c r="E11" s="59" t="s">
        <v>113</v>
      </c>
      <c r="F11" s="60" t="s">
        <v>114</v>
      </c>
      <c r="G11" s="61"/>
      <c r="H11" s="62"/>
      <c r="I11" s="63"/>
      <c r="J11" s="64"/>
      <c r="K11" s="1"/>
      <c r="L11" s="65"/>
      <c r="M11" s="66"/>
      <c r="N11" s="67"/>
      <c r="O11" s="68"/>
      <c r="P11" s="69"/>
    </row>
    <row r="12" spans="1:103" customFormat="1" ht="13.5" customHeight="1" x14ac:dyDescent="0.25">
      <c r="A12" s="70" t="s">
        <v>151</v>
      </c>
      <c r="B12" s="71"/>
      <c r="C12" s="72"/>
      <c r="D12" s="73">
        <f>R8</f>
        <v>2108.2739999999999</v>
      </c>
      <c r="E12" s="74"/>
      <c r="F12" s="75" t="str">
        <f>"In payment for 10 packs of classic white bread and high fiber wheat and 9 packs of soft delight pandesal using housefund received on " &amp; TEXT(A5, "mmmm dd, yyyy") &amp; " with SI#12093 PR#30545 RR#50235" &amp; " CPO#" &amp;B5</f>
        <v>In payment for 10 packs of classic white bread and high fiber wheat and 9 packs of soft delight pandesal using housefund received on August 16, 2025 with SI#12093 PR#30545 RR#50235 CPO#18992</v>
      </c>
      <c r="G12" s="76"/>
      <c r="H12" s="77"/>
      <c r="I12" s="77"/>
      <c r="J12" s="76"/>
      <c r="K12" s="1"/>
      <c r="L12" s="65"/>
      <c r="M12" s="78"/>
      <c r="N12" s="79"/>
      <c r="O12" s="80"/>
      <c r="P12" s="81"/>
    </row>
    <row r="13" spans="1:103" customFormat="1" ht="15" x14ac:dyDescent="0.25">
      <c r="A13" s="70" t="s">
        <v>115</v>
      </c>
      <c r="B13" s="71"/>
      <c r="C13" s="72"/>
      <c r="D13" s="73">
        <f>Q8</f>
        <v>0</v>
      </c>
      <c r="E13" s="74"/>
      <c r="F13" s="64" t="str">
        <f>"Recording input VAT for expenses and purchases made using house fund for " &amp; TEXT(A5, "mmmm dd, yyyy")</f>
        <v>Recording input VAT for expenses and purchases made using house fund for August 16,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 t="s">
        <v>116</v>
      </c>
      <c r="B14" s="86"/>
      <c r="C14" s="87"/>
      <c r="D14" s="88"/>
      <c r="E14" s="74">
        <f>P8</f>
        <v>20.873999999999999</v>
      </c>
      <c r="F14" s="89" t="str">
        <f>"Recording the tax withheld for expenses and purchases using the house fund received on " &amp; TEXT(A5, "mmmm dd, yyyy")</f>
        <v>Recording the tax withheld for expenses and purchases using the house fund received on August 16,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70" t="s">
        <v>117</v>
      </c>
      <c r="B15" s="86"/>
      <c r="C15" s="87"/>
      <c r="D15" s="90"/>
      <c r="E15" s="91">
        <f>M8</f>
        <v>2087.4</v>
      </c>
      <c r="F15" s="89" t="str">
        <f>"Recording house fund expenses for replenishment on " &amp; TEXT(A5, "mmmm dd, yyyy")</f>
        <v>Recording house fund expenses for replenishment on August 16, 2025</v>
      </c>
      <c r="G15" s="82"/>
      <c r="H15" s="83"/>
      <c r="I15" s="84"/>
      <c r="J15" s="82"/>
      <c r="K15" s="1"/>
      <c r="L15" s="65"/>
      <c r="M15" s="66"/>
      <c r="N15" s="67"/>
      <c r="O15" s="68"/>
      <c r="P15" s="69"/>
    </row>
    <row r="16" spans="1:103" customFormat="1" ht="15" x14ac:dyDescent="0.25">
      <c r="A16" s="85"/>
      <c r="B16" s="86"/>
      <c r="C16" s="87"/>
      <c r="D16" s="88">
        <f>SUM(D12:D13)</f>
        <v>2108.2739999999999</v>
      </c>
      <c r="E16" s="88">
        <f>SUM(E12:E15)</f>
        <v>2108.2739999999999</v>
      </c>
      <c r="F16" s="92"/>
      <c r="G16" s="92"/>
      <c r="H16" s="93"/>
      <c r="I16" s="94"/>
      <c r="J16" s="92"/>
      <c r="K16" s="1"/>
      <c r="L16" s="65"/>
      <c r="M16" s="66"/>
      <c r="N16" s="67"/>
      <c r="O16" s="68"/>
      <c r="P16" s="69"/>
    </row>
    <row r="17" spans="1:16" customFormat="1" ht="15" x14ac:dyDescent="0.25">
      <c r="A17" s="95" t="s">
        <v>118</v>
      </c>
      <c r="B17" s="96" t="str">
        <f>"To record house fund expenses on " &amp; TEXT(A5, "mmmm dd, yyyy") &amp; " with PCV#" &amp; C5</f>
        <v>To record house fund expenses on August 16, 2025 with PCV#20933</v>
      </c>
      <c r="C17" s="97"/>
      <c r="D17" s="98"/>
      <c r="E17" s="98"/>
      <c r="F17" s="98"/>
      <c r="G17" s="92"/>
      <c r="H17" s="93"/>
      <c r="I17" s="94"/>
      <c r="J17" s="92"/>
      <c r="K17" s="1"/>
      <c r="L17" s="65"/>
      <c r="M17" s="66"/>
      <c r="N17" s="67"/>
      <c r="O17" s="68"/>
      <c r="P17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26BCF-A061-460C-86B5-524E07B48064}">
  <sheetPr>
    <tabColor rgb="FF00FF00"/>
  </sheetPr>
  <dimension ref="A1:CY21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45887</v>
      </c>
      <c r="B5" s="3" t="s">
        <v>328</v>
      </c>
      <c r="C5" s="4" t="s">
        <v>701</v>
      </c>
      <c r="D5" s="5" t="s">
        <v>329</v>
      </c>
      <c r="E5" s="6" t="s">
        <v>278</v>
      </c>
      <c r="F5" s="7" t="s">
        <v>124</v>
      </c>
      <c r="G5" s="8" t="s">
        <v>125</v>
      </c>
      <c r="H5" s="9" t="s">
        <v>579</v>
      </c>
      <c r="I5" s="10"/>
      <c r="J5" s="11" t="s">
        <v>580</v>
      </c>
      <c r="K5" s="12">
        <v>1</v>
      </c>
      <c r="L5" s="13">
        <v>627.32000000000005</v>
      </c>
      <c r="M5" s="14">
        <f t="shared" ref="M5" si="0">L5*K5</f>
        <v>627.32000000000005</v>
      </c>
      <c r="N5" s="15"/>
      <c r="O5" s="16" t="s">
        <v>111</v>
      </c>
      <c r="P5" s="17">
        <f>M5/1.12*0.02</f>
        <v>11.202142857142858</v>
      </c>
      <c r="Q5" s="18">
        <f>M5/1.12*0.12</f>
        <v>67.212857142857146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U5" s="23"/>
      <c r="BV5" s="23"/>
      <c r="BW5" s="24"/>
      <c r="CA5" s="24"/>
      <c r="CB5" s="24"/>
      <c r="CC5" s="24"/>
      <c r="CD5" s="17"/>
      <c r="CE5" s="17"/>
      <c r="CF5" s="17"/>
      <c r="CG5" s="17">
        <v>81.615612244898003</v>
      </c>
      <c r="CH5" s="17">
        <v>81.615612244898003</v>
      </c>
      <c r="CI5" s="17">
        <f>(M5+P5-Q5)/7</f>
        <v>81.61561224489796</v>
      </c>
      <c r="CJ5" s="17">
        <v>81.61561224489796</v>
      </c>
      <c r="CK5" s="17">
        <v>81.61561224489796</v>
      </c>
      <c r="CL5" s="17">
        <v>81.61561224489796</v>
      </c>
      <c r="CM5" s="17">
        <v>81.61561224489796</v>
      </c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627.32000000000005</v>
      </c>
      <c r="N6" s="38">
        <f>M6</f>
        <v>627.32000000000005</v>
      </c>
      <c r="O6" s="39" t="s">
        <v>111</v>
      </c>
      <c r="P6" s="38">
        <f>SUM(P5:P5)</f>
        <v>11.202142857142858</v>
      </c>
      <c r="Q6" s="38">
        <f>SUM(Q5:Q5)</f>
        <v>67.212857142857146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v>81.61561224489796</v>
      </c>
      <c r="CH6" s="38">
        <v>81.61561224489796</v>
      </c>
      <c r="CI6" s="38">
        <f>SUM(CI5:CI5)</f>
        <v>81.61561224489796</v>
      </c>
      <c r="CJ6" s="38">
        <v>81.61561224489796</v>
      </c>
      <c r="CK6" s="38">
        <v>81.61561224489796</v>
      </c>
      <c r="CL6" s="38">
        <v>81.61561224489796</v>
      </c>
      <c r="CM6" s="38">
        <v>81.61561224489796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PHILIPPINE AIRLINES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5" x14ac:dyDescent="0.25">
      <c r="A10" s="56" t="s">
        <v>737</v>
      </c>
      <c r="B10" s="57"/>
      <c r="C10" s="58"/>
      <c r="D10" s="73">
        <f>CI6</f>
        <v>81.61561224489796</v>
      </c>
      <c r="E10" s="59"/>
      <c r="F10" s="75" t="str">
        <f>"In payment for cargo of CV from cebu to manila using housefund received on " &amp; TEXT(A5, "mmmm dd, yyyy") &amp; " with SI#CA/CEB/00000000046142" &amp; " CPO#18995"</f>
        <v>In payment for cargo of CV from cebu to manila using housefund received on August 18, 2025 with SI#CA/CEB/00000000046142 CPO#18995</v>
      </c>
      <c r="G10" s="76"/>
      <c r="H10" s="77"/>
      <c r="I10" s="77"/>
      <c r="J10" s="76"/>
      <c r="K10" s="1"/>
      <c r="L10" s="65"/>
      <c r="M10" s="78"/>
      <c r="N10" s="79"/>
      <c r="O10" s="80"/>
      <c r="P10" s="69"/>
    </row>
    <row r="11" spans="1:103" customFormat="1" ht="15" x14ac:dyDescent="0.25">
      <c r="A11" s="56" t="s">
        <v>738</v>
      </c>
      <c r="B11" s="57"/>
      <c r="C11" s="58"/>
      <c r="D11" s="182">
        <v>81.61561224489796</v>
      </c>
      <c r="E11" s="59"/>
      <c r="F11" s="61" t="s">
        <v>744</v>
      </c>
      <c r="G11" s="61"/>
      <c r="H11" s="62"/>
      <c r="I11" s="183"/>
      <c r="J11" s="64"/>
      <c r="K11" s="1"/>
      <c r="L11" s="65"/>
      <c r="M11" s="66"/>
      <c r="N11" s="67"/>
      <c r="O11" s="68"/>
      <c r="P11" s="69"/>
    </row>
    <row r="12" spans="1:103" customFormat="1" ht="15" x14ac:dyDescent="0.25">
      <c r="A12" s="56" t="s">
        <v>739</v>
      </c>
      <c r="B12" s="57"/>
      <c r="C12" s="58"/>
      <c r="D12" s="182">
        <v>81.61561224489796</v>
      </c>
      <c r="E12" s="59"/>
      <c r="F12" s="61" t="s">
        <v>744</v>
      </c>
      <c r="G12" s="61"/>
      <c r="H12" s="62"/>
      <c r="I12" s="183"/>
      <c r="J12" s="64"/>
      <c r="K12" s="1"/>
      <c r="L12" s="65"/>
      <c r="M12" s="66"/>
      <c r="N12" s="67"/>
      <c r="O12" s="68"/>
      <c r="P12" s="69"/>
    </row>
    <row r="13" spans="1:103" customFormat="1" ht="15" x14ac:dyDescent="0.25">
      <c r="A13" s="56" t="s">
        <v>740</v>
      </c>
      <c r="B13" s="57"/>
      <c r="C13" s="58"/>
      <c r="D13" s="182">
        <v>81.61561224489796</v>
      </c>
      <c r="E13" s="59"/>
      <c r="F13" s="61" t="s">
        <v>744</v>
      </c>
      <c r="G13" s="61"/>
      <c r="H13" s="62"/>
      <c r="I13" s="183"/>
      <c r="J13" s="64"/>
      <c r="K13" s="1"/>
      <c r="L13" s="65"/>
      <c r="M13" s="66"/>
      <c r="N13" s="67"/>
      <c r="O13" s="68"/>
      <c r="P13" s="69"/>
    </row>
    <row r="14" spans="1:103" customFormat="1" ht="15" x14ac:dyDescent="0.25">
      <c r="A14" s="56" t="s">
        <v>741</v>
      </c>
      <c r="B14" s="57"/>
      <c r="C14" s="58"/>
      <c r="D14" s="182">
        <v>81.61561224489796</v>
      </c>
      <c r="E14" s="59"/>
      <c r="F14" s="61" t="s">
        <v>744</v>
      </c>
      <c r="G14" s="61"/>
      <c r="H14" s="62"/>
      <c r="I14" s="183"/>
      <c r="J14" s="64"/>
      <c r="K14" s="1"/>
      <c r="L14" s="65"/>
      <c r="M14" s="66"/>
      <c r="N14" s="67"/>
      <c r="O14" s="68"/>
      <c r="P14" s="69"/>
    </row>
    <row r="15" spans="1:103" customFormat="1" ht="15" x14ac:dyDescent="0.25">
      <c r="A15" s="56" t="s">
        <v>742</v>
      </c>
      <c r="B15" s="57"/>
      <c r="C15" s="58"/>
      <c r="D15" s="182">
        <v>81.61561224489796</v>
      </c>
      <c r="E15" s="59"/>
      <c r="F15" s="61" t="s">
        <v>744</v>
      </c>
      <c r="G15" s="61"/>
      <c r="H15" s="62"/>
      <c r="I15" s="183"/>
      <c r="J15" s="64"/>
      <c r="K15" s="1"/>
      <c r="L15" s="65"/>
      <c r="M15" s="66"/>
      <c r="N15" s="67"/>
      <c r="O15" s="68"/>
      <c r="P15" s="69"/>
    </row>
    <row r="16" spans="1:103" customFormat="1" ht="15" x14ac:dyDescent="0.25">
      <c r="A16" s="56" t="s">
        <v>743</v>
      </c>
      <c r="B16" s="57"/>
      <c r="C16" s="58"/>
      <c r="D16" s="182">
        <v>81.61561224489796</v>
      </c>
      <c r="E16" s="59"/>
      <c r="F16" s="61" t="s">
        <v>744</v>
      </c>
      <c r="G16" s="61"/>
      <c r="H16" s="62"/>
      <c r="I16" s="183"/>
      <c r="J16" s="64"/>
      <c r="K16" s="1"/>
      <c r="L16" s="65"/>
      <c r="M16" s="66"/>
      <c r="N16" s="67"/>
      <c r="O16" s="68"/>
      <c r="P16" s="69"/>
    </row>
    <row r="17" spans="1:16" customFormat="1" ht="15" x14ac:dyDescent="0.25">
      <c r="A17" s="70" t="s">
        <v>115</v>
      </c>
      <c r="B17" s="71"/>
      <c r="C17" s="72"/>
      <c r="D17" s="73">
        <f>Q6</f>
        <v>67.212857142857146</v>
      </c>
      <c r="E17" s="74"/>
      <c r="F17" s="64" t="str">
        <f>"Recording input VAT for expenses and purchases made using house fund for " &amp; TEXT(A5, "mmmm dd, yyyy")</f>
        <v>Recording input VAT for expenses and purchases made using house fund for August 18, 2025</v>
      </c>
      <c r="G17" s="82"/>
      <c r="H17" s="83"/>
      <c r="I17" s="84"/>
      <c r="J17" s="82"/>
      <c r="K17" s="1"/>
      <c r="L17" s="65"/>
      <c r="M17" s="66"/>
      <c r="N17" s="67"/>
      <c r="O17" s="68"/>
      <c r="P17" s="69"/>
    </row>
    <row r="18" spans="1:16" customFormat="1" ht="15" x14ac:dyDescent="0.25">
      <c r="A18" s="85" t="s">
        <v>116</v>
      </c>
      <c r="B18" s="86"/>
      <c r="C18" s="87"/>
      <c r="D18" s="88"/>
      <c r="E18" s="74">
        <f>P6</f>
        <v>11.202142857142858</v>
      </c>
      <c r="F18" s="89" t="str">
        <f>"Recording the tax withheld for expenses and purchases using the house fund received on " &amp; TEXT(A5, "mmmm dd, yyyy")</f>
        <v>Recording the tax withheld for expenses and purchases using the house fund received on August 18, 2025</v>
      </c>
      <c r="G18" s="82"/>
      <c r="H18" s="83"/>
      <c r="I18" s="84"/>
      <c r="J18" s="82"/>
      <c r="K18" s="1"/>
      <c r="L18" s="65"/>
      <c r="M18" s="66"/>
      <c r="N18" s="67"/>
      <c r="O18" s="68"/>
      <c r="P18" s="69"/>
    </row>
    <row r="19" spans="1:16" customFormat="1" ht="15" x14ac:dyDescent="0.25">
      <c r="A19" s="70" t="s">
        <v>117</v>
      </c>
      <c r="B19" s="86"/>
      <c r="C19" s="87"/>
      <c r="D19" s="90"/>
      <c r="E19" s="91">
        <f>M6</f>
        <v>627.32000000000005</v>
      </c>
      <c r="F19" s="89" t="str">
        <f>"Recording house fund expenses for replenishment on " &amp; TEXT(A5, "mmmm dd, yyyy")</f>
        <v>Recording house fund expenses for replenishment on August 18, 2025</v>
      </c>
      <c r="G19" s="82"/>
      <c r="H19" s="83"/>
      <c r="I19" s="84"/>
      <c r="J19" s="82"/>
      <c r="K19" s="1"/>
      <c r="L19" s="65"/>
      <c r="M19" s="66"/>
      <c r="N19" s="67"/>
      <c r="O19" s="68"/>
      <c r="P19" s="69"/>
    </row>
    <row r="20" spans="1:16" customFormat="1" ht="15" x14ac:dyDescent="0.25">
      <c r="A20" s="85"/>
      <c r="B20" s="86"/>
      <c r="C20" s="87"/>
      <c r="D20" s="88">
        <f>SUM(D10:D17)</f>
        <v>638.52214285714297</v>
      </c>
      <c r="E20" s="88">
        <f>SUM(E17:E19)</f>
        <v>638.52214285714285</v>
      </c>
      <c r="F20" s="92"/>
      <c r="G20" s="92"/>
      <c r="H20" s="93"/>
      <c r="I20" s="94"/>
      <c r="J20" s="92"/>
      <c r="K20" s="1"/>
      <c r="L20" s="65"/>
      <c r="M20" s="66"/>
      <c r="N20" s="67"/>
      <c r="O20" s="68"/>
      <c r="P20" s="69"/>
    </row>
    <row r="21" spans="1:16" customFormat="1" ht="15" x14ac:dyDescent="0.25">
      <c r="A21" s="95" t="s">
        <v>118</v>
      </c>
      <c r="B21" s="96" t="str">
        <f>"To record house fund expenses on " &amp; TEXT(A5, "mmmm dd, yyyy") &amp; " with PCV#" &amp; C5</f>
        <v>To record house fund expenses on August 18, 2025 with PCV#20934</v>
      </c>
      <c r="C21" s="97"/>
      <c r="D21" s="98"/>
      <c r="E21" s="98"/>
      <c r="F21" s="98"/>
      <c r="G21" s="92"/>
      <c r="H21" s="93"/>
      <c r="I21" s="94"/>
      <c r="J21" s="92"/>
      <c r="K21" s="1"/>
      <c r="L21" s="65"/>
      <c r="M21" s="66"/>
      <c r="N21" s="67"/>
      <c r="O21" s="68"/>
      <c r="P21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9BF44-62F5-4057-8528-C9468078F4B9}">
  <sheetPr>
    <tabColor rgb="FF00FF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45887</v>
      </c>
      <c r="B5" s="3" t="s">
        <v>331</v>
      </c>
      <c r="C5" s="4" t="s">
        <v>702</v>
      </c>
      <c r="D5" s="5" t="s">
        <v>329</v>
      </c>
      <c r="E5" s="6" t="s">
        <v>332</v>
      </c>
      <c r="F5" s="7" t="s">
        <v>581</v>
      </c>
      <c r="G5" s="8" t="s">
        <v>582</v>
      </c>
      <c r="H5" s="9" t="s">
        <v>334</v>
      </c>
      <c r="I5" s="10"/>
      <c r="J5" s="11" t="s">
        <v>583</v>
      </c>
      <c r="K5" s="12">
        <v>1</v>
      </c>
      <c r="L5" s="13">
        <v>1075</v>
      </c>
      <c r="M5" s="14">
        <f t="shared" ref="M5" si="0">L5*K5</f>
        <v>1075</v>
      </c>
      <c r="N5" s="15"/>
      <c r="O5" s="16" t="s">
        <v>111</v>
      </c>
      <c r="P5" s="17">
        <f>M5/1.12*0.02</f>
        <v>19.196428571428569</v>
      </c>
      <c r="Q5" s="18">
        <f>M5/1.12*0.12</f>
        <v>115.1785714285714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7">
        <f>M5+P5-Q5</f>
        <v>979.01785714285722</v>
      </c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1075</v>
      </c>
      <c r="N6" s="38">
        <f>M6</f>
        <v>1075</v>
      </c>
      <c r="O6" s="39" t="s">
        <v>111</v>
      </c>
      <c r="P6" s="38">
        <f>SUM(P5:P5)</f>
        <v>19.196428571428569</v>
      </c>
      <c r="Q6" s="38">
        <f>SUM(Q5:Q5)</f>
        <v>115.1785714285714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>SUM(BS5:BS5)</f>
        <v>979.01785714285722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LBC EXPRESS INC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39</v>
      </c>
      <c r="B10" s="71"/>
      <c r="C10" s="72"/>
      <c r="D10" s="73">
        <f>BS6</f>
        <v>979.01785714285722</v>
      </c>
      <c r="E10" s="74"/>
      <c r="F10" s="75" t="str">
        <f>"In payment for LBC to aquamira using housefund received on " &amp; TEXT(A5, "mmmm dd, yyyy") &amp; " with SI#CEA03244210" &amp; " CPO#" &amp;B5</f>
        <v>In payment for LBC to aquamira using housefund received on August 18, 2025 with SI#CEA03244210 CPO#18997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115.1785714285714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18,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19.196428571428569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18,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1075</v>
      </c>
      <c r="F13" s="89" t="str">
        <f>"Recording house fund expenses for replenishment on " &amp; TEXT(A5, "mmmm dd, yyyy")</f>
        <v>Recording house fund expenses for replenishment on August 18,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1094.1964285714287</v>
      </c>
      <c r="E14" s="88">
        <f>SUM(E10:E13)</f>
        <v>1094.1964285714287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18, 2025 with PCV#20935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D46E5-F806-4869-B1C0-448D2711F7AA}">
  <sheetPr>
    <tabColor rgb="FF00FF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45887</v>
      </c>
      <c r="B5" s="3" t="s">
        <v>330</v>
      </c>
      <c r="C5" s="4" t="s">
        <v>703</v>
      </c>
      <c r="D5" s="5" t="s">
        <v>329</v>
      </c>
      <c r="E5" s="6" t="s">
        <v>278</v>
      </c>
      <c r="F5" s="7" t="s">
        <v>584</v>
      </c>
      <c r="G5" s="8" t="s">
        <v>125</v>
      </c>
      <c r="H5" s="9" t="s">
        <v>585</v>
      </c>
      <c r="I5" s="10"/>
      <c r="J5" s="11" t="s">
        <v>280</v>
      </c>
      <c r="K5" s="12">
        <v>1</v>
      </c>
      <c r="L5" s="13">
        <v>438.8</v>
      </c>
      <c r="M5" s="14">
        <f t="shared" ref="M5" si="0">L5*K5</f>
        <v>438.8</v>
      </c>
      <c r="N5" s="15"/>
      <c r="O5" s="16" t="s">
        <v>111</v>
      </c>
      <c r="P5" s="17">
        <f>M5/1.12*0.02</f>
        <v>7.8357142857142854</v>
      </c>
      <c r="Q5" s="18">
        <f>M5/1.12*0.12</f>
        <v>47.014285714285712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>
        <f>M5+P5-Q5</f>
        <v>399.62142857142857</v>
      </c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438.8</v>
      </c>
      <c r="N6" s="38">
        <f>M6</f>
        <v>438.8</v>
      </c>
      <c r="O6" s="39" t="s">
        <v>111</v>
      </c>
      <c r="P6" s="38">
        <f>SUM(P5:P5)</f>
        <v>7.8357142857142854</v>
      </c>
      <c r="Q6" s="38">
        <f>SUM(Q5:Q5)</f>
        <v>47.014285714285712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>SUM(CI5:CI5)</f>
        <v>399.62142857142857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PHILIPPINE AIRLINES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586</v>
      </c>
      <c r="B10" s="71"/>
      <c r="C10" s="72"/>
      <c r="D10" s="73">
        <f>CI6</f>
        <v>399.62142857142857</v>
      </c>
      <c r="E10" s="74"/>
      <c r="F10" s="75" t="str">
        <f>"In payment for cargo files to soto iloilo-AR using housefund received on " &amp; TEXT(A5, "mmmm dd, yyyy") &amp; " with SI#CA/CEB/000000000269395" &amp; " CPO#" &amp;B5</f>
        <v>In payment for cargo files to soto iloilo-AR using housefund received on August 18, 2025 with SI#CA/CEB/000000000269395 CPO#18998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47.014285714285712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18,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7.8357142857142854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18,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438.8</v>
      </c>
      <c r="F13" s="89" t="str">
        <f>"Recording house fund expenses for replenishment on " &amp; TEXT(A5, "mmmm dd, yyyy")</f>
        <v>Recording house fund expenses for replenishment on August 18,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446.6357142857143</v>
      </c>
      <c r="E14" s="88">
        <f>SUM(E10:E13)</f>
        <v>446.6357142857143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18, 2025 with PCV#20936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2760F-CF40-41F8-90E8-09ABF779E09C}">
  <sheetPr>
    <tabColor rgb="FF00FF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45889</v>
      </c>
      <c r="B5" s="3" t="s">
        <v>587</v>
      </c>
      <c r="C5" s="4" t="s">
        <v>704</v>
      </c>
      <c r="D5" s="5" t="s">
        <v>210</v>
      </c>
      <c r="E5" s="6" t="s">
        <v>588</v>
      </c>
      <c r="F5" s="7" t="s">
        <v>589</v>
      </c>
      <c r="G5" s="8"/>
      <c r="H5" s="9" t="s">
        <v>590</v>
      </c>
      <c r="I5" s="10"/>
      <c r="J5" s="11" t="s">
        <v>226</v>
      </c>
      <c r="K5" s="12">
        <v>1</v>
      </c>
      <c r="L5" s="13">
        <v>518</v>
      </c>
      <c r="M5" s="14">
        <f t="shared" ref="M5" si="0">L5*K5</f>
        <v>518</v>
      </c>
      <c r="N5" s="15"/>
      <c r="O5" s="16" t="s">
        <v>137</v>
      </c>
      <c r="P5" s="17"/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B5" s="17">
        <f>M5+P5-Q5</f>
        <v>518</v>
      </c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518</v>
      </c>
      <c r="N6" s="38">
        <f>M6</f>
        <v>518</v>
      </c>
      <c r="O6" s="39" t="s">
        <v>137</v>
      </c>
      <c r="P6" s="38"/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>SUM(BB5:BB5)</f>
        <v>518</v>
      </c>
      <c r="BC6" s="38">
        <f t="shared" ref="BC6:CV6" si="3">SUM(BC5:BC5)</f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 xml:space="preserve">CHOWKING 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227</v>
      </c>
      <c r="B10" s="71"/>
      <c r="C10" s="72"/>
      <c r="D10" s="73">
        <f>BB6</f>
        <v>518</v>
      </c>
      <c r="E10" s="74"/>
      <c r="F10" s="75" t="str">
        <f>"In payment for employees meal staff meal during bank transactions using housefund received on " &amp; TEXT(A5, "mmmm dd, yyyy") &amp; " with SI#A-88VCH6AWWCNVAV" &amp; " CPO#" &amp;B5</f>
        <v xml:space="preserve">In payment for employees meal staff meal during bank transactions using housefund received on August 20, 2025 with SI#A-88VCH6AWWCNVAV CPO#19001 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20,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20,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518</v>
      </c>
      <c r="F13" s="89" t="str">
        <f>"Recording house fund expenses for replenishment on " &amp; TEXT(A5, "mmmm dd, yyyy")</f>
        <v>Recording house fund expenses for replenishment on August 20,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518</v>
      </c>
      <c r="E14" s="88">
        <f>SUM(E10:E13)</f>
        <v>518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20, 2025 with PCV#20937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3664F-9727-42DF-879A-210437DAC5D7}">
  <sheetPr>
    <tabColor rgb="FF00FF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45889</v>
      </c>
      <c r="B5" s="3" t="s">
        <v>591</v>
      </c>
      <c r="C5" s="4" t="s">
        <v>705</v>
      </c>
      <c r="D5" s="5" t="s">
        <v>133</v>
      </c>
      <c r="E5" s="6" t="s">
        <v>592</v>
      </c>
      <c r="F5" s="7" t="s">
        <v>593</v>
      </c>
      <c r="G5" s="8" t="s">
        <v>594</v>
      </c>
      <c r="H5" s="9">
        <v>1036</v>
      </c>
      <c r="I5" s="10"/>
      <c r="J5" s="11" t="s">
        <v>45</v>
      </c>
      <c r="K5" s="12">
        <v>1</v>
      </c>
      <c r="L5" s="13">
        <v>2000</v>
      </c>
      <c r="M5" s="14">
        <f t="shared" ref="M5" si="0">L5*K5</f>
        <v>2000</v>
      </c>
      <c r="N5" s="15"/>
      <c r="O5" s="16" t="s">
        <v>137</v>
      </c>
      <c r="P5" s="17">
        <f>M5*0.02</f>
        <v>40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BY5" s="17">
        <f>M5+P5-Q5</f>
        <v>2040</v>
      </c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2000</v>
      </c>
      <c r="N6" s="38">
        <f>M6</f>
        <v>2000</v>
      </c>
      <c r="O6" s="39" t="s">
        <v>137</v>
      </c>
      <c r="P6" s="38">
        <f>SUM(P5:P5)</f>
        <v>40</v>
      </c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>SUM(BY5:BY5)</f>
        <v>2040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ATTY JOSE LIMALIMA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45</v>
      </c>
      <c r="B10" s="71"/>
      <c r="C10" s="72"/>
      <c r="D10" s="73">
        <f>BY6</f>
        <v>2040</v>
      </c>
      <c r="E10" s="74"/>
      <c r="F10" s="75" t="str">
        <f>"In payment for documentary and notarial fee using housefund received on " &amp; TEXT(A5, "mmmm dd, yyyy") &amp; " with SI#1036" &amp; " CPO#" &amp;B5</f>
        <v>In payment for documentary and notarial fee using housefund received on August 20, 2025 with SI#1036 CPO#19007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20,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40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20,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2000</v>
      </c>
      <c r="F13" s="89" t="str">
        <f>"Recording house fund expenses for replenishment on " &amp; TEXT(A5, "mmmm dd, yyyy")</f>
        <v>Recording house fund expenses for replenishment on August 20,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2040</v>
      </c>
      <c r="E14" s="88">
        <f>SUM(E10:E13)</f>
        <v>2040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20, 2025 with PCV#20938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D0732-5F1A-4C08-B7B2-57D375FB62A5}">
  <sheetPr>
    <tabColor rgb="FF00FF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45890</v>
      </c>
      <c r="B5" s="3" t="s">
        <v>595</v>
      </c>
      <c r="C5" s="4" t="s">
        <v>706</v>
      </c>
      <c r="D5" s="5" t="s">
        <v>570</v>
      </c>
      <c r="E5" s="6" t="s">
        <v>571</v>
      </c>
      <c r="F5" s="7" t="s">
        <v>575</v>
      </c>
      <c r="G5" s="8" t="s">
        <v>572</v>
      </c>
      <c r="H5" s="9">
        <v>2966</v>
      </c>
      <c r="I5" s="10"/>
      <c r="J5" s="11" t="s">
        <v>596</v>
      </c>
      <c r="K5" s="12">
        <v>1</v>
      </c>
      <c r="L5" s="13">
        <v>600</v>
      </c>
      <c r="M5" s="14">
        <f t="shared" ref="M5" si="0">L5*K5</f>
        <v>600</v>
      </c>
      <c r="N5" s="15"/>
      <c r="O5" s="16" t="s">
        <v>137</v>
      </c>
      <c r="P5" s="17">
        <f>M5*0.02</f>
        <v>12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17">
        <f>M5+P5-Q5</f>
        <v>612</v>
      </c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600</v>
      </c>
      <c r="N6" s="38">
        <f>M6</f>
        <v>600</v>
      </c>
      <c r="O6" s="39" t="s">
        <v>137</v>
      </c>
      <c r="P6" s="38">
        <f>SUM(P5:P5)</f>
        <v>12</v>
      </c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>SUM(AW5:AW5)</f>
        <v>612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AMREL BEAUTY AND MASSAGE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338</v>
      </c>
      <c r="B10" s="71"/>
      <c r="C10" s="72"/>
      <c r="D10" s="73">
        <f>AW6</f>
        <v>612</v>
      </c>
      <c r="E10" s="74"/>
      <c r="F10" s="75" t="str">
        <f>"In payment for massage using housefund received on " &amp; TEXT(A5, "mmmm dd, yyyy") &amp; " with SI#2966" &amp; " CPO#" &amp;B5</f>
        <v>In payment for massage using housefund received on August 21, 2025 with SI#2966 CPO#19012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21,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12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21,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600</v>
      </c>
      <c r="F13" s="89" t="str">
        <f>"Recording house fund expenses for replenishment on " &amp; TEXT(A5, "mmmm dd, yyyy")</f>
        <v>Recording house fund expenses for replenishment on August 21,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612</v>
      </c>
      <c r="E14" s="88">
        <f>SUM(E10:E13)</f>
        <v>612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21, 2025 with PCV#20939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1BE3E-0AB7-4BD9-8369-30B350EADE30}">
  <sheetPr>
    <tabColor rgb="FF00FF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45889</v>
      </c>
      <c r="B5" s="3" t="s">
        <v>595</v>
      </c>
      <c r="C5" s="4" t="s">
        <v>707</v>
      </c>
      <c r="D5" s="5" t="s">
        <v>570</v>
      </c>
      <c r="E5" s="6" t="s">
        <v>597</v>
      </c>
      <c r="F5" s="7" t="s">
        <v>229</v>
      </c>
      <c r="G5" s="8" t="s">
        <v>286</v>
      </c>
      <c r="H5" s="9">
        <v>2963</v>
      </c>
      <c r="I5" s="10"/>
      <c r="J5" s="11" t="s">
        <v>312</v>
      </c>
      <c r="K5" s="12">
        <v>1</v>
      </c>
      <c r="L5" s="13">
        <v>1200</v>
      </c>
      <c r="M5" s="14">
        <f t="shared" ref="M5" si="0">L5*K5</f>
        <v>1200</v>
      </c>
      <c r="N5" s="15"/>
      <c r="O5" s="16" t="s">
        <v>137</v>
      </c>
      <c r="P5" s="17">
        <f>M5*0.02</f>
        <v>24</v>
      </c>
      <c r="Q5" s="18"/>
      <c r="R5" s="17">
        <f>M5+P5-Q5</f>
        <v>1224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1200</v>
      </c>
      <c r="N6" s="38">
        <f>M6</f>
        <v>1200</v>
      </c>
      <c r="O6" s="39" t="s">
        <v>137</v>
      </c>
      <c r="P6" s="38">
        <f>SUM(P5:P5)</f>
        <v>24</v>
      </c>
      <c r="Q6" s="38"/>
      <c r="R6" s="38">
        <f>SUM(R5:R5)</f>
        <v>1224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ZEES LAUNDRY SERVICES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338</v>
      </c>
      <c r="B10" s="71"/>
      <c r="C10" s="72"/>
      <c r="D10" s="73">
        <f>R6</f>
        <v>1224</v>
      </c>
      <c r="E10" s="74"/>
      <c r="F10" s="75" t="str">
        <f>"In payment for massage using housefund received on " &amp; TEXT(A5, "mmmm dd, yyyy") &amp; " with SI#2963" &amp; " CPO#" &amp;B5</f>
        <v>In payment for massage using housefund received on August 20, 2025 with SI#2963 CPO#19012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20,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24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20,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1200</v>
      </c>
      <c r="F13" s="89" t="str">
        <f>"Recording house fund expenses for replenishment on " &amp; TEXT(A5, "mmmm dd, yyyy")</f>
        <v>Recording house fund expenses for replenishment on August 20,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1224</v>
      </c>
      <c r="E14" s="88">
        <f>SUM(E10:E13)</f>
        <v>1224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20, 2025 with PCV#20940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6502D-FBC3-4CD4-ABF6-294DE68725C8}">
  <sheetPr>
    <tabColor rgb="FF00FF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45889</v>
      </c>
      <c r="B5" s="3" t="s">
        <v>595</v>
      </c>
      <c r="C5" s="4" t="s">
        <v>708</v>
      </c>
      <c r="D5" s="5" t="s">
        <v>570</v>
      </c>
      <c r="E5" s="6" t="s">
        <v>597</v>
      </c>
      <c r="F5" s="7" t="s">
        <v>229</v>
      </c>
      <c r="G5" s="8" t="s">
        <v>286</v>
      </c>
      <c r="H5" s="9">
        <v>383</v>
      </c>
      <c r="I5" s="10"/>
      <c r="J5" s="11" t="s">
        <v>312</v>
      </c>
      <c r="K5" s="12">
        <v>1</v>
      </c>
      <c r="L5" s="13">
        <v>350</v>
      </c>
      <c r="M5" s="14">
        <f t="shared" ref="M5" si="0">L5*K5</f>
        <v>350</v>
      </c>
      <c r="N5" s="15"/>
      <c r="O5" s="16" t="s">
        <v>137</v>
      </c>
      <c r="P5" s="17">
        <f>M5*0.02</f>
        <v>7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17">
        <f>M5+P5-Q5</f>
        <v>357</v>
      </c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350</v>
      </c>
      <c r="N6" s="38">
        <f>M6</f>
        <v>350</v>
      </c>
      <c r="O6" s="39" t="s">
        <v>137</v>
      </c>
      <c r="P6" s="38">
        <f>SUM(P5:P5)</f>
        <v>7</v>
      </c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>SUM(AW5:AW5)</f>
        <v>357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ZEES LAUNDRY SERVICES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338</v>
      </c>
      <c r="B10" s="71"/>
      <c r="C10" s="72"/>
      <c r="D10" s="73">
        <f>AW6</f>
        <v>357</v>
      </c>
      <c r="E10" s="74"/>
      <c r="F10" s="75" t="str">
        <f>"In payment for laundry services using housefund received on " &amp; TEXT(A5, "mmmm dd, yyyy") &amp; " with SI#383" &amp; " CPO#" &amp;B5</f>
        <v>In payment for laundry services using housefund received on August 20, 2025 with SI#383 CPO#19012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20,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7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20,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350</v>
      </c>
      <c r="F13" s="89" t="str">
        <f>"Recording house fund expenses for replenishment on " &amp; TEXT(A5, "mmmm dd, yyyy")</f>
        <v>Recording house fund expenses for replenishment on August 20,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357</v>
      </c>
      <c r="E14" s="88">
        <f>SUM(E10:E13)</f>
        <v>357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20, 2025 with PCV#20941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406FE-4D27-4727-A0DE-F518FD4AA30F}">
  <sheetPr>
    <tabColor rgb="FF00FF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45889</v>
      </c>
      <c r="B5" s="3" t="s">
        <v>595</v>
      </c>
      <c r="C5" s="4" t="s">
        <v>709</v>
      </c>
      <c r="D5" s="5" t="s">
        <v>570</v>
      </c>
      <c r="E5" s="6" t="s">
        <v>597</v>
      </c>
      <c r="F5" s="7" t="s">
        <v>229</v>
      </c>
      <c r="G5" s="8" t="s">
        <v>286</v>
      </c>
      <c r="H5" s="9">
        <v>382</v>
      </c>
      <c r="I5" s="10"/>
      <c r="J5" s="11" t="s">
        <v>312</v>
      </c>
      <c r="K5" s="12">
        <v>1</v>
      </c>
      <c r="L5" s="13">
        <v>350</v>
      </c>
      <c r="M5" s="14">
        <f t="shared" ref="M5" si="0">L5*K5</f>
        <v>350</v>
      </c>
      <c r="N5" s="15"/>
      <c r="O5" s="16" t="s">
        <v>137</v>
      </c>
      <c r="P5" s="17">
        <f>M5*0.02</f>
        <v>7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17">
        <f>M5+P5-Q5</f>
        <v>357</v>
      </c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350</v>
      </c>
      <c r="N6" s="38">
        <f>M6</f>
        <v>350</v>
      </c>
      <c r="O6" s="39" t="s">
        <v>137</v>
      </c>
      <c r="P6" s="38">
        <f>SUM(P5:P5)</f>
        <v>7</v>
      </c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>SUM(AW5:AW5)</f>
        <v>357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ZEES LAUNDRY SERVICES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574</v>
      </c>
      <c r="B10" s="71"/>
      <c r="C10" s="72"/>
      <c r="D10" s="73">
        <f>AW6</f>
        <v>357</v>
      </c>
      <c r="E10" s="74"/>
      <c r="F10" s="75" t="str">
        <f>"In payment for laundry services using housefund received on " &amp; TEXT(A5, "mmmm dd, yyyy") &amp; " with SI#382" &amp; " CPO#" &amp;B5</f>
        <v>In payment for laundry services using housefund received on August 20, 2025 with SI#382 CPO#19012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20,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7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20,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350</v>
      </c>
      <c r="F13" s="89" t="str">
        <f>"Recording house fund expenses for replenishment on " &amp; TEXT(A5, "mmmm dd, yyyy")</f>
        <v>Recording house fund expenses for replenishment on August 20,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357</v>
      </c>
      <c r="E14" s="88">
        <f>SUM(E10:E13)</f>
        <v>357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20, 2025 with PCV#20942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8E9BA-8524-4B49-8F65-5B6194C89AB8}">
  <sheetPr>
    <tabColor rgb="FF00FF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45889</v>
      </c>
      <c r="B5" s="3" t="s">
        <v>595</v>
      </c>
      <c r="C5" s="4" t="s">
        <v>710</v>
      </c>
      <c r="D5" s="5" t="s">
        <v>570</v>
      </c>
      <c r="E5" s="6" t="s">
        <v>597</v>
      </c>
      <c r="F5" s="7" t="s">
        <v>229</v>
      </c>
      <c r="G5" s="8" t="s">
        <v>286</v>
      </c>
      <c r="H5" s="9">
        <v>386</v>
      </c>
      <c r="I5" s="10"/>
      <c r="J5" s="11" t="s">
        <v>576</v>
      </c>
      <c r="K5" s="12">
        <v>1</v>
      </c>
      <c r="L5" s="13">
        <v>350</v>
      </c>
      <c r="M5" s="14">
        <f t="shared" ref="M5" si="0">L5*K5</f>
        <v>350</v>
      </c>
      <c r="N5" s="15"/>
      <c r="O5" s="16" t="s">
        <v>137</v>
      </c>
      <c r="P5" s="17">
        <f>M5*0.02</f>
        <v>7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17">
        <f>M5+P5-Q5</f>
        <v>357</v>
      </c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350</v>
      </c>
      <c r="N6" s="38">
        <f>M6</f>
        <v>350</v>
      </c>
      <c r="O6" s="39" t="s">
        <v>137</v>
      </c>
      <c r="P6" s="38">
        <f>SUM(P5:P5)</f>
        <v>7</v>
      </c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>SUM(AW5:AW5)</f>
        <v>357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ZEES LAUNDRY SERVICES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574</v>
      </c>
      <c r="B10" s="71"/>
      <c r="C10" s="72"/>
      <c r="D10" s="73">
        <f>AW6</f>
        <v>357</v>
      </c>
      <c r="E10" s="74"/>
      <c r="F10" s="75" t="str">
        <f>"In payment for massage using housefund received on " &amp; TEXT(A5, "mmmm dd, yyyy") &amp; " with SI#386" &amp; " CPO#" &amp;B5</f>
        <v>In payment for massage using housefund received on August 20, 2025 with SI#386 CPO#19012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20,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7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20,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350</v>
      </c>
      <c r="F13" s="89" t="str">
        <f>"Recording house fund expenses for replenishment on " &amp; TEXT(A5, "mmmm dd, yyyy")</f>
        <v>Recording house fund expenses for replenishment on August 20,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357</v>
      </c>
      <c r="E14" s="88">
        <f>SUM(E10:E13)</f>
        <v>357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20, 2025 with PCV#20943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29F4D-1E9A-4E06-B753-59454FDBB2A0}">
  <sheetPr>
    <tabColor rgb="FF00FF00"/>
  </sheetPr>
  <dimension ref="A1:CY17"/>
  <sheetViews>
    <sheetView topLeftCell="A4" workbookViewId="0">
      <selection activeCell="A5" sqref="A5:XFD8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45877</v>
      </c>
      <c r="B5" s="3" t="s">
        <v>598</v>
      </c>
      <c r="C5" s="4" t="s">
        <v>711</v>
      </c>
      <c r="D5" s="5" t="s">
        <v>570</v>
      </c>
      <c r="E5" s="6" t="s">
        <v>599</v>
      </c>
      <c r="F5" s="7" t="s">
        <v>224</v>
      </c>
      <c r="G5" s="8" t="s">
        <v>600</v>
      </c>
      <c r="H5" s="9">
        <v>217</v>
      </c>
      <c r="I5" s="10"/>
      <c r="J5" s="11" t="s">
        <v>601</v>
      </c>
      <c r="K5" s="12">
        <v>1</v>
      </c>
      <c r="L5" s="13">
        <v>1100</v>
      </c>
      <c r="M5" s="14">
        <f t="shared" ref="M5:M7" si="0">L5*K5</f>
        <v>1100</v>
      </c>
      <c r="N5" s="15"/>
      <c r="O5" s="16" t="s">
        <v>137</v>
      </c>
      <c r="P5" s="17">
        <f>M5*0.02</f>
        <v>22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17">
        <f>M5+P5-Q5</f>
        <v>1122</v>
      </c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602</v>
      </c>
      <c r="K6" s="12">
        <v>1</v>
      </c>
      <c r="L6" s="13">
        <v>1100</v>
      </c>
      <c r="M6" s="14">
        <f t="shared" si="0"/>
        <v>1100</v>
      </c>
      <c r="N6" s="15"/>
      <c r="O6" s="16" t="s">
        <v>137</v>
      </c>
      <c r="P6" s="17">
        <f>M6*0.02</f>
        <v>22</v>
      </c>
      <c r="Q6" s="18"/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17">
        <f>M6+P6-Q6</f>
        <v>1122</v>
      </c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5" customFormat="1" x14ac:dyDescent="0.2">
      <c r="A7" s="2"/>
      <c r="B7" s="3"/>
      <c r="C7" s="4"/>
      <c r="E7" s="6"/>
      <c r="F7" s="7"/>
      <c r="G7" s="8"/>
      <c r="H7" s="9"/>
      <c r="I7" s="10"/>
      <c r="J7" s="11" t="s">
        <v>603</v>
      </c>
      <c r="K7" s="12">
        <v>1</v>
      </c>
      <c r="L7" s="13">
        <v>1100</v>
      </c>
      <c r="M7" s="14">
        <f t="shared" si="0"/>
        <v>1100</v>
      </c>
      <c r="N7" s="15"/>
      <c r="O7" s="16" t="s">
        <v>137</v>
      </c>
      <c r="P7" s="17">
        <f>M7*0.02</f>
        <v>22</v>
      </c>
      <c r="Q7" s="18"/>
      <c r="S7" s="19"/>
      <c r="T7" s="19"/>
      <c r="U7" s="19"/>
      <c r="V7" s="19"/>
      <c r="W7" s="17"/>
      <c r="X7" s="20"/>
      <c r="Y7" s="19"/>
      <c r="Z7" s="19"/>
      <c r="AA7" s="19"/>
      <c r="AB7" s="19"/>
      <c r="AC7" s="19"/>
      <c r="AD7" s="19"/>
      <c r="AF7" s="19"/>
      <c r="AH7" s="17"/>
      <c r="AI7" s="19"/>
      <c r="AJ7" s="19"/>
      <c r="AK7" s="19"/>
      <c r="AL7" s="19"/>
      <c r="AM7" s="17"/>
      <c r="AN7" s="19"/>
      <c r="AO7" s="19"/>
      <c r="AP7" s="19"/>
      <c r="AQ7" s="19"/>
      <c r="AR7" s="19"/>
      <c r="AS7" s="21"/>
      <c r="AU7" s="19"/>
      <c r="AW7" s="22"/>
      <c r="AX7" s="19"/>
      <c r="AZ7" s="19"/>
      <c r="BC7" s="19"/>
      <c r="BD7" s="19"/>
      <c r="BE7" s="19"/>
      <c r="BF7" s="19"/>
      <c r="BG7" s="19"/>
      <c r="BH7" s="19"/>
      <c r="BI7" s="19"/>
      <c r="BJ7" s="19"/>
      <c r="BK7" s="13"/>
      <c r="BN7" s="19"/>
      <c r="BO7" s="17"/>
      <c r="BP7" s="19"/>
      <c r="BQ7" s="17"/>
      <c r="BR7" s="19"/>
      <c r="BS7" s="13"/>
      <c r="BU7" s="23"/>
      <c r="BV7" s="23"/>
      <c r="BW7" s="17">
        <f>M7+P7-Q7</f>
        <v>1122</v>
      </c>
      <c r="CA7" s="24"/>
      <c r="CB7" s="24"/>
      <c r="CC7" s="24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25"/>
      <c r="CW7" s="26"/>
    </row>
    <row r="8" spans="1:103" s="30" customFormat="1" ht="11.25" x14ac:dyDescent="0.2">
      <c r="A8" s="27"/>
      <c r="B8" s="28"/>
      <c r="C8" s="29"/>
      <c r="E8" s="31"/>
      <c r="F8" s="32"/>
      <c r="G8" s="33"/>
      <c r="H8" s="34"/>
      <c r="I8" s="34"/>
      <c r="J8" s="35"/>
      <c r="K8" s="36"/>
      <c r="L8" s="37"/>
      <c r="M8" s="38">
        <f>SUM(M5:M7)</f>
        <v>3300</v>
      </c>
      <c r="N8" s="38">
        <f>M8</f>
        <v>3300</v>
      </c>
      <c r="O8" s="39" t="s">
        <v>137</v>
      </c>
      <c r="P8" s="38">
        <f>SUM(P5:P7)</f>
        <v>66</v>
      </c>
      <c r="Q8" s="38"/>
      <c r="S8" s="38">
        <f t="shared" ref="S8:AD8" si="1">SUM(S5:S5)</f>
        <v>0</v>
      </c>
      <c r="T8" s="38">
        <f t="shared" si="1"/>
        <v>0</v>
      </c>
      <c r="U8" s="38">
        <f t="shared" si="1"/>
        <v>0</v>
      </c>
      <c r="V8" s="38">
        <f t="shared" si="1"/>
        <v>0</v>
      </c>
      <c r="W8" s="38">
        <f t="shared" si="1"/>
        <v>0</v>
      </c>
      <c r="X8" s="38">
        <f t="shared" si="1"/>
        <v>0</v>
      </c>
      <c r="Y8" s="38">
        <f t="shared" si="1"/>
        <v>0</v>
      </c>
      <c r="Z8" s="38">
        <f t="shared" si="1"/>
        <v>0</v>
      </c>
      <c r="AA8" s="38">
        <f t="shared" si="1"/>
        <v>0</v>
      </c>
      <c r="AB8" s="38">
        <f t="shared" si="1"/>
        <v>0</v>
      </c>
      <c r="AC8" s="38">
        <f t="shared" si="1"/>
        <v>0</v>
      </c>
      <c r="AD8" s="38">
        <f t="shared" si="1"/>
        <v>0</v>
      </c>
      <c r="AF8" s="38">
        <f>SUM(AF5:AF5)</f>
        <v>0</v>
      </c>
      <c r="AH8" s="38">
        <f t="shared" ref="AH8:AZ8" si="2">SUM(AH5:AH5)</f>
        <v>0</v>
      </c>
      <c r="AI8" s="38">
        <f t="shared" si="2"/>
        <v>0</v>
      </c>
      <c r="AJ8" s="38">
        <f t="shared" si="2"/>
        <v>0</v>
      </c>
      <c r="AK8" s="38">
        <f t="shared" si="2"/>
        <v>0</v>
      </c>
      <c r="AL8" s="38">
        <f t="shared" si="2"/>
        <v>0</v>
      </c>
      <c r="AM8" s="38">
        <f t="shared" si="2"/>
        <v>0</v>
      </c>
      <c r="AN8" s="38">
        <f t="shared" si="2"/>
        <v>0</v>
      </c>
      <c r="AO8" s="38">
        <f t="shared" si="2"/>
        <v>0</v>
      </c>
      <c r="AP8" s="38">
        <f t="shared" si="2"/>
        <v>0</v>
      </c>
      <c r="AQ8" s="38">
        <f t="shared" si="2"/>
        <v>0</v>
      </c>
      <c r="AR8" s="38">
        <f t="shared" si="2"/>
        <v>0</v>
      </c>
      <c r="AS8" s="38">
        <f t="shared" si="2"/>
        <v>0</v>
      </c>
      <c r="AT8" s="38">
        <f t="shared" si="2"/>
        <v>0</v>
      </c>
      <c r="AU8" s="38">
        <f t="shared" si="2"/>
        <v>0</v>
      </c>
      <c r="AV8" s="38">
        <f t="shared" si="2"/>
        <v>0</v>
      </c>
      <c r="AW8" s="38">
        <f t="shared" si="2"/>
        <v>0</v>
      </c>
      <c r="AX8" s="38">
        <f t="shared" si="2"/>
        <v>0</v>
      </c>
      <c r="AY8" s="38">
        <f t="shared" si="2"/>
        <v>0</v>
      </c>
      <c r="AZ8" s="38">
        <f t="shared" si="2"/>
        <v>0</v>
      </c>
      <c r="BB8" s="38">
        <f t="shared" ref="BB8:CV8" si="3">SUM(BB5:BB5)</f>
        <v>0</v>
      </c>
      <c r="BC8" s="38">
        <f t="shared" si="3"/>
        <v>0</v>
      </c>
      <c r="BD8" s="38">
        <f t="shared" si="3"/>
        <v>0</v>
      </c>
      <c r="BE8" s="38">
        <f t="shared" si="3"/>
        <v>0</v>
      </c>
      <c r="BF8" s="38">
        <f t="shared" si="3"/>
        <v>0</v>
      </c>
      <c r="BG8" s="38">
        <f t="shared" si="3"/>
        <v>0</v>
      </c>
      <c r="BH8" s="38">
        <f t="shared" si="3"/>
        <v>0</v>
      </c>
      <c r="BI8" s="38">
        <f t="shared" si="3"/>
        <v>0</v>
      </c>
      <c r="BJ8" s="38">
        <f t="shared" si="3"/>
        <v>0</v>
      </c>
      <c r="BK8" s="38">
        <f t="shared" si="3"/>
        <v>0</v>
      </c>
      <c r="BL8" s="38">
        <f t="shared" si="3"/>
        <v>0</v>
      </c>
      <c r="BM8" s="38">
        <f t="shared" si="3"/>
        <v>0</v>
      </c>
      <c r="BN8" s="38">
        <f t="shared" si="3"/>
        <v>0</v>
      </c>
      <c r="BO8" s="38">
        <f t="shared" si="3"/>
        <v>0</v>
      </c>
      <c r="BP8" s="38">
        <f t="shared" si="3"/>
        <v>0</v>
      </c>
      <c r="BQ8" s="38">
        <f t="shared" si="3"/>
        <v>0</v>
      </c>
      <c r="BR8" s="38">
        <f t="shared" si="3"/>
        <v>0</v>
      </c>
      <c r="BS8" s="38">
        <f t="shared" si="3"/>
        <v>0</v>
      </c>
      <c r="BT8" s="38">
        <f t="shared" si="3"/>
        <v>0</v>
      </c>
      <c r="BU8" s="38">
        <f t="shared" si="3"/>
        <v>0</v>
      </c>
      <c r="BV8" s="38">
        <f t="shared" si="3"/>
        <v>0</v>
      </c>
      <c r="BW8" s="38">
        <f>SUM(BW5:BW7)</f>
        <v>3366</v>
      </c>
      <c r="BX8" s="38">
        <f t="shared" si="3"/>
        <v>0</v>
      </c>
      <c r="BY8" s="38">
        <f t="shared" si="3"/>
        <v>0</v>
      </c>
      <c r="BZ8" s="38">
        <f t="shared" si="3"/>
        <v>0</v>
      </c>
      <c r="CA8" s="38">
        <f t="shared" si="3"/>
        <v>0</v>
      </c>
      <c r="CB8" s="38">
        <f t="shared" si="3"/>
        <v>0</v>
      </c>
      <c r="CC8" s="38">
        <f t="shared" si="3"/>
        <v>0</v>
      </c>
      <c r="CD8" s="38">
        <f t="shared" si="3"/>
        <v>0</v>
      </c>
      <c r="CE8" s="38">
        <f t="shared" si="3"/>
        <v>0</v>
      </c>
      <c r="CF8" s="38">
        <f t="shared" si="3"/>
        <v>0</v>
      </c>
      <c r="CG8" s="38">
        <f t="shared" si="3"/>
        <v>0</v>
      </c>
      <c r="CH8" s="38">
        <f t="shared" si="3"/>
        <v>0</v>
      </c>
      <c r="CI8" s="38">
        <f t="shared" si="3"/>
        <v>0</v>
      </c>
      <c r="CJ8" s="38">
        <f t="shared" si="3"/>
        <v>0</v>
      </c>
      <c r="CK8" s="38">
        <f t="shared" si="3"/>
        <v>0</v>
      </c>
      <c r="CL8" s="38">
        <f t="shared" si="3"/>
        <v>0</v>
      </c>
      <c r="CM8" s="38">
        <f t="shared" si="3"/>
        <v>0</v>
      </c>
      <c r="CN8" s="38">
        <f t="shared" si="3"/>
        <v>0</v>
      </c>
      <c r="CO8" s="38">
        <f t="shared" si="3"/>
        <v>0</v>
      </c>
      <c r="CP8" s="38">
        <f t="shared" si="3"/>
        <v>0</v>
      </c>
      <c r="CQ8" s="38">
        <f t="shared" si="3"/>
        <v>0</v>
      </c>
      <c r="CR8" s="38">
        <f t="shared" si="3"/>
        <v>0</v>
      </c>
      <c r="CS8" s="38">
        <f t="shared" si="3"/>
        <v>0</v>
      </c>
      <c r="CT8" s="38">
        <f t="shared" si="3"/>
        <v>0</v>
      </c>
      <c r="CU8" s="38">
        <f t="shared" si="3"/>
        <v>0</v>
      </c>
      <c r="CV8" s="38">
        <f t="shared" si="3"/>
        <v>0</v>
      </c>
      <c r="CW8" s="40"/>
    </row>
    <row r="9" spans="1:103" customFormat="1" ht="15" x14ac:dyDescent="0.25"/>
    <row r="10" spans="1:103" customFormat="1" ht="15" x14ac:dyDescent="0.25">
      <c r="A10" s="41" t="str">
        <f>E5</f>
        <v>ALTECE MACTAN WATER TESTING LABORATORY</v>
      </c>
      <c r="B10" s="42"/>
      <c r="C10" s="43"/>
      <c r="D10" s="44"/>
      <c r="E10" s="44"/>
      <c r="F10" s="45"/>
      <c r="G10" s="46"/>
      <c r="H10" s="47"/>
      <c r="I10" s="48"/>
      <c r="J10" s="49"/>
      <c r="K10" s="50"/>
      <c r="L10" s="51"/>
      <c r="M10" s="52"/>
      <c r="N10" s="53"/>
      <c r="O10" s="54"/>
      <c r="P10" s="55"/>
    </row>
    <row r="11" spans="1:103" customFormat="1" ht="15" x14ac:dyDescent="0.25">
      <c r="A11" s="56"/>
      <c r="B11" s="57"/>
      <c r="C11" s="58"/>
      <c r="D11" s="59" t="s">
        <v>112</v>
      </c>
      <c r="E11" s="59" t="s">
        <v>113</v>
      </c>
      <c r="F11" s="60" t="s">
        <v>114</v>
      </c>
      <c r="G11" s="61"/>
      <c r="H11" s="62"/>
      <c r="I11" s="63"/>
      <c r="J11" s="64"/>
      <c r="K11" s="1"/>
      <c r="L11" s="65"/>
      <c r="M11" s="66"/>
      <c r="N11" s="67"/>
      <c r="O11" s="68"/>
      <c r="P11" s="69"/>
    </row>
    <row r="12" spans="1:103" customFormat="1" ht="13.5" customHeight="1" x14ac:dyDescent="0.25">
      <c r="A12" s="70" t="s">
        <v>43</v>
      </c>
      <c r="B12" s="71"/>
      <c r="C12" s="72"/>
      <c r="D12" s="73">
        <f>BW8</f>
        <v>3366</v>
      </c>
      <c r="E12" s="74"/>
      <c r="F12" s="75" t="str">
        <f>"In payment for room, faucet, and galloon water testing using housefund received on " &amp; TEXT(A5, "mmmm dd, yyyy") &amp; " with SI#217" &amp; " CPO#" &amp;B5</f>
        <v>In payment for room, faucet, and galloon water testing using housefund received on August 08, 2025 with SI#217 CPO#19013</v>
      </c>
      <c r="G12" s="76"/>
      <c r="H12" s="77"/>
      <c r="I12" s="77"/>
      <c r="J12" s="76"/>
      <c r="K12" s="1"/>
      <c r="L12" s="65"/>
      <c r="M12" s="78"/>
      <c r="N12" s="79"/>
      <c r="O12" s="80"/>
      <c r="P12" s="81"/>
    </row>
    <row r="13" spans="1:103" customFormat="1" ht="15" x14ac:dyDescent="0.25">
      <c r="A13" s="70" t="s">
        <v>115</v>
      </c>
      <c r="B13" s="71"/>
      <c r="C13" s="72"/>
      <c r="D13" s="73">
        <f>Q8</f>
        <v>0</v>
      </c>
      <c r="E13" s="74"/>
      <c r="F13" s="64" t="str">
        <f>"Recording input VAT for expenses and purchases made using house fund for " &amp; TEXT(A5, "mmmm dd, yyyy")</f>
        <v>Recording input VAT for expenses and purchases made using house fund for August 08,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 t="s">
        <v>116</v>
      </c>
      <c r="B14" s="86"/>
      <c r="C14" s="87"/>
      <c r="D14" s="88"/>
      <c r="E14" s="74">
        <f>P8</f>
        <v>66</v>
      </c>
      <c r="F14" s="89" t="str">
        <f>"Recording the tax withheld for expenses and purchases using the house fund received on " &amp; TEXT(A5, "mmmm dd, yyyy")</f>
        <v>Recording the tax withheld for expenses and purchases using the house fund received on August 08,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70" t="s">
        <v>117</v>
      </c>
      <c r="B15" s="86"/>
      <c r="C15" s="87"/>
      <c r="D15" s="90"/>
      <c r="E15" s="91">
        <f>M8</f>
        <v>3300</v>
      </c>
      <c r="F15" s="89" t="str">
        <f>"Recording house fund expenses for replenishment on " &amp; TEXT(A5, "mmmm dd, yyyy")</f>
        <v>Recording house fund expenses for replenishment on August 08, 2025</v>
      </c>
      <c r="G15" s="82"/>
      <c r="H15" s="83"/>
      <c r="I15" s="84"/>
      <c r="J15" s="82"/>
      <c r="K15" s="1"/>
      <c r="L15" s="65"/>
      <c r="M15" s="66"/>
      <c r="N15" s="67"/>
      <c r="O15" s="68"/>
      <c r="P15" s="69"/>
    </row>
    <row r="16" spans="1:103" customFormat="1" ht="15" x14ac:dyDescent="0.25">
      <c r="A16" s="85"/>
      <c r="B16" s="86"/>
      <c r="C16" s="87"/>
      <c r="D16" s="88">
        <f>SUM(D12:D13)</f>
        <v>3366</v>
      </c>
      <c r="E16" s="88">
        <f>SUM(E12:E15)</f>
        <v>3366</v>
      </c>
      <c r="F16" s="92"/>
      <c r="G16" s="92"/>
      <c r="H16" s="93"/>
      <c r="I16" s="94"/>
      <c r="J16" s="92"/>
      <c r="K16" s="1"/>
      <c r="L16" s="65"/>
      <c r="M16" s="66"/>
      <c r="N16" s="67"/>
      <c r="O16" s="68"/>
      <c r="P16" s="69"/>
    </row>
    <row r="17" spans="1:16" customFormat="1" ht="15" x14ac:dyDescent="0.25">
      <c r="A17" s="95" t="s">
        <v>118</v>
      </c>
      <c r="B17" s="96" t="str">
        <f>"To record house fund expenses on " &amp; TEXT(A5, "mmmm dd, yyyy") &amp; " with PCV#" &amp; C5</f>
        <v>To record house fund expenses on August 08, 2025 with PCV#20944</v>
      </c>
      <c r="C17" s="97"/>
      <c r="D17" s="98"/>
      <c r="E17" s="98"/>
      <c r="F17" s="98"/>
      <c r="G17" s="92"/>
      <c r="H17" s="93"/>
      <c r="I17" s="94"/>
      <c r="J17" s="92"/>
      <c r="K17" s="1"/>
      <c r="L17" s="65"/>
      <c r="M17" s="66"/>
      <c r="N17" s="67"/>
      <c r="O17" s="68"/>
      <c r="P17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E2183-2983-4649-AA10-1CAACCA4134F}">
  <sheetPr>
    <tabColor rgb="FF00FF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45895</v>
      </c>
      <c r="B5" s="3" t="s">
        <v>604</v>
      </c>
      <c r="C5" s="4" t="s">
        <v>712</v>
      </c>
      <c r="D5" s="5" t="s">
        <v>605</v>
      </c>
      <c r="E5" s="6" t="s">
        <v>606</v>
      </c>
      <c r="F5" s="7" t="s">
        <v>593</v>
      </c>
      <c r="G5" s="8" t="s">
        <v>607</v>
      </c>
      <c r="H5" s="9">
        <v>36705</v>
      </c>
      <c r="I5" s="10"/>
      <c r="J5" s="11" t="s">
        <v>608</v>
      </c>
      <c r="K5" s="12">
        <v>1</v>
      </c>
      <c r="L5" s="13">
        <v>180</v>
      </c>
      <c r="M5" s="14">
        <f t="shared" ref="M5" si="0">L5*K5</f>
        <v>180</v>
      </c>
      <c r="N5" s="15"/>
      <c r="O5" s="16" t="s">
        <v>137</v>
      </c>
      <c r="P5" s="17">
        <f>M5*0.02</f>
        <v>3.6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BY5" s="17">
        <f>M5+P5-Q5</f>
        <v>183.6</v>
      </c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180</v>
      </c>
      <c r="N6" s="38">
        <f>M6</f>
        <v>180</v>
      </c>
      <c r="O6" s="39" t="s">
        <v>137</v>
      </c>
      <c r="P6" s="38">
        <f>SUM(P5:P5)</f>
        <v>3.6</v>
      </c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>SUM(BY5:BY5)</f>
        <v>183.6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YVONNE MARIE SERATE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45</v>
      </c>
      <c r="B10" s="71"/>
      <c r="C10" s="72"/>
      <c r="D10" s="73">
        <f>BY6</f>
        <v>183.6</v>
      </c>
      <c r="E10" s="74"/>
      <c r="F10" s="75" t="str">
        <f>"In payment for notarize for legal services using housefund received on " &amp; TEXT(A5, "mmmm dd, yyyy") &amp; " with SI#36705" &amp; " CPO#" &amp;B5</f>
        <v>In payment for notarize for legal services using housefund received on August 26, 2025 with SI#36705 CPO#19018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26,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3.6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26,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180</v>
      </c>
      <c r="F13" s="89" t="str">
        <f>"Recording house fund expenses for replenishment on " &amp; TEXT(A5, "mmmm dd, yyyy")</f>
        <v>Recording house fund expenses for replenishment on August 26,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183.6</v>
      </c>
      <c r="E14" s="88">
        <f>SUM(E10:E13)</f>
        <v>183.6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26, 2025 with PCV#20945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BDE3D-B4E2-446C-A82B-E00229710007}">
  <sheetPr>
    <tabColor rgb="FF00FF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45895</v>
      </c>
      <c r="B5" s="3" t="s">
        <v>604</v>
      </c>
      <c r="C5" s="4" t="s">
        <v>713</v>
      </c>
      <c r="D5" s="5" t="s">
        <v>609</v>
      </c>
      <c r="E5" s="6" t="s">
        <v>134</v>
      </c>
      <c r="F5" s="7"/>
      <c r="G5" s="8"/>
      <c r="H5" s="9"/>
      <c r="I5" s="10"/>
      <c r="J5" s="11" t="s">
        <v>135</v>
      </c>
      <c r="K5" s="12">
        <v>1</v>
      </c>
      <c r="L5" s="13">
        <v>300</v>
      </c>
      <c r="M5" s="14">
        <f t="shared" ref="M5" si="0">L5*K5</f>
        <v>300</v>
      </c>
      <c r="N5" s="15"/>
      <c r="O5" s="16" t="s">
        <v>137</v>
      </c>
      <c r="P5" s="17"/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>
        <f>M5+P5-Q5</f>
        <v>300</v>
      </c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300</v>
      </c>
      <c r="N6" s="38">
        <f>M6</f>
        <v>300</v>
      </c>
      <c r="O6" s="39" t="s">
        <v>137</v>
      </c>
      <c r="P6" s="38"/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>SUM(BO5:BO5)</f>
        <v>300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MAXIM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233</v>
      </c>
      <c r="B10" s="71"/>
      <c r="C10" s="72"/>
      <c r="D10" s="73">
        <f>BO6</f>
        <v>300</v>
      </c>
      <c r="E10" s="74"/>
      <c r="F10" s="75" t="str">
        <f>"In payment for transportation expense for employee from lapu-lapu to sotogrande hotel using housefund received on " &amp; TEXT(A5, "mmmm dd, yyyy") &amp; " with" &amp; " CPO#" &amp;B5</f>
        <v>In payment for transportation expense for employee from lapu-lapu to sotogrande hotel using housefund received on August 26, 2025 with CPO#19018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26,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26,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300</v>
      </c>
      <c r="F13" s="89" t="str">
        <f>"Recording house fund expenses for replenishment on " &amp; TEXT(A5, "mmmm dd, yyyy")</f>
        <v>Recording house fund expenses for replenishment on August 26,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300</v>
      </c>
      <c r="E14" s="88">
        <f>SUM(E10:E13)</f>
        <v>300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26, 2025 with PCV#20946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D4279-2EAE-48B3-8753-212623FE2548}">
  <sheetPr>
    <tabColor rgb="FF00FF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45895</v>
      </c>
      <c r="B5" s="3" t="s">
        <v>604</v>
      </c>
      <c r="C5" s="4" t="s">
        <v>714</v>
      </c>
      <c r="D5" s="5" t="s">
        <v>605</v>
      </c>
      <c r="E5" s="6" t="s">
        <v>234</v>
      </c>
      <c r="F5" s="7"/>
      <c r="G5" s="8"/>
      <c r="H5" s="9" t="s">
        <v>610</v>
      </c>
      <c r="I5" s="10"/>
      <c r="J5" s="11" t="s">
        <v>232</v>
      </c>
      <c r="K5" s="12">
        <v>1</v>
      </c>
      <c r="L5" s="13">
        <v>298</v>
      </c>
      <c r="M5" s="14">
        <f t="shared" ref="M5" si="0">L5*K5</f>
        <v>298</v>
      </c>
      <c r="N5" s="15"/>
      <c r="O5" s="16" t="s">
        <v>137</v>
      </c>
      <c r="P5" s="17"/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>
        <f>M5+P5-Q5</f>
        <v>298</v>
      </c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298</v>
      </c>
      <c r="N6" s="38">
        <f>M6</f>
        <v>298</v>
      </c>
      <c r="O6" s="39" t="s">
        <v>137</v>
      </c>
      <c r="P6" s="38">
        <f>SUM(P5:P5)</f>
        <v>0</v>
      </c>
      <c r="Q6" s="38">
        <f>SUM(Q5:Q5)</f>
        <v>0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>SUM(BO5:BO5)</f>
        <v>298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181" t="str">
        <f>E5</f>
        <v>GRAB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233</v>
      </c>
      <c r="B10" s="71"/>
      <c r="C10" s="72"/>
      <c r="D10" s="73">
        <f>BO6</f>
        <v>298</v>
      </c>
      <c r="E10" s="74"/>
      <c r="F10" s="75" t="str">
        <f>"In payment for transportation expense for employee from sotogrande to rivera serate law office using housefund received on " &amp; TEXT(A5, "mmmm dd, yyyy") &amp; " with SI#A-890KAMOGWD2FAV" &amp; " CPO#" &amp;B5</f>
        <v>In payment for transportation expense for employee from sotogrande to rivera serate law office using housefund received on August 26, 2025 with SI#A-890KAMOGWD2FAV CPO#19018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26,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26,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298</v>
      </c>
      <c r="F13" s="89" t="str">
        <f>"Recording house fund expenses for replenishment on " &amp; TEXT(A5, "mmmm dd, yyyy")</f>
        <v>Recording house fund expenses for replenishment on August 26,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298</v>
      </c>
      <c r="E14" s="88">
        <f>SUM(E10:E13)</f>
        <v>298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26, 2025 with PCV#20947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C4FA4-9953-4DBF-B5BF-7BC4DB0FED1D}">
  <sheetPr>
    <tabColor rgb="FF00FF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45894</v>
      </c>
      <c r="B5" s="3" t="s">
        <v>611</v>
      </c>
      <c r="C5" s="4" t="s">
        <v>715</v>
      </c>
      <c r="D5" s="5" t="s">
        <v>570</v>
      </c>
      <c r="E5" s="6" t="s">
        <v>612</v>
      </c>
      <c r="F5" s="7" t="s">
        <v>229</v>
      </c>
      <c r="G5" s="8" t="s">
        <v>613</v>
      </c>
      <c r="H5" s="9">
        <v>34540</v>
      </c>
      <c r="I5" s="10"/>
      <c r="J5" s="11" t="s">
        <v>614</v>
      </c>
      <c r="K5" s="12">
        <v>1</v>
      </c>
      <c r="L5" s="13">
        <v>348</v>
      </c>
      <c r="M5" s="14">
        <f t="shared" ref="M5" si="0">L5*K5</f>
        <v>348</v>
      </c>
      <c r="N5" s="15"/>
      <c r="O5" s="16" t="s">
        <v>137</v>
      </c>
      <c r="P5" s="17">
        <f>M5*0.02</f>
        <v>6.96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17">
        <f>M5+P5-Q5</f>
        <v>354.96</v>
      </c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348</v>
      </c>
      <c r="N6" s="38">
        <f>M6</f>
        <v>348</v>
      </c>
      <c r="O6" s="39" t="s">
        <v>137</v>
      </c>
      <c r="P6" s="38">
        <f>SUM(P5:P5)</f>
        <v>6.96</v>
      </c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>SUM(AW5:AW5)</f>
        <v>354.96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 xml:space="preserve">BASTIES SERVICES 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338</v>
      </c>
      <c r="B10" s="71"/>
      <c r="C10" s="72"/>
      <c r="D10" s="73">
        <f>AW6</f>
        <v>354.96</v>
      </c>
      <c r="E10" s="74"/>
      <c r="F10" s="75" t="str">
        <f>"In payment for laundry services using housefund received on " &amp; TEXT(A5, "mmmm dd, yyyy") &amp; " with SI#34540" &amp; " CPO#" &amp;B5</f>
        <v>In payment for laundry services using housefund received on August 25, 2025 with SI#34540 CPO#19020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25,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6.96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25,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348</v>
      </c>
      <c r="F13" s="89" t="str">
        <f>"Recording house fund expenses for replenishment on " &amp; TEXT(A5, "mmmm dd, yyyy")</f>
        <v>Recording house fund expenses for replenishment on August 25,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354.96</v>
      </c>
      <c r="E14" s="88">
        <f>SUM(E10:E13)</f>
        <v>354.96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25, 2025 with PCV#20948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C097B-6A17-4D59-865D-9748A955982A}">
  <sheetPr>
    <tabColor rgb="FF00FF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45895</v>
      </c>
      <c r="B5" s="3" t="s">
        <v>611</v>
      </c>
      <c r="C5" s="4" t="s">
        <v>716</v>
      </c>
      <c r="D5" s="5" t="s">
        <v>570</v>
      </c>
      <c r="E5" s="6" t="s">
        <v>615</v>
      </c>
      <c r="F5" s="7" t="s">
        <v>229</v>
      </c>
      <c r="G5" s="8" t="s">
        <v>613</v>
      </c>
      <c r="H5" s="9">
        <v>34555</v>
      </c>
      <c r="I5" s="10"/>
      <c r="J5" s="11" t="s">
        <v>614</v>
      </c>
      <c r="K5" s="12">
        <v>1</v>
      </c>
      <c r="L5" s="13">
        <v>250</v>
      </c>
      <c r="M5" s="14">
        <f t="shared" ref="M5" si="0">L5*K5</f>
        <v>250</v>
      </c>
      <c r="N5" s="15"/>
      <c r="O5" s="16" t="s">
        <v>137</v>
      </c>
      <c r="P5" s="17">
        <f>M5*0.02</f>
        <v>5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17">
        <f>M5+P5-Q5</f>
        <v>255</v>
      </c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250</v>
      </c>
      <c r="N6" s="38">
        <f>M6</f>
        <v>250</v>
      </c>
      <c r="O6" s="39" t="s">
        <v>137</v>
      </c>
      <c r="P6" s="38">
        <f>SUM(P5:P5)</f>
        <v>5</v>
      </c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>SUM(AW5:AW5)</f>
        <v>255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BASTIES LAUNDRY SERVICES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574</v>
      </c>
      <c r="B10" s="71"/>
      <c r="C10" s="72"/>
      <c r="D10" s="73">
        <f>AW6</f>
        <v>255</v>
      </c>
      <c r="E10" s="74"/>
      <c r="F10" s="75" t="str">
        <f>"In payment for laundry services using housefund received on " &amp; TEXT(A5, "mmmm dd, yyyy") &amp; " with SI#34555" &amp; " CPO#" &amp;B5</f>
        <v>In payment for laundry services using housefund received on August 26, 2025 with SI#34555 CPO#19020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26,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5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26,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250</v>
      </c>
      <c r="F13" s="89" t="str">
        <f>"Recording house fund expenses for replenishment on " &amp; TEXT(A5, "mmmm dd, yyyy")</f>
        <v>Recording house fund expenses for replenishment on August 26,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255</v>
      </c>
      <c r="E14" s="88">
        <f>SUM(E10:E13)</f>
        <v>255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26, 2025 with PCV#20949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A33D2-C5CB-4AB8-A5CC-0699363D57FB}">
  <sheetPr>
    <tabColor rgb="FF00FF00"/>
  </sheetPr>
  <dimension ref="A1:CY17"/>
  <sheetViews>
    <sheetView workbookViewId="0">
      <selection activeCell="A5" sqref="A5:XFD8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8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8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45883</v>
      </c>
      <c r="B5" s="3" t="s">
        <v>616</v>
      </c>
      <c r="C5" s="4" t="s">
        <v>717</v>
      </c>
      <c r="D5" s="5" t="s">
        <v>189</v>
      </c>
      <c r="E5" s="6" t="s">
        <v>266</v>
      </c>
      <c r="F5" s="7"/>
      <c r="G5" s="8"/>
      <c r="H5" s="9"/>
      <c r="I5" s="10"/>
      <c r="J5" s="11" t="s">
        <v>342</v>
      </c>
      <c r="K5" s="12">
        <v>10.95</v>
      </c>
      <c r="L5" s="13">
        <v>70</v>
      </c>
      <c r="M5" s="14">
        <f t="shared" ref="M5:M7" si="0">L5*K5</f>
        <v>766.5</v>
      </c>
      <c r="N5" s="15"/>
      <c r="O5" s="16" t="s">
        <v>137</v>
      </c>
      <c r="P5" s="17"/>
      <c r="Q5" s="18"/>
      <c r="R5" s="17">
        <f>M5+P5-Q5</f>
        <v>766.5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337</v>
      </c>
      <c r="K6" s="12">
        <v>16.399999999999999</v>
      </c>
      <c r="L6" s="13">
        <v>50</v>
      </c>
      <c r="M6" s="14">
        <f t="shared" si="0"/>
        <v>819.99999999999989</v>
      </c>
      <c r="N6" s="15"/>
      <c r="O6" s="16" t="s">
        <v>137</v>
      </c>
      <c r="P6" s="17"/>
      <c r="Q6" s="18"/>
      <c r="R6" s="17">
        <f t="shared" ref="R6:R7" si="1">M6+P6-Q6</f>
        <v>819.99999999999989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5" customFormat="1" x14ac:dyDescent="0.2">
      <c r="A7" s="2"/>
      <c r="B7" s="3"/>
      <c r="C7" s="4"/>
      <c r="E7" s="6"/>
      <c r="F7" s="7"/>
      <c r="G7" s="8"/>
      <c r="H7" s="9"/>
      <c r="I7" s="10"/>
      <c r="J7" s="11" t="s">
        <v>617</v>
      </c>
      <c r="K7" s="12">
        <v>5</v>
      </c>
      <c r="L7" s="13">
        <v>45</v>
      </c>
      <c r="M7" s="14">
        <f t="shared" si="0"/>
        <v>225</v>
      </c>
      <c r="N7" s="15"/>
      <c r="O7" s="16" t="s">
        <v>137</v>
      </c>
      <c r="P7" s="17"/>
      <c r="Q7" s="18"/>
      <c r="R7" s="17">
        <f t="shared" si="1"/>
        <v>225</v>
      </c>
      <c r="S7" s="19"/>
      <c r="T7" s="19"/>
      <c r="U7" s="19"/>
      <c r="V7" s="19"/>
      <c r="W7" s="17"/>
      <c r="X7" s="20"/>
      <c r="Y7" s="19"/>
      <c r="Z7" s="19"/>
      <c r="AA7" s="19"/>
      <c r="AB7" s="19"/>
      <c r="AC7" s="19"/>
      <c r="AD7" s="19"/>
      <c r="AF7" s="19"/>
      <c r="AH7" s="17"/>
      <c r="AI7" s="19"/>
      <c r="AJ7" s="19"/>
      <c r="AK7" s="19"/>
      <c r="AL7" s="19"/>
      <c r="AM7" s="17"/>
      <c r="AN7" s="19"/>
      <c r="AO7" s="19"/>
      <c r="AP7" s="19"/>
      <c r="AQ7" s="19"/>
      <c r="AR7" s="19"/>
      <c r="AS7" s="21"/>
      <c r="AU7" s="19"/>
      <c r="AW7" s="22"/>
      <c r="AX7" s="19"/>
      <c r="AZ7" s="19"/>
      <c r="BC7" s="19"/>
      <c r="BD7" s="19"/>
      <c r="BE7" s="19"/>
      <c r="BF7" s="19"/>
      <c r="BG7" s="19"/>
      <c r="BH7" s="19"/>
      <c r="BI7" s="19"/>
      <c r="BJ7" s="19"/>
      <c r="BK7" s="13"/>
      <c r="BN7" s="19"/>
      <c r="BO7" s="17"/>
      <c r="BP7" s="19"/>
      <c r="BQ7" s="17"/>
      <c r="BR7" s="19"/>
      <c r="BS7" s="13"/>
      <c r="BU7" s="23"/>
      <c r="BV7" s="23"/>
      <c r="BW7" s="24"/>
      <c r="CA7" s="24"/>
      <c r="CB7" s="24"/>
      <c r="CC7" s="24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25"/>
      <c r="CW7" s="26"/>
    </row>
    <row r="8" spans="1:103" s="30" customFormat="1" ht="11.25" x14ac:dyDescent="0.2">
      <c r="A8" s="27"/>
      <c r="B8" s="28"/>
      <c r="C8" s="29"/>
      <c r="E8" s="31"/>
      <c r="F8" s="32"/>
      <c r="G8" s="33"/>
      <c r="H8" s="34"/>
      <c r="I8" s="34"/>
      <c r="J8" s="35"/>
      <c r="K8" s="36"/>
      <c r="L8" s="37"/>
      <c r="M8" s="38">
        <f>SUM(M5:M7)</f>
        <v>1811.5</v>
      </c>
      <c r="N8" s="38">
        <f>M8</f>
        <v>1811.5</v>
      </c>
      <c r="O8" s="39" t="s">
        <v>137</v>
      </c>
      <c r="P8" s="38"/>
      <c r="Q8" s="38"/>
      <c r="R8" s="38">
        <f>SUM(R5:R7)</f>
        <v>1811.5</v>
      </c>
      <c r="S8" s="38">
        <f t="shared" ref="S8:AD8" si="2">SUM(S5:S5)</f>
        <v>0</v>
      </c>
      <c r="T8" s="38">
        <f t="shared" si="2"/>
        <v>0</v>
      </c>
      <c r="U8" s="38">
        <f t="shared" si="2"/>
        <v>0</v>
      </c>
      <c r="V8" s="38">
        <f t="shared" si="2"/>
        <v>0</v>
      </c>
      <c r="W8" s="38">
        <f t="shared" si="2"/>
        <v>0</v>
      </c>
      <c r="X8" s="38">
        <f t="shared" si="2"/>
        <v>0</v>
      </c>
      <c r="Y8" s="38">
        <f t="shared" si="2"/>
        <v>0</v>
      </c>
      <c r="Z8" s="38">
        <f t="shared" si="2"/>
        <v>0</v>
      </c>
      <c r="AA8" s="38">
        <f t="shared" si="2"/>
        <v>0</v>
      </c>
      <c r="AB8" s="38">
        <f t="shared" si="2"/>
        <v>0</v>
      </c>
      <c r="AC8" s="38">
        <f t="shared" si="2"/>
        <v>0</v>
      </c>
      <c r="AD8" s="38">
        <f t="shared" si="2"/>
        <v>0</v>
      </c>
      <c r="AF8" s="38">
        <f>SUM(AF5:AF5)</f>
        <v>0</v>
      </c>
      <c r="AH8" s="38">
        <f t="shared" ref="AH8:AZ8" si="3">SUM(AH5:AH5)</f>
        <v>0</v>
      </c>
      <c r="AI8" s="38">
        <f t="shared" si="3"/>
        <v>0</v>
      </c>
      <c r="AJ8" s="38">
        <f t="shared" si="3"/>
        <v>0</v>
      </c>
      <c r="AK8" s="38">
        <f t="shared" si="3"/>
        <v>0</v>
      </c>
      <c r="AL8" s="38">
        <f t="shared" si="3"/>
        <v>0</v>
      </c>
      <c r="AM8" s="38">
        <f t="shared" si="3"/>
        <v>0</v>
      </c>
      <c r="AN8" s="38">
        <f t="shared" si="3"/>
        <v>0</v>
      </c>
      <c r="AO8" s="38">
        <f t="shared" si="3"/>
        <v>0</v>
      </c>
      <c r="AP8" s="38">
        <f t="shared" si="3"/>
        <v>0</v>
      </c>
      <c r="AQ8" s="38">
        <f t="shared" si="3"/>
        <v>0</v>
      </c>
      <c r="AR8" s="38">
        <f t="shared" si="3"/>
        <v>0</v>
      </c>
      <c r="AS8" s="38">
        <f t="shared" si="3"/>
        <v>0</v>
      </c>
      <c r="AT8" s="38">
        <f t="shared" si="3"/>
        <v>0</v>
      </c>
      <c r="AU8" s="38">
        <f t="shared" si="3"/>
        <v>0</v>
      </c>
      <c r="AV8" s="38">
        <f t="shared" si="3"/>
        <v>0</v>
      </c>
      <c r="AW8" s="38">
        <f t="shared" si="3"/>
        <v>0</v>
      </c>
      <c r="AX8" s="38">
        <f t="shared" si="3"/>
        <v>0</v>
      </c>
      <c r="AY8" s="38">
        <f t="shared" si="3"/>
        <v>0</v>
      </c>
      <c r="AZ8" s="38">
        <f t="shared" si="3"/>
        <v>0</v>
      </c>
      <c r="BB8" s="38">
        <f t="shared" ref="BB8:CV8" si="4">SUM(BB5:BB5)</f>
        <v>0</v>
      </c>
      <c r="BC8" s="38">
        <f t="shared" si="4"/>
        <v>0</v>
      </c>
      <c r="BD8" s="38">
        <f t="shared" si="4"/>
        <v>0</v>
      </c>
      <c r="BE8" s="38">
        <f t="shared" si="4"/>
        <v>0</v>
      </c>
      <c r="BF8" s="38">
        <f t="shared" si="4"/>
        <v>0</v>
      </c>
      <c r="BG8" s="38">
        <f t="shared" si="4"/>
        <v>0</v>
      </c>
      <c r="BH8" s="38">
        <f t="shared" si="4"/>
        <v>0</v>
      </c>
      <c r="BI8" s="38">
        <f t="shared" si="4"/>
        <v>0</v>
      </c>
      <c r="BJ8" s="38">
        <f t="shared" si="4"/>
        <v>0</v>
      </c>
      <c r="BK8" s="38">
        <f t="shared" si="4"/>
        <v>0</v>
      </c>
      <c r="BL8" s="38">
        <f t="shared" si="4"/>
        <v>0</v>
      </c>
      <c r="BM8" s="38">
        <f t="shared" si="4"/>
        <v>0</v>
      </c>
      <c r="BN8" s="38">
        <f t="shared" si="4"/>
        <v>0</v>
      </c>
      <c r="BO8" s="38">
        <f t="shared" si="4"/>
        <v>0</v>
      </c>
      <c r="BP8" s="38">
        <f t="shared" si="4"/>
        <v>0</v>
      </c>
      <c r="BQ8" s="38">
        <f t="shared" si="4"/>
        <v>0</v>
      </c>
      <c r="BR8" s="38">
        <f t="shared" si="4"/>
        <v>0</v>
      </c>
      <c r="BS8" s="38">
        <f t="shared" si="4"/>
        <v>0</v>
      </c>
      <c r="BT8" s="38">
        <f t="shared" si="4"/>
        <v>0</v>
      </c>
      <c r="BU8" s="38">
        <f t="shared" si="4"/>
        <v>0</v>
      </c>
      <c r="BV8" s="38">
        <f t="shared" si="4"/>
        <v>0</v>
      </c>
      <c r="BW8" s="38">
        <f t="shared" si="4"/>
        <v>0</v>
      </c>
      <c r="BX8" s="38">
        <f t="shared" si="4"/>
        <v>0</v>
      </c>
      <c r="BY8" s="38">
        <f t="shared" si="4"/>
        <v>0</v>
      </c>
      <c r="BZ8" s="38">
        <f t="shared" si="4"/>
        <v>0</v>
      </c>
      <c r="CA8" s="38">
        <f t="shared" si="4"/>
        <v>0</v>
      </c>
      <c r="CB8" s="38">
        <f t="shared" si="4"/>
        <v>0</v>
      </c>
      <c r="CC8" s="38">
        <f t="shared" si="4"/>
        <v>0</v>
      </c>
      <c r="CD8" s="38">
        <f t="shared" si="4"/>
        <v>0</v>
      </c>
      <c r="CE8" s="38">
        <f t="shared" si="4"/>
        <v>0</v>
      </c>
      <c r="CF8" s="38">
        <f t="shared" si="4"/>
        <v>0</v>
      </c>
      <c r="CG8" s="38">
        <f t="shared" si="4"/>
        <v>0</v>
      </c>
      <c r="CH8" s="38">
        <f t="shared" si="4"/>
        <v>0</v>
      </c>
      <c r="CI8" s="38">
        <f t="shared" si="4"/>
        <v>0</v>
      </c>
      <c r="CJ8" s="38">
        <f t="shared" si="4"/>
        <v>0</v>
      </c>
      <c r="CK8" s="38">
        <f t="shared" si="4"/>
        <v>0</v>
      </c>
      <c r="CL8" s="38">
        <f t="shared" si="4"/>
        <v>0</v>
      </c>
      <c r="CM8" s="38">
        <f t="shared" si="4"/>
        <v>0</v>
      </c>
      <c r="CN8" s="38">
        <f t="shared" si="4"/>
        <v>0</v>
      </c>
      <c r="CO8" s="38">
        <f t="shared" si="4"/>
        <v>0</v>
      </c>
      <c r="CP8" s="38">
        <f t="shared" si="4"/>
        <v>0</v>
      </c>
      <c r="CQ8" s="38">
        <f t="shared" si="4"/>
        <v>0</v>
      </c>
      <c r="CR8" s="38">
        <f t="shared" si="4"/>
        <v>0</v>
      </c>
      <c r="CS8" s="38">
        <f t="shared" si="4"/>
        <v>0</v>
      </c>
      <c r="CT8" s="38">
        <f t="shared" si="4"/>
        <v>0</v>
      </c>
      <c r="CU8" s="38">
        <f t="shared" si="4"/>
        <v>0</v>
      </c>
      <c r="CV8" s="38">
        <f t="shared" si="4"/>
        <v>0</v>
      </c>
      <c r="CW8" s="40"/>
    </row>
    <row r="9" spans="1:103" customFormat="1" ht="15" x14ac:dyDescent="0.25"/>
    <row r="10" spans="1:103" customFormat="1" ht="15" x14ac:dyDescent="0.25">
      <c r="A10" s="41" t="str">
        <f>E5</f>
        <v>MARKET</v>
      </c>
      <c r="B10" s="42"/>
      <c r="C10" s="43"/>
      <c r="D10" s="44"/>
      <c r="E10" s="44"/>
      <c r="F10" s="45"/>
      <c r="G10" s="46"/>
      <c r="H10" s="47"/>
      <c r="I10" s="48"/>
      <c r="J10" s="49"/>
      <c r="K10" s="50"/>
      <c r="L10" s="51"/>
      <c r="M10" s="52"/>
      <c r="N10" s="53"/>
      <c r="O10" s="54"/>
      <c r="P10" s="55"/>
    </row>
    <row r="11" spans="1:103" customFormat="1" ht="15" x14ac:dyDescent="0.25">
      <c r="A11" s="56"/>
      <c r="B11" s="57"/>
      <c r="C11" s="58"/>
      <c r="D11" s="59" t="s">
        <v>112</v>
      </c>
      <c r="E11" s="59" t="s">
        <v>113</v>
      </c>
      <c r="F11" s="60" t="s">
        <v>114</v>
      </c>
      <c r="G11" s="61"/>
      <c r="H11" s="62"/>
      <c r="I11" s="63"/>
      <c r="J11" s="64"/>
      <c r="K11" s="1"/>
      <c r="L11" s="65"/>
      <c r="M11" s="66"/>
      <c r="N11" s="67"/>
      <c r="O11" s="68"/>
      <c r="P11" s="69"/>
    </row>
    <row r="12" spans="1:103" customFormat="1" ht="13.5" customHeight="1" x14ac:dyDescent="0.25">
      <c r="A12" s="70" t="s">
        <v>151</v>
      </c>
      <c r="B12" s="71"/>
      <c r="C12" s="72"/>
      <c r="D12" s="73">
        <f>R8</f>
        <v>1811.5</v>
      </c>
      <c r="E12" s="74"/>
      <c r="F12" s="75" t="str">
        <f>"In payment for inventory food for function using housefund received on " &amp; TEXT(A5, "mmmm dd, yyyy") &amp; " with PR#30548 RR#50230" &amp; " CPO#" &amp;B5</f>
        <v>In payment for inventory food for function using housefund received on August 14, 2025 with PR#30548 RR#50230 CPO#19027</v>
      </c>
      <c r="G12" s="76"/>
      <c r="H12" s="77"/>
      <c r="I12" s="77"/>
      <c r="J12" s="76"/>
      <c r="K12" s="1"/>
      <c r="L12" s="65"/>
      <c r="M12" s="78"/>
      <c r="N12" s="79"/>
      <c r="O12" s="80"/>
      <c r="P12" s="81"/>
    </row>
    <row r="13" spans="1:103" customFormat="1" ht="15" x14ac:dyDescent="0.25">
      <c r="A13" s="70" t="s">
        <v>115</v>
      </c>
      <c r="B13" s="71"/>
      <c r="C13" s="72"/>
      <c r="D13" s="73">
        <f>Q8</f>
        <v>0</v>
      </c>
      <c r="E13" s="74"/>
      <c r="F13" s="64" t="str">
        <f>"Recording input VAT for expenses and purchases made using house fund for " &amp; TEXT(A5, "mmmm dd, yyyy")</f>
        <v>Recording input VAT for expenses and purchases made using house fund for August 14,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 t="s">
        <v>116</v>
      </c>
      <c r="B14" s="86"/>
      <c r="C14" s="87"/>
      <c r="D14" s="88"/>
      <c r="E14" s="74">
        <f>P8</f>
        <v>0</v>
      </c>
      <c r="F14" s="89" t="str">
        <f>"Recording the tax withheld for expenses and purchases using the house fund received on " &amp; TEXT(A5, "mmmm dd, yyyy")</f>
        <v>Recording the tax withheld for expenses and purchases using the house fund received on August 14,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70" t="s">
        <v>117</v>
      </c>
      <c r="B15" s="86"/>
      <c r="C15" s="87"/>
      <c r="D15" s="90"/>
      <c r="E15" s="91">
        <f>M8</f>
        <v>1811.5</v>
      </c>
      <c r="F15" s="89" t="str">
        <f>"Recording house fund expenses for replenishment on " &amp; TEXT(A5, "mmmm dd, yyyy")</f>
        <v>Recording house fund expenses for replenishment on August 14, 2025</v>
      </c>
      <c r="G15" s="82"/>
      <c r="H15" s="83"/>
      <c r="I15" s="84"/>
      <c r="J15" s="82"/>
      <c r="K15" s="1"/>
      <c r="L15" s="65"/>
      <c r="M15" s="66"/>
      <c r="N15" s="67"/>
      <c r="O15" s="68"/>
      <c r="P15" s="69"/>
    </row>
    <row r="16" spans="1:103" customFormat="1" ht="15" x14ac:dyDescent="0.25">
      <c r="A16" s="85"/>
      <c r="B16" s="86"/>
      <c r="C16" s="87"/>
      <c r="D16" s="88">
        <f>SUM(D12:D13)</f>
        <v>1811.5</v>
      </c>
      <c r="E16" s="88">
        <f>SUM(E12:E15)</f>
        <v>1811.5</v>
      </c>
      <c r="F16" s="92"/>
      <c r="G16" s="92"/>
      <c r="H16" s="93"/>
      <c r="I16" s="94"/>
      <c r="J16" s="92"/>
      <c r="K16" s="1"/>
      <c r="L16" s="65"/>
      <c r="M16" s="66"/>
      <c r="N16" s="67"/>
      <c r="O16" s="68"/>
      <c r="P16" s="69"/>
    </row>
    <row r="17" spans="1:16" customFormat="1" ht="15" x14ac:dyDescent="0.25">
      <c r="A17" s="95" t="s">
        <v>118</v>
      </c>
      <c r="B17" s="96" t="str">
        <f>"To record house fund expenses on " &amp; TEXT(A5, "mmmm dd, yyyy") &amp; " with PCV#" &amp; C5</f>
        <v>To record house fund expenses on August 14, 2025 with PCV#20950</v>
      </c>
      <c r="C17" s="97"/>
      <c r="D17" s="98"/>
      <c r="E17" s="98"/>
      <c r="F17" s="98"/>
      <c r="G17" s="92"/>
      <c r="H17" s="93"/>
      <c r="I17" s="94"/>
      <c r="J17" s="92"/>
      <c r="K17" s="1"/>
      <c r="L17" s="65"/>
      <c r="M17" s="66"/>
      <c r="N17" s="67"/>
      <c r="O17" s="68"/>
      <c r="P17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08BDE-57AC-43FB-A62B-DDEDB10DD8AD}">
  <sheetPr>
    <tabColor rgb="FF00FF00"/>
  </sheetPr>
  <dimension ref="A1:CY18"/>
  <sheetViews>
    <sheetView workbookViewId="0">
      <selection activeCell="A5" sqref="A5:XFD9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45883</v>
      </c>
      <c r="B5" s="3" t="s">
        <v>616</v>
      </c>
      <c r="C5" s="4" t="s">
        <v>718</v>
      </c>
      <c r="D5" s="5" t="s">
        <v>189</v>
      </c>
      <c r="E5" s="6" t="s">
        <v>622</v>
      </c>
      <c r="F5" s="7" t="s">
        <v>229</v>
      </c>
      <c r="G5" s="8" t="s">
        <v>149</v>
      </c>
      <c r="H5" s="9">
        <v>212955</v>
      </c>
      <c r="I5" s="10" t="s">
        <v>618</v>
      </c>
      <c r="J5" s="11" t="s">
        <v>355</v>
      </c>
      <c r="K5" s="12">
        <v>5.56</v>
      </c>
      <c r="L5" s="13">
        <v>199</v>
      </c>
      <c r="M5" s="14">
        <f t="shared" ref="M5:M8" si="0">L5*K5</f>
        <v>1106.4399999999998</v>
      </c>
      <c r="N5" s="15"/>
      <c r="O5" s="16" t="s">
        <v>137</v>
      </c>
      <c r="P5" s="17">
        <f>M5*0.01</f>
        <v>11.064399999999999</v>
      </c>
      <c r="Q5" s="18"/>
      <c r="R5" s="17">
        <f>M5+P5-Q5</f>
        <v>1117.5043999999998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619</v>
      </c>
      <c r="K6" s="12">
        <v>2</v>
      </c>
      <c r="L6" s="13">
        <v>234</v>
      </c>
      <c r="M6" s="14">
        <f t="shared" si="0"/>
        <v>468</v>
      </c>
      <c r="N6" s="15"/>
      <c r="O6" s="16" t="s">
        <v>111</v>
      </c>
      <c r="P6" s="17">
        <f t="shared" ref="P6:P8" si="1">M6/1.12*0.01</f>
        <v>4.1785714285714288</v>
      </c>
      <c r="Q6" s="18">
        <f t="shared" ref="Q6:Q8" si="2">M6/1.12*0.12</f>
        <v>50.142857142857139</v>
      </c>
      <c r="R6" s="17">
        <f t="shared" ref="R6:R8" si="3">M6+P6-Q6</f>
        <v>422.03571428571433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5" customFormat="1" x14ac:dyDescent="0.2">
      <c r="A7" s="2"/>
      <c r="B7" s="3"/>
      <c r="C7" s="4"/>
      <c r="E7" s="6"/>
      <c r="F7" s="7"/>
      <c r="G7" s="8"/>
      <c r="H7" s="9"/>
      <c r="I7" s="10"/>
      <c r="J7" s="11" t="s">
        <v>620</v>
      </c>
      <c r="K7" s="12">
        <v>4</v>
      </c>
      <c r="L7" s="13">
        <v>17.100000000000001</v>
      </c>
      <c r="M7" s="14">
        <f t="shared" si="0"/>
        <v>68.400000000000006</v>
      </c>
      <c r="N7" s="15"/>
      <c r="O7" s="16" t="s">
        <v>111</v>
      </c>
      <c r="P7" s="17">
        <f t="shared" si="1"/>
        <v>0.61071428571428565</v>
      </c>
      <c r="Q7" s="18">
        <f t="shared" si="2"/>
        <v>7.3285714285714283</v>
      </c>
      <c r="R7" s="17">
        <f t="shared" si="3"/>
        <v>61.682142857142857</v>
      </c>
      <c r="S7" s="19"/>
      <c r="T7" s="19"/>
      <c r="U7" s="19"/>
      <c r="V7" s="19"/>
      <c r="W7" s="17"/>
      <c r="X7" s="20"/>
      <c r="Y7" s="19"/>
      <c r="Z7" s="19"/>
      <c r="AA7" s="19"/>
      <c r="AB7" s="19"/>
      <c r="AC7" s="19"/>
      <c r="AD7" s="19"/>
      <c r="AF7" s="19"/>
      <c r="AH7" s="17"/>
      <c r="AI7" s="19"/>
      <c r="AJ7" s="19"/>
      <c r="AK7" s="19"/>
      <c r="AL7" s="19"/>
      <c r="AM7" s="17"/>
      <c r="AN7" s="19"/>
      <c r="AO7" s="19"/>
      <c r="AP7" s="19"/>
      <c r="AQ7" s="19"/>
      <c r="AR7" s="19"/>
      <c r="AS7" s="21"/>
      <c r="AU7" s="19"/>
      <c r="AW7" s="22"/>
      <c r="AX7" s="19"/>
      <c r="AZ7" s="19"/>
      <c r="BC7" s="19"/>
      <c r="BD7" s="19"/>
      <c r="BE7" s="19"/>
      <c r="BF7" s="19"/>
      <c r="BG7" s="19"/>
      <c r="BH7" s="19"/>
      <c r="BI7" s="19"/>
      <c r="BJ7" s="19"/>
      <c r="BK7" s="13"/>
      <c r="BN7" s="19"/>
      <c r="BO7" s="17"/>
      <c r="BP7" s="19"/>
      <c r="BQ7" s="17"/>
      <c r="BR7" s="19"/>
      <c r="BS7" s="13"/>
      <c r="BU7" s="23"/>
      <c r="BV7" s="23"/>
      <c r="BW7" s="24"/>
      <c r="CA7" s="24"/>
      <c r="CB7" s="24"/>
      <c r="CC7" s="24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25"/>
      <c r="CW7" s="26"/>
    </row>
    <row r="8" spans="1:103" s="5" customFormat="1" x14ac:dyDescent="0.2">
      <c r="A8" s="2"/>
      <c r="B8" s="3"/>
      <c r="C8" s="4"/>
      <c r="E8" s="6"/>
      <c r="F8" s="7"/>
      <c r="G8" s="8"/>
      <c r="H8" s="9"/>
      <c r="I8" s="10"/>
      <c r="J8" s="11" t="s">
        <v>621</v>
      </c>
      <c r="K8" s="12">
        <v>1</v>
      </c>
      <c r="L8" s="13">
        <v>33.950000000000003</v>
      </c>
      <c r="M8" s="14">
        <f t="shared" si="0"/>
        <v>33.950000000000003</v>
      </c>
      <c r="N8" s="15"/>
      <c r="O8" s="16" t="s">
        <v>111</v>
      </c>
      <c r="P8" s="17">
        <f t="shared" si="1"/>
        <v>0.30312500000000003</v>
      </c>
      <c r="Q8" s="18">
        <f t="shared" si="2"/>
        <v>3.6374999999999997</v>
      </c>
      <c r="R8" s="17">
        <f t="shared" si="3"/>
        <v>30.615625000000005</v>
      </c>
      <c r="S8" s="19"/>
      <c r="T8" s="19"/>
      <c r="U8" s="19"/>
      <c r="V8" s="19"/>
      <c r="W8" s="17"/>
      <c r="X8" s="20"/>
      <c r="Y8" s="19"/>
      <c r="Z8" s="19"/>
      <c r="AA8" s="19"/>
      <c r="AB8" s="19"/>
      <c r="AC8" s="19"/>
      <c r="AD8" s="19"/>
      <c r="AF8" s="19"/>
      <c r="AH8" s="17"/>
      <c r="AI8" s="19"/>
      <c r="AJ8" s="19"/>
      <c r="AK8" s="19"/>
      <c r="AL8" s="19"/>
      <c r="AM8" s="17"/>
      <c r="AN8" s="19"/>
      <c r="AO8" s="19"/>
      <c r="AP8" s="19"/>
      <c r="AQ8" s="19"/>
      <c r="AR8" s="19"/>
      <c r="AS8" s="21"/>
      <c r="AU8" s="19"/>
      <c r="AW8" s="22"/>
      <c r="AX8" s="19"/>
      <c r="AZ8" s="19"/>
      <c r="BC8" s="19"/>
      <c r="BD8" s="19"/>
      <c r="BE8" s="19"/>
      <c r="BF8" s="19"/>
      <c r="BG8" s="19"/>
      <c r="BH8" s="19"/>
      <c r="BI8" s="19"/>
      <c r="BJ8" s="19"/>
      <c r="BK8" s="13"/>
      <c r="BN8" s="19"/>
      <c r="BO8" s="17"/>
      <c r="BP8" s="19"/>
      <c r="BQ8" s="17"/>
      <c r="BR8" s="19"/>
      <c r="BS8" s="13"/>
      <c r="BU8" s="23"/>
      <c r="BV8" s="23"/>
      <c r="BW8" s="24"/>
      <c r="CA8" s="24"/>
      <c r="CB8" s="24"/>
      <c r="CC8" s="24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25"/>
      <c r="CW8" s="26"/>
    </row>
    <row r="9" spans="1:103" s="30" customFormat="1" ht="11.25" x14ac:dyDescent="0.2">
      <c r="A9" s="27"/>
      <c r="B9" s="28"/>
      <c r="C9" s="29"/>
      <c r="E9" s="31"/>
      <c r="F9" s="32"/>
      <c r="G9" s="33"/>
      <c r="H9" s="34"/>
      <c r="I9" s="34"/>
      <c r="J9" s="35"/>
      <c r="K9" s="36"/>
      <c r="L9" s="37"/>
      <c r="M9" s="38">
        <f>SUM(M5:M8)</f>
        <v>1676.79</v>
      </c>
      <c r="N9" s="38">
        <f>M9</f>
        <v>1676.79</v>
      </c>
      <c r="O9" s="39"/>
      <c r="P9" s="38">
        <f>SUM(P5:P8)</f>
        <v>16.156810714285715</v>
      </c>
      <c r="Q9" s="38">
        <f>SUM(Q5:Q8)</f>
        <v>61.108928571428571</v>
      </c>
      <c r="R9" s="38">
        <f>SUM(R5:R8)</f>
        <v>1631.8378821428569</v>
      </c>
      <c r="S9" s="38">
        <f t="shared" ref="S9:AD9" si="4">SUM(S5:S5)</f>
        <v>0</v>
      </c>
      <c r="T9" s="38">
        <f t="shared" si="4"/>
        <v>0</v>
      </c>
      <c r="U9" s="38">
        <f t="shared" si="4"/>
        <v>0</v>
      </c>
      <c r="V9" s="38">
        <f t="shared" si="4"/>
        <v>0</v>
      </c>
      <c r="W9" s="38">
        <f t="shared" si="4"/>
        <v>0</v>
      </c>
      <c r="X9" s="38">
        <f t="shared" si="4"/>
        <v>0</v>
      </c>
      <c r="Y9" s="38">
        <f t="shared" si="4"/>
        <v>0</v>
      </c>
      <c r="Z9" s="38">
        <f t="shared" si="4"/>
        <v>0</v>
      </c>
      <c r="AA9" s="38">
        <f t="shared" si="4"/>
        <v>0</v>
      </c>
      <c r="AB9" s="38">
        <f t="shared" si="4"/>
        <v>0</v>
      </c>
      <c r="AC9" s="38">
        <f t="shared" si="4"/>
        <v>0</v>
      </c>
      <c r="AD9" s="38">
        <f t="shared" si="4"/>
        <v>0</v>
      </c>
      <c r="AF9" s="38">
        <f>SUM(AF5:AF5)</f>
        <v>0</v>
      </c>
      <c r="AH9" s="38">
        <f t="shared" ref="AH9:AZ9" si="5">SUM(AH5:AH5)</f>
        <v>0</v>
      </c>
      <c r="AI9" s="38">
        <f t="shared" si="5"/>
        <v>0</v>
      </c>
      <c r="AJ9" s="38">
        <f t="shared" si="5"/>
        <v>0</v>
      </c>
      <c r="AK9" s="38">
        <f t="shared" si="5"/>
        <v>0</v>
      </c>
      <c r="AL9" s="38">
        <f t="shared" si="5"/>
        <v>0</v>
      </c>
      <c r="AM9" s="38">
        <f t="shared" si="5"/>
        <v>0</v>
      </c>
      <c r="AN9" s="38">
        <f t="shared" si="5"/>
        <v>0</v>
      </c>
      <c r="AO9" s="38">
        <f t="shared" si="5"/>
        <v>0</v>
      </c>
      <c r="AP9" s="38">
        <f t="shared" si="5"/>
        <v>0</v>
      </c>
      <c r="AQ9" s="38">
        <f t="shared" si="5"/>
        <v>0</v>
      </c>
      <c r="AR9" s="38">
        <f t="shared" si="5"/>
        <v>0</v>
      </c>
      <c r="AS9" s="38">
        <f t="shared" si="5"/>
        <v>0</v>
      </c>
      <c r="AT9" s="38">
        <f t="shared" si="5"/>
        <v>0</v>
      </c>
      <c r="AU9" s="38">
        <f t="shared" si="5"/>
        <v>0</v>
      </c>
      <c r="AV9" s="38">
        <f t="shared" si="5"/>
        <v>0</v>
      </c>
      <c r="AW9" s="38">
        <f t="shared" si="5"/>
        <v>0</v>
      </c>
      <c r="AX9" s="38">
        <f t="shared" si="5"/>
        <v>0</v>
      </c>
      <c r="AY9" s="38">
        <f t="shared" si="5"/>
        <v>0</v>
      </c>
      <c r="AZ9" s="38">
        <f t="shared" si="5"/>
        <v>0</v>
      </c>
      <c r="BB9" s="38">
        <f t="shared" ref="BB9:CV9" si="6">SUM(BB5:BB5)</f>
        <v>0</v>
      </c>
      <c r="BC9" s="38">
        <f t="shared" si="6"/>
        <v>0</v>
      </c>
      <c r="BD9" s="38">
        <f t="shared" si="6"/>
        <v>0</v>
      </c>
      <c r="BE9" s="38">
        <f t="shared" si="6"/>
        <v>0</v>
      </c>
      <c r="BF9" s="38">
        <f t="shared" si="6"/>
        <v>0</v>
      </c>
      <c r="BG9" s="38">
        <f t="shared" si="6"/>
        <v>0</v>
      </c>
      <c r="BH9" s="38">
        <f t="shared" si="6"/>
        <v>0</v>
      </c>
      <c r="BI9" s="38">
        <f t="shared" si="6"/>
        <v>0</v>
      </c>
      <c r="BJ9" s="38">
        <f t="shared" si="6"/>
        <v>0</v>
      </c>
      <c r="BK9" s="38">
        <f t="shared" si="6"/>
        <v>0</v>
      </c>
      <c r="BL9" s="38">
        <f t="shared" si="6"/>
        <v>0</v>
      </c>
      <c r="BM9" s="38">
        <f t="shared" si="6"/>
        <v>0</v>
      </c>
      <c r="BN9" s="38">
        <f t="shared" si="6"/>
        <v>0</v>
      </c>
      <c r="BO9" s="38">
        <f t="shared" si="6"/>
        <v>0</v>
      </c>
      <c r="BP9" s="38">
        <f t="shared" si="6"/>
        <v>0</v>
      </c>
      <c r="BQ9" s="38">
        <f t="shared" si="6"/>
        <v>0</v>
      </c>
      <c r="BR9" s="38">
        <f t="shared" si="6"/>
        <v>0</v>
      </c>
      <c r="BS9" s="38">
        <f t="shared" si="6"/>
        <v>0</v>
      </c>
      <c r="BT9" s="38">
        <f t="shared" si="6"/>
        <v>0</v>
      </c>
      <c r="BU9" s="38">
        <f t="shared" si="6"/>
        <v>0</v>
      </c>
      <c r="BV9" s="38">
        <f t="shared" si="6"/>
        <v>0</v>
      </c>
      <c r="BW9" s="38">
        <f t="shared" si="6"/>
        <v>0</v>
      </c>
      <c r="BX9" s="38">
        <f t="shared" si="6"/>
        <v>0</v>
      </c>
      <c r="BY9" s="38">
        <f t="shared" si="6"/>
        <v>0</v>
      </c>
      <c r="BZ9" s="38">
        <f t="shared" si="6"/>
        <v>0</v>
      </c>
      <c r="CA9" s="38">
        <f t="shared" si="6"/>
        <v>0</v>
      </c>
      <c r="CB9" s="38">
        <f t="shared" si="6"/>
        <v>0</v>
      </c>
      <c r="CC9" s="38">
        <f t="shared" si="6"/>
        <v>0</v>
      </c>
      <c r="CD9" s="38">
        <f t="shared" si="6"/>
        <v>0</v>
      </c>
      <c r="CE9" s="38">
        <f t="shared" si="6"/>
        <v>0</v>
      </c>
      <c r="CF9" s="38">
        <f t="shared" si="6"/>
        <v>0</v>
      </c>
      <c r="CG9" s="38">
        <f t="shared" si="6"/>
        <v>0</v>
      </c>
      <c r="CH9" s="38">
        <f t="shared" si="6"/>
        <v>0</v>
      </c>
      <c r="CI9" s="38">
        <f t="shared" si="6"/>
        <v>0</v>
      </c>
      <c r="CJ9" s="38">
        <f t="shared" si="6"/>
        <v>0</v>
      </c>
      <c r="CK9" s="38">
        <f t="shared" si="6"/>
        <v>0</v>
      </c>
      <c r="CL9" s="38">
        <f t="shared" si="6"/>
        <v>0</v>
      </c>
      <c r="CM9" s="38">
        <f t="shared" si="6"/>
        <v>0</v>
      </c>
      <c r="CN9" s="38">
        <f t="shared" si="6"/>
        <v>0</v>
      </c>
      <c r="CO9" s="38">
        <f t="shared" si="6"/>
        <v>0</v>
      </c>
      <c r="CP9" s="38">
        <f t="shared" si="6"/>
        <v>0</v>
      </c>
      <c r="CQ9" s="38">
        <f t="shared" si="6"/>
        <v>0</v>
      </c>
      <c r="CR9" s="38">
        <f t="shared" si="6"/>
        <v>0</v>
      </c>
      <c r="CS9" s="38">
        <f t="shared" si="6"/>
        <v>0</v>
      </c>
      <c r="CT9" s="38">
        <f t="shared" si="6"/>
        <v>0</v>
      </c>
      <c r="CU9" s="38">
        <f t="shared" si="6"/>
        <v>0</v>
      </c>
      <c r="CV9" s="38">
        <f t="shared" si="6"/>
        <v>0</v>
      </c>
      <c r="CW9" s="40"/>
    </row>
    <row r="10" spans="1:103" customFormat="1" ht="15" x14ac:dyDescent="0.25"/>
    <row r="11" spans="1:103" customFormat="1" ht="15" x14ac:dyDescent="0.25">
      <c r="A11" s="41" t="str">
        <f>E5</f>
        <v>METRO GAISANO</v>
      </c>
      <c r="B11" s="42"/>
      <c r="C11" s="43"/>
      <c r="D11" s="44"/>
      <c r="E11" s="44"/>
      <c r="F11" s="45"/>
      <c r="G11" s="46"/>
      <c r="H11" s="47"/>
      <c r="I11" s="48"/>
      <c r="J11" s="49"/>
      <c r="K11" s="50"/>
      <c r="L11" s="51"/>
      <c r="M11" s="52"/>
      <c r="N11" s="53"/>
      <c r="O11" s="54"/>
      <c r="P11" s="55"/>
    </row>
    <row r="12" spans="1:103" customFormat="1" ht="15" x14ac:dyDescent="0.25">
      <c r="A12" s="56"/>
      <c r="B12" s="57"/>
      <c r="C12" s="58"/>
      <c r="D12" s="59" t="s">
        <v>112</v>
      </c>
      <c r="E12" s="59" t="s">
        <v>113</v>
      </c>
      <c r="F12" s="60" t="s">
        <v>114</v>
      </c>
      <c r="G12" s="61"/>
      <c r="H12" s="62"/>
      <c r="I12" s="63"/>
      <c r="J12" s="64"/>
      <c r="K12" s="1"/>
      <c r="L12" s="65"/>
      <c r="M12" s="66"/>
      <c r="N12" s="67"/>
      <c r="O12" s="68"/>
      <c r="P12" s="69"/>
    </row>
    <row r="13" spans="1:103" customFormat="1" ht="13.5" customHeight="1" x14ac:dyDescent="0.25">
      <c r="A13" s="70" t="s">
        <v>151</v>
      </c>
      <c r="B13" s="71"/>
      <c r="C13" s="72"/>
      <c r="D13" s="73">
        <f>R9</f>
        <v>1631.8378821428569</v>
      </c>
      <c r="E13" s="74"/>
      <c r="F13" s="75" t="str">
        <f>"In payment for inventory food for function using housefund received on " &amp; TEXT(A5, "mmmm dd, yyyy") &amp; " with SI#212955 PR#30548 RR#50228" &amp; " CPO#" &amp;B5</f>
        <v>In payment for inventory food for function using housefund received on August 14, 2025 with SI#212955 PR#30548 RR#50228 CPO#19027</v>
      </c>
      <c r="G13" s="76"/>
      <c r="H13" s="77"/>
      <c r="I13" s="77"/>
      <c r="J13" s="76"/>
      <c r="K13" s="1"/>
      <c r="L13" s="65"/>
      <c r="M13" s="78"/>
      <c r="N13" s="79"/>
      <c r="O13" s="80"/>
      <c r="P13" s="81"/>
    </row>
    <row r="14" spans="1:103" customFormat="1" ht="15" x14ac:dyDescent="0.25">
      <c r="A14" s="70" t="s">
        <v>115</v>
      </c>
      <c r="B14" s="71"/>
      <c r="C14" s="72"/>
      <c r="D14" s="73">
        <f>Q9</f>
        <v>61.108928571428571</v>
      </c>
      <c r="E14" s="74"/>
      <c r="F14" s="64" t="str">
        <f>"Recording input VAT for expenses and purchases made using house fund for " &amp; TEXT(A5, "mmmm dd, yyyy")</f>
        <v>Recording input VAT for expenses and purchases made using house fund for August 14,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85" t="s">
        <v>116</v>
      </c>
      <c r="B15" s="86"/>
      <c r="C15" s="87"/>
      <c r="D15" s="88"/>
      <c r="E15" s="74">
        <f>P9</f>
        <v>16.156810714285715</v>
      </c>
      <c r="F15" s="89" t="str">
        <f>"Recording the tax withheld for expenses and purchases using the house fund received on " &amp; TEXT(A5, "mmmm dd, yyyy")</f>
        <v>Recording the tax withheld for expenses and purchases using the house fund received on August 14, 2025</v>
      </c>
      <c r="G15" s="82"/>
      <c r="H15" s="83"/>
      <c r="I15" s="84"/>
      <c r="J15" s="82"/>
      <c r="K15" s="1"/>
      <c r="L15" s="65"/>
      <c r="M15" s="66"/>
      <c r="N15" s="67"/>
      <c r="O15" s="68"/>
      <c r="P15" s="69"/>
    </row>
    <row r="16" spans="1:103" customFormat="1" ht="15" x14ac:dyDescent="0.25">
      <c r="A16" s="70" t="s">
        <v>117</v>
      </c>
      <c r="B16" s="86"/>
      <c r="C16" s="87"/>
      <c r="D16" s="90"/>
      <c r="E16" s="91">
        <f>M9</f>
        <v>1676.79</v>
      </c>
      <c r="F16" s="89" t="str">
        <f>"Recording house fund expenses for replenishment on " &amp; TEXT(A5, "mmmm dd, yyyy")</f>
        <v>Recording house fund expenses for replenishment on August 14, 2025</v>
      </c>
      <c r="G16" s="82"/>
      <c r="H16" s="83"/>
      <c r="I16" s="84"/>
      <c r="J16" s="82"/>
      <c r="K16" s="1"/>
      <c r="L16" s="65"/>
      <c r="M16" s="66"/>
      <c r="N16" s="67"/>
      <c r="O16" s="68"/>
      <c r="P16" s="69"/>
    </row>
    <row r="17" spans="1:16" customFormat="1" ht="15" x14ac:dyDescent="0.25">
      <c r="A17" s="85"/>
      <c r="B17" s="86"/>
      <c r="C17" s="87"/>
      <c r="D17" s="88">
        <f>SUM(D13:D14)</f>
        <v>1692.9468107142854</v>
      </c>
      <c r="E17" s="88">
        <f>SUM(E13:E16)</f>
        <v>1692.9468107142857</v>
      </c>
      <c r="F17" s="92"/>
      <c r="G17" s="92"/>
      <c r="H17" s="93"/>
      <c r="I17" s="94"/>
      <c r="J17" s="92"/>
      <c r="K17" s="1"/>
      <c r="L17" s="65"/>
      <c r="M17" s="66"/>
      <c r="N17" s="67"/>
      <c r="O17" s="68"/>
      <c r="P17" s="69"/>
    </row>
    <row r="18" spans="1:16" customFormat="1" ht="15" x14ac:dyDescent="0.25">
      <c r="A18" s="95" t="s">
        <v>118</v>
      </c>
      <c r="B18" s="96" t="str">
        <f>"To record house fund expenses on " &amp; TEXT(A5, "mmmm dd, yyyy") &amp; " with PCV#" &amp; C5</f>
        <v>To record house fund expenses on August 14, 2025 with PCV#20951</v>
      </c>
      <c r="C18" s="97"/>
      <c r="D18" s="98"/>
      <c r="E18" s="98"/>
      <c r="F18" s="98"/>
      <c r="G18" s="92"/>
      <c r="H18" s="93"/>
      <c r="I18" s="94"/>
      <c r="J18" s="92"/>
      <c r="K18" s="1"/>
      <c r="L18" s="65"/>
      <c r="M18" s="66"/>
      <c r="N18" s="67"/>
      <c r="O18" s="68"/>
      <c r="P18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CADA5-357F-4134-BE8A-8C7BFF5E7E41}">
  <sheetPr>
    <tabColor rgb="FF00FF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45887</v>
      </c>
      <c r="B5" s="3" t="s">
        <v>616</v>
      </c>
      <c r="C5" s="4" t="s">
        <v>719</v>
      </c>
      <c r="D5" s="5" t="s">
        <v>189</v>
      </c>
      <c r="E5" s="6" t="s">
        <v>266</v>
      </c>
      <c r="F5" s="7"/>
      <c r="G5" s="8"/>
      <c r="H5" s="9"/>
      <c r="I5" s="10"/>
      <c r="J5" s="11" t="s">
        <v>623</v>
      </c>
      <c r="K5" s="12">
        <v>4.68</v>
      </c>
      <c r="L5" s="13">
        <v>25</v>
      </c>
      <c r="M5" s="14">
        <f t="shared" ref="M5" si="0">L5*K5</f>
        <v>117</v>
      </c>
      <c r="N5" s="15"/>
      <c r="O5" s="16" t="s">
        <v>137</v>
      </c>
      <c r="P5" s="17"/>
      <c r="Q5" s="18"/>
      <c r="R5" s="17">
        <f>M5+P5-Q5</f>
        <v>117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117</v>
      </c>
      <c r="N6" s="38">
        <f>M6</f>
        <v>117</v>
      </c>
      <c r="O6" s="39" t="s">
        <v>137</v>
      </c>
      <c r="P6" s="38"/>
      <c r="Q6" s="38"/>
      <c r="R6" s="38">
        <f>SUM(R5:R5)</f>
        <v>117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MARKET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117</v>
      </c>
      <c r="E10" s="74"/>
      <c r="F10" s="75" t="str">
        <f>"In payment for 4.68kg of banana cardava using housefund received on " &amp; TEXT(A5, "mmmm dd, yyyy") &amp; " with PR#30548 RR#50229" &amp; " CPO#" &amp;B5</f>
        <v>In payment for 4.68kg of banana cardava using housefund received on August 18, 2025 with PR#30548 RR#50229 CPO#19027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18,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18,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117</v>
      </c>
      <c r="F13" s="89" t="str">
        <f>"Recording house fund expenses for replenishment on " &amp; TEXT(A5, "mmmm dd, yyyy")</f>
        <v>Recording house fund expenses for replenishment on August 18,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117</v>
      </c>
      <c r="E14" s="88">
        <f>SUM(E10:E13)</f>
        <v>117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18, 2025 with PCV#20952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C1C8D-4F3B-499F-AE01-2ED5DB158F4E}">
  <sheetPr>
    <tabColor rgb="FF00FF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45870</v>
      </c>
      <c r="B5" s="3" t="s">
        <v>624</v>
      </c>
      <c r="C5" s="4" t="s">
        <v>720</v>
      </c>
      <c r="D5" s="5" t="s">
        <v>625</v>
      </c>
      <c r="E5" s="6" t="s">
        <v>272</v>
      </c>
      <c r="F5" s="7" t="s">
        <v>229</v>
      </c>
      <c r="G5" s="8" t="s">
        <v>273</v>
      </c>
      <c r="H5" s="9">
        <v>25376</v>
      </c>
      <c r="I5" s="10" t="s">
        <v>626</v>
      </c>
      <c r="J5" s="11" t="s">
        <v>274</v>
      </c>
      <c r="K5" s="12">
        <v>5</v>
      </c>
      <c r="L5" s="13">
        <v>90</v>
      </c>
      <c r="M5" s="14">
        <f t="shared" ref="M5" si="0">L5*K5</f>
        <v>450</v>
      </c>
      <c r="N5" s="15"/>
      <c r="O5" s="16" t="s">
        <v>111</v>
      </c>
      <c r="P5" s="17">
        <f>M5/1.12*0.01</f>
        <v>4.0178571428571423</v>
      </c>
      <c r="Q5" s="18">
        <f>M5/1.12*0.12</f>
        <v>48.214285714285708</v>
      </c>
      <c r="R5" s="17">
        <f>M5+P5-Q5</f>
        <v>405.80357142857144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450</v>
      </c>
      <c r="N6" s="38">
        <f>M6</f>
        <v>450</v>
      </c>
      <c r="O6" s="39" t="s">
        <v>111</v>
      </c>
      <c r="P6" s="38">
        <f>SUM(P5:P5)</f>
        <v>4.0178571428571423</v>
      </c>
      <c r="Q6" s="38">
        <f>SUM(Q5:Q5)</f>
        <v>48.214285714285708</v>
      </c>
      <c r="R6" s="38">
        <f>SUM(R5:R5)</f>
        <v>405.80357142857144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CEBU CUBE ICE CORPORATION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405.80357142857144</v>
      </c>
      <c r="E10" s="74"/>
      <c r="F10" s="75" t="str">
        <f>"In payment for 5 packs of tube ice for bar using housefund received on " &amp; TEXT(A5, "mmmm dd, yyyy") &amp; " with SI#25376 PR#30085 RR#50140" &amp; " CPO#" &amp;B5</f>
        <v>In payment for 5 packs of tube ice for bar using housefund received on August 01, 2025 with SI#25376 PR#30085 RR#50140 CPO#19028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48.214285714285708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01,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4.0178571428571423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01,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450</v>
      </c>
      <c r="F13" s="89" t="str">
        <f>"Recording house fund expenses for replenishment on " &amp; TEXT(A5, "mmmm dd, yyyy")</f>
        <v>Recording house fund expenses for replenishment on August 01,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454.01785714285717</v>
      </c>
      <c r="E14" s="88">
        <f>SUM(E10:E13)</f>
        <v>454.01785714285717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01, 2025 with PCV#20953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CE937-D94A-4130-9F82-8787654D4AEC}">
  <sheetPr>
    <tabColor rgb="FF00FF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45896</v>
      </c>
      <c r="B5" s="3" t="s">
        <v>675</v>
      </c>
      <c r="C5" s="4" t="s">
        <v>721</v>
      </c>
      <c r="D5" s="5" t="s">
        <v>676</v>
      </c>
      <c r="E5" s="6" t="s">
        <v>272</v>
      </c>
      <c r="F5" s="7" t="s">
        <v>229</v>
      </c>
      <c r="G5" s="8" t="s">
        <v>677</v>
      </c>
      <c r="H5" s="9">
        <v>31715</v>
      </c>
      <c r="I5" s="10" t="s">
        <v>678</v>
      </c>
      <c r="J5" s="11" t="s">
        <v>339</v>
      </c>
      <c r="K5" s="12">
        <v>3</v>
      </c>
      <c r="L5" s="13">
        <v>90</v>
      </c>
      <c r="M5" s="14">
        <f t="shared" ref="M5" si="0">L5*K5</f>
        <v>270</v>
      </c>
      <c r="N5" s="15"/>
      <c r="O5" s="16" t="s">
        <v>111</v>
      </c>
      <c r="P5" s="17">
        <f>M5/1.12*0.01</f>
        <v>2.4107142857142856</v>
      </c>
      <c r="Q5" s="18">
        <f>M5/1.12*0.12</f>
        <v>28.928571428571427</v>
      </c>
      <c r="R5" s="17">
        <f>M5+P5-Q5</f>
        <v>243.48214285714286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270</v>
      </c>
      <c r="N6" s="38">
        <f>M6</f>
        <v>270</v>
      </c>
      <c r="O6" s="39" t="s">
        <v>111</v>
      </c>
      <c r="P6" s="38">
        <f>SUM(P5:P5)</f>
        <v>2.4107142857142856</v>
      </c>
      <c r="Q6" s="38">
        <f>SUM(Q5:Q5)</f>
        <v>28.928571428571427</v>
      </c>
      <c r="R6" s="38">
        <f>SUM(R5:R5)</f>
        <v>243.48214285714286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CEBU CUBE ICE CORPORATION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243.48214285714286</v>
      </c>
      <c r="E10" s="74"/>
      <c r="F10" s="75" t="str">
        <f>"In payment for 3 packs of tube ice using housefund received on " &amp; TEXT(A5, "mmmm dd, yyyy") &amp; " with SI#31715 RR#5277" &amp; " CPO#" &amp;B5</f>
        <v>In payment for 3 packs of tube ice using housefund received on August 27, 2025 with SI#31715 RR#5277 CPO#19029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28.928571428571427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27,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2.4107142857142856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27,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270</v>
      </c>
      <c r="F13" s="89" t="str">
        <f>"Recording house fund expenses for replenishment on " &amp; TEXT(A5, "mmmm dd, yyyy")</f>
        <v>Recording house fund expenses for replenishment on August 27,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272.41071428571428</v>
      </c>
      <c r="E14" s="88">
        <f>SUM(E10:E13)</f>
        <v>272.41071428571428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27, 2025 with PCV#20954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</mergeCells>
  <pageMargins left="0.7" right="0.7" top="0.75" bottom="0.75" header="0.3" footer="0.3"/>
  <legacy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9C788-6302-40DC-BEE7-20238083AF48}">
  <sheetPr>
    <tabColor rgb="FF00FF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45895</v>
      </c>
      <c r="B5" s="3" t="s">
        <v>627</v>
      </c>
      <c r="C5" s="4" t="s">
        <v>722</v>
      </c>
      <c r="D5" s="5" t="s">
        <v>189</v>
      </c>
      <c r="E5" s="6" t="s">
        <v>332</v>
      </c>
      <c r="F5" s="7" t="s">
        <v>687</v>
      </c>
      <c r="G5" s="8" t="s">
        <v>333</v>
      </c>
      <c r="H5" s="9" t="s">
        <v>628</v>
      </c>
      <c r="I5" s="10"/>
      <c r="J5" s="11" t="s">
        <v>688</v>
      </c>
      <c r="K5" s="12">
        <v>1</v>
      </c>
      <c r="L5" s="13">
        <v>260</v>
      </c>
      <c r="M5" s="14">
        <f t="shared" ref="M5" si="0">L5*K5</f>
        <v>260</v>
      </c>
      <c r="N5" s="15"/>
      <c r="O5" s="16" t="s">
        <v>111</v>
      </c>
      <c r="P5" s="17">
        <f>M5/1.12*0.01</f>
        <v>2.3214285714285712</v>
      </c>
      <c r="Q5" s="18">
        <f>M5/1.12*0.12</f>
        <v>27.857142857142851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7">
        <f>M5+P5-Q5</f>
        <v>234.46428571428569</v>
      </c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260</v>
      </c>
      <c r="N6" s="38">
        <f>M6</f>
        <v>260</v>
      </c>
      <c r="O6" s="39" t="s">
        <v>111</v>
      </c>
      <c r="P6" s="38">
        <f>SUM(P5:P5)</f>
        <v>2.3214285714285712</v>
      </c>
      <c r="Q6" s="38">
        <f>SUM(Q5:Q5)</f>
        <v>27.857142857142851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>SUM(BS5:BS5)</f>
        <v>234.46428571428569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LBC EXPRESS INC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689</v>
      </c>
      <c r="B10" s="71"/>
      <c r="C10" s="72"/>
      <c r="D10" s="73">
        <f>BS6</f>
        <v>234.46428571428569</v>
      </c>
      <c r="E10" s="74"/>
      <c r="F10" s="75" t="str">
        <f>"In payment for LBC cargo using housefund received on " &amp; TEXT(A5, "mmmm dd, yyyy") &amp; " with SI#CEA03244562" &amp; " CPO#" &amp;B5</f>
        <v>In payment for LBC cargo using housefund received on August 26, 2025 with SI#CEA03244562 CPO#19030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27.857142857142851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26,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2.3214285714285712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26,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260</v>
      </c>
      <c r="F13" s="89" t="str">
        <f>"Recording house fund expenses for replenishment on " &amp; TEXT(A5, "mmmm dd, yyyy")</f>
        <v>Recording house fund expenses for replenishment on August 26,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262.32142857142856</v>
      </c>
      <c r="E14" s="88">
        <f>SUM(E10:E13)</f>
        <v>262.32142857142856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26, 2025 with PCV#20955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</mergeCells>
  <pageMargins left="0.7" right="0.7" top="0.75" bottom="0.75" header="0.3" footer="0.3"/>
  <legacy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B0E6E-ED78-4FC0-BB97-4C6A604A9441}">
  <sheetPr>
    <tabColor rgb="FF00FF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45895</v>
      </c>
      <c r="B5" s="3" t="s">
        <v>627</v>
      </c>
      <c r="C5" s="4" t="s">
        <v>723</v>
      </c>
      <c r="D5" s="5" t="s">
        <v>189</v>
      </c>
      <c r="E5" s="6" t="s">
        <v>690</v>
      </c>
      <c r="F5" s="7"/>
      <c r="G5" s="8" t="s">
        <v>629</v>
      </c>
      <c r="H5" s="9" t="s">
        <v>691</v>
      </c>
      <c r="I5" s="10"/>
      <c r="J5" s="11" t="s">
        <v>135</v>
      </c>
      <c r="K5" s="12">
        <v>1</v>
      </c>
      <c r="L5" s="13">
        <v>100</v>
      </c>
      <c r="M5" s="14">
        <f t="shared" ref="M5" si="0">L5*K5</f>
        <v>100</v>
      </c>
      <c r="N5" s="15"/>
      <c r="O5" s="16" t="s">
        <v>111</v>
      </c>
      <c r="P5" s="17">
        <f>M5/1.12*0.01</f>
        <v>0.89285714285714279</v>
      </c>
      <c r="Q5" s="18">
        <f>M5/1.12*0.12</f>
        <v>10.714285714285714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>
        <f>M5+P5-Q5</f>
        <v>90.178571428571431</v>
      </c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100</v>
      </c>
      <c r="N6" s="38">
        <f>M6</f>
        <v>100</v>
      </c>
      <c r="O6" s="39" t="s">
        <v>111</v>
      </c>
      <c r="P6" s="38">
        <f>SUM(P5:P5)</f>
        <v>0.89285714285714279</v>
      </c>
      <c r="Q6" s="38">
        <f>SUM(Q5:Q5)</f>
        <v>10.714285714285714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>SUM(BO5:BO5)</f>
        <v>90.178571428571431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CORDOVA LINK EXPRESSWAY CORPORATION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692</v>
      </c>
      <c r="B10" s="71"/>
      <c r="C10" s="72"/>
      <c r="D10" s="73">
        <f>BO6</f>
        <v>90.178571428571431</v>
      </c>
      <c r="E10" s="74"/>
      <c r="F10" s="75" t="str">
        <f>"In payment for transportation expense for employee using housefund received on " &amp; TEXT(A5, "mmmm dd, yyyy") &amp; " with " &amp; " SI#13114520-C CPO#" &amp;B5</f>
        <v>In payment for transportation expense for employee using housefund received on August 26, 2025 with  SI#13114520-C CPO#19030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10.714285714285714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26,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0.89285714285714279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26,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100</v>
      </c>
      <c r="F13" s="89" t="str">
        <f>"Recording house fund expenses for replenishment on " &amp; TEXT(A5, "mmmm dd, yyyy")</f>
        <v>Recording house fund expenses for replenishment on August 26,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100.89285714285714</v>
      </c>
      <c r="E14" s="88">
        <f>SUM(E10:E13)</f>
        <v>100.89285714285714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26, 2025 with PCV#20956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</mergeCells>
  <pageMargins left="0.7" right="0.7" top="0.75" bottom="0.75" header="0.3" footer="0.3"/>
  <legacy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230BF-AEBC-4509-848E-92092284B298}">
  <sheetPr>
    <tabColor rgb="FF00FF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45895</v>
      </c>
      <c r="B5" s="3" t="s">
        <v>627</v>
      </c>
      <c r="C5" s="4" t="s">
        <v>724</v>
      </c>
      <c r="D5" s="5" t="s">
        <v>189</v>
      </c>
      <c r="E5" s="6" t="s">
        <v>690</v>
      </c>
      <c r="F5" s="7"/>
      <c r="G5" s="8" t="s">
        <v>629</v>
      </c>
      <c r="H5" s="9" t="s">
        <v>693</v>
      </c>
      <c r="I5" s="10"/>
      <c r="J5" s="11" t="s">
        <v>135</v>
      </c>
      <c r="K5" s="12">
        <v>1</v>
      </c>
      <c r="L5" s="13">
        <v>100</v>
      </c>
      <c r="M5" s="14">
        <f t="shared" ref="M5" si="0">L5*K5</f>
        <v>100</v>
      </c>
      <c r="N5" s="15"/>
      <c r="O5" s="16" t="s">
        <v>111</v>
      </c>
      <c r="P5" s="17">
        <f>M5/1.12*0.01</f>
        <v>0.89285714285714279</v>
      </c>
      <c r="Q5" s="18">
        <f>M5/1.12*0.12</f>
        <v>10.714285714285714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>
        <f>M5+P5-Q5</f>
        <v>90.178571428571431</v>
      </c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100</v>
      </c>
      <c r="N6" s="38">
        <f>M6</f>
        <v>100</v>
      </c>
      <c r="O6" s="39" t="s">
        <v>111</v>
      </c>
      <c r="P6" s="38">
        <f>SUM(P5:P5)</f>
        <v>0.89285714285714279</v>
      </c>
      <c r="Q6" s="38">
        <f>SUM(Q5:Q5)</f>
        <v>10.714285714285714</v>
      </c>
      <c r="R6" s="38">
        <f>SUM(R5:R5)</f>
        <v>0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>SUM(BO5:BO5)</f>
        <v>90.178571428571431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CORDOVA LINK EXPRESSWAY CORPORATION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233</v>
      </c>
      <c r="B10" s="71"/>
      <c r="C10" s="72"/>
      <c r="D10" s="73">
        <f>BO6</f>
        <v>90.178571428571431</v>
      </c>
      <c r="E10" s="74"/>
      <c r="F10" s="75" t="str">
        <f>"In payment for transportation expense for employee using housefund received on " &amp; TEXT(A5, "mmmm dd, yyyy") &amp; " with " &amp; " SI#12999337-C CPO#" &amp;B5</f>
        <v>In payment for transportation expense for employee using housefund received on August 26, 2025 with  SI#12999337-C CPO#19030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10.714285714285714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26,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0.89285714285714279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26,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100</v>
      </c>
      <c r="F13" s="89" t="str">
        <f>"Recording house fund expenses for replenishment on " &amp; TEXT(A5, "mmmm dd, yyyy")</f>
        <v>Recording house fund expenses for replenishment on August 26,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100.89285714285714</v>
      </c>
      <c r="E14" s="88">
        <f>SUM(E10:E13)</f>
        <v>100.89285714285714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26, 2025 with PCV#20957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</mergeCells>
  <pageMargins left="0.7" right="0.7" top="0.75" bottom="0.75" header="0.3" footer="0.3"/>
  <legacy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29DE6-5F49-4621-A59E-8111092B4208}">
  <sheetPr>
    <tabColor rgb="FF00FF00"/>
  </sheetPr>
  <dimension ref="A1:CY15"/>
  <sheetViews>
    <sheetView topLeftCell="A4"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45895</v>
      </c>
      <c r="B5" s="3" t="s">
        <v>627</v>
      </c>
      <c r="C5" s="4" t="s">
        <v>725</v>
      </c>
      <c r="D5" s="5" t="s">
        <v>189</v>
      </c>
      <c r="E5" s="6" t="s">
        <v>690</v>
      </c>
      <c r="F5" s="7"/>
      <c r="G5" s="8" t="s">
        <v>629</v>
      </c>
      <c r="H5" s="9" t="s">
        <v>694</v>
      </c>
      <c r="I5" s="10"/>
      <c r="J5" s="11" t="s">
        <v>135</v>
      </c>
      <c r="K5" s="12">
        <v>1</v>
      </c>
      <c r="L5" s="13">
        <v>100</v>
      </c>
      <c r="M5" s="14">
        <f t="shared" ref="M5" si="0">L5*K5</f>
        <v>100</v>
      </c>
      <c r="N5" s="15"/>
      <c r="O5" s="16" t="s">
        <v>111</v>
      </c>
      <c r="P5" s="17">
        <f>M5/1.12*0.01</f>
        <v>0.89285714285714279</v>
      </c>
      <c r="Q5" s="18">
        <f>M5/1.12*0.12</f>
        <v>10.714285714285714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>
        <f>M5+P5-Q5</f>
        <v>90.178571428571431</v>
      </c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100</v>
      </c>
      <c r="N6" s="38">
        <f>M6</f>
        <v>100</v>
      </c>
      <c r="O6" s="39" t="s">
        <v>111</v>
      </c>
      <c r="P6" s="38">
        <f>SUM(P5:P5)</f>
        <v>0.89285714285714279</v>
      </c>
      <c r="Q6" s="38">
        <f>SUM(Q5:Q5)</f>
        <v>10.714285714285714</v>
      </c>
      <c r="R6" s="38">
        <f>SUM(R5:R5)</f>
        <v>0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90.178571428571431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CORDOVA LINK EXPRESSWAY CORPORATION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233</v>
      </c>
      <c r="B10" s="71"/>
      <c r="C10" s="72"/>
      <c r="D10" s="73">
        <f>BO6</f>
        <v>90.178571428571431</v>
      </c>
      <c r="E10" s="74"/>
      <c r="F10" s="75" t="str">
        <f>"In payment for transportation expense for employee using housefund received on " &amp; TEXT(A5, "mmmm dd, yyyy") &amp; " with " &amp; " SI#13115319-C CPO#" &amp;B5</f>
        <v>In payment for transportation expense for employee using housefund received on August 26, 2025 with  SI#13115319-C CPO#19030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10.714285714285714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26,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0.89285714285714279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26,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100</v>
      </c>
      <c r="F13" s="89" t="str">
        <f>"Recording house fund expenses for replenishment on " &amp; TEXT(A5, "mmmm dd, yyyy")</f>
        <v>Recording house fund expenses for replenishment on August 26,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100.89285714285714</v>
      </c>
      <c r="E14" s="88">
        <f>SUM(E10:E13)</f>
        <v>100.89285714285714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26, 2025 with PCV#20958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</mergeCells>
  <pageMargins left="0.7" right="0.7" top="0.75" bottom="0.75" header="0.3" footer="0.3"/>
  <legacy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6F16A-0287-4A2F-90E5-A31BC7E5A4DD}">
  <sheetPr>
    <tabColor rgb="FF00FF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45897</v>
      </c>
      <c r="B5" s="3" t="s">
        <v>630</v>
      </c>
      <c r="C5" s="4" t="s">
        <v>726</v>
      </c>
      <c r="D5" s="5" t="s">
        <v>210</v>
      </c>
      <c r="E5" s="6" t="s">
        <v>631</v>
      </c>
      <c r="F5" s="7" t="s">
        <v>632</v>
      </c>
      <c r="G5" s="8" t="s">
        <v>633</v>
      </c>
      <c r="H5" s="9">
        <v>3210057</v>
      </c>
      <c r="I5" s="10"/>
      <c r="J5" s="11" t="s">
        <v>226</v>
      </c>
      <c r="K5" s="12">
        <v>1</v>
      </c>
      <c r="L5" s="13">
        <v>231</v>
      </c>
      <c r="M5" s="14">
        <f t="shared" ref="M5" si="0">L5*K5</f>
        <v>231</v>
      </c>
      <c r="N5" s="15"/>
      <c r="O5" s="16" t="s">
        <v>111</v>
      </c>
      <c r="P5" s="17">
        <f>M5/1.12*0.01</f>
        <v>2.0624999999999996</v>
      </c>
      <c r="Q5" s="18">
        <f>M5/1.12*0.12</f>
        <v>24.749999999999996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B5" s="17">
        <f>M5+P5-Q5</f>
        <v>208.3125</v>
      </c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231</v>
      </c>
      <c r="N6" s="38">
        <f>M6</f>
        <v>231</v>
      </c>
      <c r="O6" s="39" t="s">
        <v>111</v>
      </c>
      <c r="P6" s="38">
        <f>SUM(P5:P5)</f>
        <v>2.0624999999999996</v>
      </c>
      <c r="Q6" s="38">
        <f>SUM(Q5:Q5)</f>
        <v>24.749999999999996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>SUM(BB5:BB5)</f>
        <v>208.3125</v>
      </c>
      <c r="BC6" s="38">
        <f t="shared" ref="BC6:CV6" si="3">SUM(BC5:BC5)</f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FAST FOOD CHAIN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227</v>
      </c>
      <c r="B10" s="71"/>
      <c r="C10" s="72"/>
      <c r="D10" s="73">
        <f>BB6</f>
        <v>208.3125</v>
      </c>
      <c r="E10" s="74"/>
      <c r="F10" s="75" t="str">
        <f>"In payment for employees meal staff meal during bank transactions using housefund received on " &amp; TEXT(A5, "mmmm dd, yyyy") &amp; " with SI#3210057 " &amp; " CPO#" &amp;B5</f>
        <v>In payment for employees meal staff meal during bank transactions using housefund received on August 28, 2025 with SI#3210057  CPO#19032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24.749999999999996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28,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2.0624999999999996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28,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231</v>
      </c>
      <c r="F13" s="89" t="str">
        <f>"Recording house fund expenses for replenishment on " &amp; TEXT(A5, "mmmm dd, yyyy")</f>
        <v>Recording house fund expenses for replenishment on August 28,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233.0625</v>
      </c>
      <c r="E14" s="88">
        <f>SUM(E10:E13)</f>
        <v>233.0625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28, 2025 with PCV#20959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EBD71-7C73-4138-8F0E-03FBC50B62C5}">
  <sheetPr>
    <tabColor rgb="FF00FF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45859</v>
      </c>
      <c r="B5" s="3" t="s">
        <v>630</v>
      </c>
      <c r="C5" s="4" t="s">
        <v>727</v>
      </c>
      <c r="D5" s="5" t="s">
        <v>634</v>
      </c>
      <c r="E5" s="6" t="s">
        <v>635</v>
      </c>
      <c r="F5" s="7" t="s">
        <v>229</v>
      </c>
      <c r="G5" s="8" t="s">
        <v>636</v>
      </c>
      <c r="H5" s="9" t="s">
        <v>637</v>
      </c>
      <c r="I5" s="10"/>
      <c r="J5" s="11" t="s">
        <v>226</v>
      </c>
      <c r="K5" s="12">
        <v>1</v>
      </c>
      <c r="L5" s="13">
        <v>150.66</v>
      </c>
      <c r="M5" s="14">
        <f t="shared" ref="M5" si="0">L5*K5</f>
        <v>150.66</v>
      </c>
      <c r="N5" s="15"/>
      <c r="O5" s="16" t="s">
        <v>111</v>
      </c>
      <c r="P5" s="17">
        <f>M5/1.12*0.01</f>
        <v>1.3451785714285713</v>
      </c>
      <c r="Q5" s="18">
        <f>M5/1.12*0.12</f>
        <v>16.142142857142858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B5" s="17">
        <f>M5+P5-Q5</f>
        <v>135.8630357142857</v>
      </c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150.66</v>
      </c>
      <c r="N6" s="38">
        <f>M6</f>
        <v>150.66</v>
      </c>
      <c r="O6" s="39" t="s">
        <v>111</v>
      </c>
      <c r="P6" s="38">
        <f>SUM(P5:P5)</f>
        <v>1.3451785714285713</v>
      </c>
      <c r="Q6" s="38">
        <f>SUM(Q5:Q5)</f>
        <v>16.142142857142858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>SUM(BB5:BB5)</f>
        <v>135.8630357142857</v>
      </c>
      <c r="BC6" s="38">
        <f t="shared" ref="BC6:CV6" si="3">SUM(BC5:BC5)</f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CHOWKING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227</v>
      </c>
      <c r="B10" s="71"/>
      <c r="C10" s="72"/>
      <c r="D10" s="73">
        <f>BB6</f>
        <v>135.8630357142857</v>
      </c>
      <c r="E10" s="74"/>
      <c r="F10" s="75" t="str">
        <f>"In payment for employees meal staff meal during bank transactions using housefund received on " &amp; TEXT(A5, "mmmm dd, yyyy") &amp; " with SI#CK3144" &amp; " CPO#" &amp;B5</f>
        <v>In payment for employees meal staff meal during bank transactions using housefund received on July 21, 2025 with SI#CK3144 CPO#19032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16.142142857142858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July 21,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1.3451785714285713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July 21,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150.66</v>
      </c>
      <c r="F13" s="89" t="str">
        <f>"Recording house fund expenses for replenishment on " &amp; TEXT(A5, "mmmm dd, yyyy")</f>
        <v>Recording house fund expenses for replenishment on July 21,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152.00517857142856</v>
      </c>
      <c r="E14" s="88">
        <f>SUM(E10:E13)</f>
        <v>152.00517857142856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July 21, 2025 with PCV#20960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9AA33-F094-4DCA-B639-47A9E24D5324}">
  <sheetPr>
    <tabColor rgb="FF00FF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45880</v>
      </c>
      <c r="B5" s="3" t="s">
        <v>630</v>
      </c>
      <c r="C5" s="4" t="s">
        <v>728</v>
      </c>
      <c r="D5" s="5" t="s">
        <v>210</v>
      </c>
      <c r="E5" s="6" t="s">
        <v>638</v>
      </c>
      <c r="F5" s="7" t="s">
        <v>336</v>
      </c>
      <c r="G5" s="8" t="s">
        <v>639</v>
      </c>
      <c r="H5" s="9">
        <v>286458</v>
      </c>
      <c r="I5" s="10"/>
      <c r="J5" s="11" t="s">
        <v>226</v>
      </c>
      <c r="K5" s="12">
        <v>1</v>
      </c>
      <c r="L5" s="13">
        <v>239.67</v>
      </c>
      <c r="M5" s="14">
        <f t="shared" ref="M5" si="0">L5*K5</f>
        <v>239.67</v>
      </c>
      <c r="N5" s="15"/>
      <c r="O5" s="16" t="s">
        <v>111</v>
      </c>
      <c r="P5" s="17">
        <f>M5/1.12*0.01</f>
        <v>2.1399107142857141</v>
      </c>
      <c r="Q5" s="18">
        <f>M5/1.12*0.12</f>
        <v>25.678928571428564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B5" s="17">
        <f>M5+P5-Q5</f>
        <v>216.13098214285714</v>
      </c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239.67</v>
      </c>
      <c r="N6" s="38">
        <f>M6</f>
        <v>239.67</v>
      </c>
      <c r="O6" s="39" t="s">
        <v>111</v>
      </c>
      <c r="P6" s="38">
        <f>SUM(P5:P5)</f>
        <v>2.1399107142857141</v>
      </c>
      <c r="Q6" s="38">
        <f>SUM(Q5:Q5)</f>
        <v>25.678928571428564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>SUM(BB5:BB5)</f>
        <v>216.13098214285714</v>
      </c>
      <c r="BC6" s="38">
        <f t="shared" ref="BC6:CV6" si="3">SUM(BC5:BC5)</f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COAST PACIFIC GOLDEN MILESTONE CORPORATION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227</v>
      </c>
      <c r="B10" s="71"/>
      <c r="C10" s="72"/>
      <c r="D10" s="73">
        <f>BB6</f>
        <v>216.13098214285714</v>
      </c>
      <c r="E10" s="74"/>
      <c r="F10" s="75" t="str">
        <f>"In payment for staff meal for employees during bank transactions using housefund received on " &amp; TEXT(A5, "mmmm dd, yyyy") &amp; " with SI#286458" &amp; " CPO#" &amp;B5</f>
        <v>In payment for staff meal for employees during bank transactions using housefund received on August 11, 2025 with SI#286458 CPO#19032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25.678928571428564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11,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2.1399107142857141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11,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239.67</v>
      </c>
      <c r="F13" s="89" t="str">
        <f>"Recording house fund expenses for replenishment on " &amp; TEXT(A5, "mmmm dd, yyyy")</f>
        <v>Recording house fund expenses for replenishment on August 11,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241.80991071428571</v>
      </c>
      <c r="E14" s="88">
        <f>SUM(E10:E13)</f>
        <v>241.80991071428571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11, 2025 with PCV#20961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5F72E-EBA1-4CC2-8943-92BE57A065F7}">
  <sheetPr>
    <tabColor rgb="FF00FF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15.5703125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45897</v>
      </c>
      <c r="B5" s="3" t="s">
        <v>653</v>
      </c>
      <c r="C5" s="4" t="s">
        <v>729</v>
      </c>
      <c r="D5" s="5" t="s">
        <v>315</v>
      </c>
      <c r="E5" s="6" t="s">
        <v>654</v>
      </c>
      <c r="F5" s="7" t="s">
        <v>229</v>
      </c>
      <c r="G5" s="8" t="s">
        <v>655</v>
      </c>
      <c r="H5" s="9">
        <v>1000041960013</v>
      </c>
      <c r="I5" s="10"/>
      <c r="J5" s="11" t="s">
        <v>226</v>
      </c>
      <c r="K5" s="12">
        <v>3</v>
      </c>
      <c r="L5" s="13">
        <v>360</v>
      </c>
      <c r="M5" s="14">
        <f t="shared" ref="M5" si="0">L5*K5</f>
        <v>1080</v>
      </c>
      <c r="N5" s="15"/>
      <c r="O5" s="16" t="s">
        <v>111</v>
      </c>
      <c r="P5" s="17">
        <f>M5/1.12*0.01</f>
        <v>9.6428571428571423</v>
      </c>
      <c r="Q5" s="18">
        <f>M5/1.12*0.12</f>
        <v>115.71428571428571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7">
        <f>M5+P5-Q5</f>
        <v>973.92857142857144</v>
      </c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1080</v>
      </c>
      <c r="N6" s="38">
        <f>M6</f>
        <v>1080</v>
      </c>
      <c r="O6" s="39" t="s">
        <v>111</v>
      </c>
      <c r="P6" s="38">
        <f>SUM(P5:P5)</f>
        <v>9.6428571428571423</v>
      </c>
      <c r="Q6" s="38">
        <f>SUM(Q5:Q5)</f>
        <v>115.71428571428571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>SUM(AU5:AU5)</f>
        <v>973.92857142857144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RCG FOODS VENTURES CORP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656</v>
      </c>
      <c r="B10" s="71"/>
      <c r="C10" s="72"/>
      <c r="D10" s="73">
        <f>AU6</f>
        <v>973.92857142857144</v>
      </c>
      <c r="E10" s="74"/>
      <c r="F10" s="75" t="str">
        <f>"In payment for snack meal for sir exe using housefund received on " &amp; TEXT(A5, "mmmm dd, yyyy") &amp; " with SI#1000041960013" &amp; " CPO#" &amp;B5</f>
        <v>In payment for snack meal for sir exe using housefund received on August 28, 2025 with SI#1000041960013 CPO#19033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115.71428571428571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28,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9.6428571428571423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28,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1080</v>
      </c>
      <c r="F13" s="89" t="str">
        <f>"Recording house fund expenses for replenishment on " &amp; TEXT(A5, "mmmm dd, yyyy")</f>
        <v>Recording house fund expenses for replenishment on August 28,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1089.6428571428571</v>
      </c>
      <c r="E14" s="88">
        <f>SUM(E10:E13)</f>
        <v>1089.6428571428571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28, 2025 with PCV#20962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</mergeCells>
  <pageMargins left="0.7" right="0.7" top="0.75" bottom="0.75" header="0.3" footer="0.3"/>
  <legacy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83AAF-2CB2-4026-9E56-9E220706855F}">
  <sheetPr>
    <tabColor rgb="FF00FF00"/>
  </sheetPr>
  <dimension ref="A1:CY17"/>
  <sheetViews>
    <sheetView workbookViewId="0">
      <selection activeCell="A5" sqref="A5:XFD8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8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8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45884</v>
      </c>
      <c r="B5" s="3" t="s">
        <v>669</v>
      </c>
      <c r="C5" s="4" t="s">
        <v>730</v>
      </c>
      <c r="D5" s="5" t="s">
        <v>133</v>
      </c>
      <c r="E5" s="6" t="s">
        <v>622</v>
      </c>
      <c r="F5" s="7" t="s">
        <v>670</v>
      </c>
      <c r="G5" s="8" t="s">
        <v>149</v>
      </c>
      <c r="H5" s="9">
        <v>273661</v>
      </c>
      <c r="I5" s="10" t="s">
        <v>671</v>
      </c>
      <c r="J5" s="11" t="s">
        <v>672</v>
      </c>
      <c r="K5" s="12">
        <v>6</v>
      </c>
      <c r="L5" s="13">
        <v>75.849999999999994</v>
      </c>
      <c r="M5" s="14">
        <f t="shared" ref="M5:M7" si="0">L5*K5</f>
        <v>455.09999999999997</v>
      </c>
      <c r="N5" s="15"/>
      <c r="O5" s="16" t="s">
        <v>111</v>
      </c>
      <c r="P5" s="17">
        <f>M5/1.12*0.01</f>
        <v>4.0633928571428566</v>
      </c>
      <c r="Q5" s="18">
        <f>M5/1.12*0.12</f>
        <v>48.760714285714279</v>
      </c>
      <c r="R5" s="17">
        <f>M5+P5-Q5</f>
        <v>410.40267857142851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673</v>
      </c>
      <c r="K6" s="12">
        <v>5</v>
      </c>
      <c r="L6" s="13">
        <v>27.3</v>
      </c>
      <c r="M6" s="14">
        <f t="shared" si="0"/>
        <v>136.5</v>
      </c>
      <c r="N6" s="15"/>
      <c r="O6" s="16" t="s">
        <v>111</v>
      </c>
      <c r="P6" s="17">
        <f t="shared" ref="P6:P7" si="1">M6/1.12*0.01</f>
        <v>1.2187499999999998</v>
      </c>
      <c r="Q6" s="18">
        <f>M6/1.12*0.12</f>
        <v>14.624999999999998</v>
      </c>
      <c r="R6" s="17">
        <f t="shared" ref="R6:R7" si="2">M6+P6-Q6</f>
        <v>123.09375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5" customFormat="1" x14ac:dyDescent="0.2">
      <c r="A7" s="2"/>
      <c r="B7" s="3"/>
      <c r="C7" s="4"/>
      <c r="E7" s="6"/>
      <c r="F7" s="7"/>
      <c r="G7" s="8"/>
      <c r="H7" s="9"/>
      <c r="I7" s="10"/>
      <c r="J7" s="11" t="s">
        <v>674</v>
      </c>
      <c r="K7" s="12">
        <v>3</v>
      </c>
      <c r="L7" s="13">
        <v>33.9</v>
      </c>
      <c r="M7" s="14">
        <f t="shared" si="0"/>
        <v>101.69999999999999</v>
      </c>
      <c r="N7" s="15"/>
      <c r="O7" s="16" t="s">
        <v>111</v>
      </c>
      <c r="P7" s="17">
        <f t="shared" si="1"/>
        <v>0.90803571428571417</v>
      </c>
      <c r="Q7" s="18">
        <f t="shared" ref="Q7" si="3">M7/1.12*0.12</f>
        <v>10.896428571428569</v>
      </c>
      <c r="R7" s="17">
        <f t="shared" si="2"/>
        <v>91.711607142857133</v>
      </c>
      <c r="S7" s="19"/>
      <c r="T7" s="19"/>
      <c r="U7" s="19"/>
      <c r="V7" s="19"/>
      <c r="W7" s="17"/>
      <c r="X7" s="20"/>
      <c r="Y7" s="19"/>
      <c r="Z7" s="19"/>
      <c r="AA7" s="19"/>
      <c r="AB7" s="19"/>
      <c r="AC7" s="19"/>
      <c r="AD7" s="19"/>
      <c r="AF7" s="19"/>
      <c r="AH7" s="17"/>
      <c r="AI7" s="19"/>
      <c r="AJ7" s="19"/>
      <c r="AK7" s="19"/>
      <c r="AL7" s="19"/>
      <c r="AM7" s="17"/>
      <c r="AN7" s="19"/>
      <c r="AO7" s="19"/>
      <c r="AP7" s="19"/>
      <c r="AQ7" s="19"/>
      <c r="AR7" s="19"/>
      <c r="AS7" s="21"/>
      <c r="AU7" s="19"/>
      <c r="AW7" s="22"/>
      <c r="AX7" s="19"/>
      <c r="AZ7" s="19"/>
      <c r="BC7" s="19"/>
      <c r="BD7" s="19"/>
      <c r="BE7" s="19"/>
      <c r="BF7" s="19"/>
      <c r="BG7" s="19"/>
      <c r="BH7" s="19"/>
      <c r="BI7" s="19"/>
      <c r="BJ7" s="19"/>
      <c r="BK7" s="13"/>
      <c r="BN7" s="19"/>
      <c r="BO7" s="17"/>
      <c r="BP7" s="19"/>
      <c r="BQ7" s="17"/>
      <c r="BR7" s="19"/>
      <c r="BS7" s="13"/>
      <c r="BU7" s="23"/>
      <c r="BV7" s="23"/>
      <c r="BW7" s="24"/>
      <c r="CA7" s="24"/>
      <c r="CB7" s="24"/>
      <c r="CC7" s="24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25"/>
      <c r="CW7" s="26"/>
    </row>
    <row r="8" spans="1:103" s="30" customFormat="1" ht="11.25" x14ac:dyDescent="0.2">
      <c r="A8" s="27"/>
      <c r="B8" s="28"/>
      <c r="C8" s="29"/>
      <c r="E8" s="31"/>
      <c r="F8" s="32"/>
      <c r="G8" s="33"/>
      <c r="H8" s="34"/>
      <c r="I8" s="34"/>
      <c r="J8" s="35"/>
      <c r="K8" s="36"/>
      <c r="L8" s="37"/>
      <c r="M8" s="38">
        <f>SUM(M5:M7)</f>
        <v>693.3</v>
      </c>
      <c r="N8" s="38">
        <f>M8</f>
        <v>693.3</v>
      </c>
      <c r="O8" s="39" t="s">
        <v>111</v>
      </c>
      <c r="P8" s="38">
        <f>SUM(P5:P7)</f>
        <v>6.1901785714285706</v>
      </c>
      <c r="Q8" s="38">
        <f>SUM(Q5:Q7)</f>
        <v>74.282142857142844</v>
      </c>
      <c r="R8" s="38">
        <f>SUM(R5:R7)</f>
        <v>625.20803571428564</v>
      </c>
      <c r="S8" s="38">
        <f t="shared" ref="S8:AD8" si="4">SUM(S5:S5)</f>
        <v>0</v>
      </c>
      <c r="T8" s="38">
        <f t="shared" si="4"/>
        <v>0</v>
      </c>
      <c r="U8" s="38">
        <f t="shared" si="4"/>
        <v>0</v>
      </c>
      <c r="V8" s="38">
        <f t="shared" si="4"/>
        <v>0</v>
      </c>
      <c r="W8" s="38">
        <f t="shared" si="4"/>
        <v>0</v>
      </c>
      <c r="X8" s="38">
        <f t="shared" si="4"/>
        <v>0</v>
      </c>
      <c r="Y8" s="38">
        <f t="shared" si="4"/>
        <v>0</v>
      </c>
      <c r="Z8" s="38">
        <f t="shared" si="4"/>
        <v>0</v>
      </c>
      <c r="AA8" s="38">
        <f t="shared" si="4"/>
        <v>0</v>
      </c>
      <c r="AB8" s="38">
        <f t="shared" si="4"/>
        <v>0</v>
      </c>
      <c r="AC8" s="38">
        <f t="shared" si="4"/>
        <v>0</v>
      </c>
      <c r="AD8" s="38">
        <f t="shared" si="4"/>
        <v>0</v>
      </c>
      <c r="AF8" s="38">
        <f>SUM(AF5:AF5)</f>
        <v>0</v>
      </c>
      <c r="AH8" s="38">
        <f t="shared" ref="AH8:AZ8" si="5">SUM(AH5:AH5)</f>
        <v>0</v>
      </c>
      <c r="AI8" s="38">
        <f t="shared" si="5"/>
        <v>0</v>
      </c>
      <c r="AJ8" s="38">
        <f t="shared" si="5"/>
        <v>0</v>
      </c>
      <c r="AK8" s="38">
        <f t="shared" si="5"/>
        <v>0</v>
      </c>
      <c r="AL8" s="38">
        <f t="shared" si="5"/>
        <v>0</v>
      </c>
      <c r="AM8" s="38">
        <f t="shared" si="5"/>
        <v>0</v>
      </c>
      <c r="AN8" s="38">
        <f t="shared" si="5"/>
        <v>0</v>
      </c>
      <c r="AO8" s="38">
        <f t="shared" si="5"/>
        <v>0</v>
      </c>
      <c r="AP8" s="38">
        <f t="shared" si="5"/>
        <v>0</v>
      </c>
      <c r="AQ8" s="38">
        <f t="shared" si="5"/>
        <v>0</v>
      </c>
      <c r="AR8" s="38">
        <f t="shared" si="5"/>
        <v>0</v>
      </c>
      <c r="AS8" s="38">
        <f t="shared" si="5"/>
        <v>0</v>
      </c>
      <c r="AT8" s="38">
        <f t="shared" si="5"/>
        <v>0</v>
      </c>
      <c r="AU8" s="38">
        <f t="shared" si="5"/>
        <v>0</v>
      </c>
      <c r="AV8" s="38">
        <f t="shared" si="5"/>
        <v>0</v>
      </c>
      <c r="AW8" s="38">
        <f t="shared" si="5"/>
        <v>0</v>
      </c>
      <c r="AX8" s="38">
        <f t="shared" si="5"/>
        <v>0</v>
      </c>
      <c r="AY8" s="38">
        <f t="shared" si="5"/>
        <v>0</v>
      </c>
      <c r="AZ8" s="38">
        <f t="shared" si="5"/>
        <v>0</v>
      </c>
      <c r="BB8" s="38">
        <f t="shared" ref="BB8:CV8" si="6">SUM(BB5:BB5)</f>
        <v>0</v>
      </c>
      <c r="BC8" s="38">
        <f t="shared" si="6"/>
        <v>0</v>
      </c>
      <c r="BD8" s="38">
        <f t="shared" si="6"/>
        <v>0</v>
      </c>
      <c r="BE8" s="38">
        <f t="shared" si="6"/>
        <v>0</v>
      </c>
      <c r="BF8" s="38">
        <f t="shared" si="6"/>
        <v>0</v>
      </c>
      <c r="BG8" s="38">
        <f t="shared" si="6"/>
        <v>0</v>
      </c>
      <c r="BH8" s="38">
        <f t="shared" si="6"/>
        <v>0</v>
      </c>
      <c r="BI8" s="38">
        <f t="shared" si="6"/>
        <v>0</v>
      </c>
      <c r="BJ8" s="38">
        <f t="shared" si="6"/>
        <v>0</v>
      </c>
      <c r="BK8" s="38">
        <f t="shared" si="6"/>
        <v>0</v>
      </c>
      <c r="BL8" s="38">
        <f t="shared" si="6"/>
        <v>0</v>
      </c>
      <c r="BM8" s="38">
        <f t="shared" si="6"/>
        <v>0</v>
      </c>
      <c r="BN8" s="38">
        <f t="shared" si="6"/>
        <v>0</v>
      </c>
      <c r="BO8" s="38">
        <f t="shared" si="6"/>
        <v>0</v>
      </c>
      <c r="BP8" s="38">
        <f t="shared" si="6"/>
        <v>0</v>
      </c>
      <c r="BQ8" s="38">
        <f t="shared" si="6"/>
        <v>0</v>
      </c>
      <c r="BR8" s="38">
        <f t="shared" si="6"/>
        <v>0</v>
      </c>
      <c r="BS8" s="38">
        <f t="shared" si="6"/>
        <v>0</v>
      </c>
      <c r="BT8" s="38">
        <f t="shared" si="6"/>
        <v>0</v>
      </c>
      <c r="BU8" s="38">
        <f t="shared" si="6"/>
        <v>0</v>
      </c>
      <c r="BV8" s="38">
        <f t="shared" si="6"/>
        <v>0</v>
      </c>
      <c r="BW8" s="38">
        <f t="shared" si="6"/>
        <v>0</v>
      </c>
      <c r="BX8" s="38">
        <f t="shared" si="6"/>
        <v>0</v>
      </c>
      <c r="BY8" s="38">
        <f t="shared" si="6"/>
        <v>0</v>
      </c>
      <c r="BZ8" s="38">
        <f t="shared" si="6"/>
        <v>0</v>
      </c>
      <c r="CA8" s="38">
        <f t="shared" si="6"/>
        <v>0</v>
      </c>
      <c r="CB8" s="38">
        <f t="shared" si="6"/>
        <v>0</v>
      </c>
      <c r="CC8" s="38">
        <f t="shared" si="6"/>
        <v>0</v>
      </c>
      <c r="CD8" s="38">
        <f t="shared" si="6"/>
        <v>0</v>
      </c>
      <c r="CE8" s="38">
        <f t="shared" si="6"/>
        <v>0</v>
      </c>
      <c r="CF8" s="38">
        <f t="shared" si="6"/>
        <v>0</v>
      </c>
      <c r="CG8" s="38">
        <f t="shared" si="6"/>
        <v>0</v>
      </c>
      <c r="CH8" s="38">
        <f t="shared" si="6"/>
        <v>0</v>
      </c>
      <c r="CI8" s="38">
        <f t="shared" si="6"/>
        <v>0</v>
      </c>
      <c r="CJ8" s="38">
        <f t="shared" si="6"/>
        <v>0</v>
      </c>
      <c r="CK8" s="38">
        <f t="shared" si="6"/>
        <v>0</v>
      </c>
      <c r="CL8" s="38">
        <f t="shared" si="6"/>
        <v>0</v>
      </c>
      <c r="CM8" s="38">
        <f t="shared" si="6"/>
        <v>0</v>
      </c>
      <c r="CN8" s="38">
        <f t="shared" si="6"/>
        <v>0</v>
      </c>
      <c r="CO8" s="38">
        <f t="shared" si="6"/>
        <v>0</v>
      </c>
      <c r="CP8" s="38">
        <f t="shared" si="6"/>
        <v>0</v>
      </c>
      <c r="CQ8" s="38">
        <f t="shared" si="6"/>
        <v>0</v>
      </c>
      <c r="CR8" s="38">
        <f t="shared" si="6"/>
        <v>0</v>
      </c>
      <c r="CS8" s="38">
        <f t="shared" si="6"/>
        <v>0</v>
      </c>
      <c r="CT8" s="38">
        <f t="shared" si="6"/>
        <v>0</v>
      </c>
      <c r="CU8" s="38">
        <f t="shared" si="6"/>
        <v>0</v>
      </c>
      <c r="CV8" s="38">
        <f t="shared" si="6"/>
        <v>0</v>
      </c>
      <c r="CW8" s="40"/>
    </row>
    <row r="9" spans="1:103" customFormat="1" ht="15" x14ac:dyDescent="0.25"/>
    <row r="10" spans="1:103" customFormat="1" ht="15" x14ac:dyDescent="0.25">
      <c r="A10" s="41" t="str">
        <f>E5</f>
        <v>METRO GAISANO</v>
      </c>
      <c r="B10" s="42"/>
      <c r="C10" s="43"/>
      <c r="D10" s="44"/>
      <c r="E10" s="44"/>
      <c r="F10" s="45"/>
      <c r="G10" s="46"/>
      <c r="H10" s="47"/>
      <c r="I10" s="48"/>
      <c r="J10" s="49"/>
      <c r="K10" s="50"/>
      <c r="L10" s="51"/>
      <c r="M10" s="52"/>
      <c r="N10" s="53"/>
      <c r="O10" s="54"/>
      <c r="P10" s="55"/>
    </row>
    <row r="11" spans="1:103" customFormat="1" ht="15" x14ac:dyDescent="0.25">
      <c r="A11" s="56"/>
      <c r="B11" s="57"/>
      <c r="C11" s="58"/>
      <c r="D11" s="59" t="s">
        <v>112</v>
      </c>
      <c r="E11" s="59" t="s">
        <v>113</v>
      </c>
      <c r="F11" s="60" t="s">
        <v>114</v>
      </c>
      <c r="G11" s="61"/>
      <c r="H11" s="62"/>
      <c r="I11" s="63"/>
      <c r="J11" s="64"/>
      <c r="K11" s="1"/>
      <c r="L11" s="65"/>
      <c r="M11" s="66"/>
      <c r="N11" s="67"/>
      <c r="O11" s="68"/>
      <c r="P11" s="69"/>
    </row>
    <row r="12" spans="1:103" customFormat="1" ht="13.5" customHeight="1" x14ac:dyDescent="0.25">
      <c r="A12" s="70" t="s">
        <v>151</v>
      </c>
      <c r="B12" s="71"/>
      <c r="C12" s="72"/>
      <c r="D12" s="73">
        <f>R8</f>
        <v>625.20803571428564</v>
      </c>
      <c r="E12" s="74"/>
      <c r="F12" s="75" t="str">
        <f>"In payment for using 6 bottles of banana catsup, 5 packs of star anise, and 3 cans of jolly salted black beans using housefund received on " &amp; TEXT(A5, "mmmm dd, yyyy") &amp; " with SI#273661 RR#5305" &amp; " CPO#" &amp;B5</f>
        <v>In payment for using 6 bottles of banana catsup, 5 packs of star anise, and 3 cans of jolly salted black beans using housefund received on August 15, 2025 with SI#273661 RR#5305 CPO#19035</v>
      </c>
      <c r="G12" s="76"/>
      <c r="H12" s="77"/>
      <c r="I12" s="77"/>
      <c r="J12" s="76"/>
      <c r="K12" s="1"/>
      <c r="L12" s="65"/>
      <c r="M12" s="78"/>
      <c r="N12" s="79"/>
      <c r="O12" s="80"/>
      <c r="P12" s="81"/>
    </row>
    <row r="13" spans="1:103" customFormat="1" ht="15" x14ac:dyDescent="0.25">
      <c r="A13" s="70" t="s">
        <v>115</v>
      </c>
      <c r="B13" s="71"/>
      <c r="C13" s="72"/>
      <c r="D13" s="73">
        <f>Q8</f>
        <v>74.282142857142844</v>
      </c>
      <c r="E13" s="74"/>
      <c r="F13" s="64" t="str">
        <f>"Recording input VAT for expenses and purchases made using house fund for " &amp; TEXT(A5, "mmmm dd, yyyy")</f>
        <v>Recording input VAT for expenses and purchases made using house fund for August 15,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 t="s">
        <v>116</v>
      </c>
      <c r="B14" s="86"/>
      <c r="C14" s="87"/>
      <c r="D14" s="88"/>
      <c r="E14" s="74">
        <f>P8</f>
        <v>6.1901785714285706</v>
      </c>
      <c r="F14" s="89" t="str">
        <f>"Recording the tax withheld for expenses and purchases using the house fund received on " &amp; TEXT(A5, "mmmm dd, yyyy")</f>
        <v>Recording the tax withheld for expenses and purchases using the house fund received on August 15,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70" t="s">
        <v>117</v>
      </c>
      <c r="B15" s="86"/>
      <c r="C15" s="87"/>
      <c r="D15" s="90"/>
      <c r="E15" s="91">
        <f>M8</f>
        <v>693.3</v>
      </c>
      <c r="F15" s="89" t="str">
        <f>"Recording house fund expenses for replenishment on " &amp; TEXT(A5, "mmmm dd, yyyy")</f>
        <v>Recording house fund expenses for replenishment on August 15, 2025</v>
      </c>
      <c r="G15" s="82"/>
      <c r="H15" s="83"/>
      <c r="I15" s="84"/>
      <c r="J15" s="82"/>
      <c r="K15" s="1"/>
      <c r="L15" s="65"/>
      <c r="M15" s="66"/>
      <c r="N15" s="67"/>
      <c r="O15" s="68"/>
      <c r="P15" s="69"/>
    </row>
    <row r="16" spans="1:103" customFormat="1" ht="15" x14ac:dyDescent="0.25">
      <c r="A16" s="85"/>
      <c r="B16" s="86"/>
      <c r="C16" s="87"/>
      <c r="D16" s="88">
        <f>SUM(D12:D13)</f>
        <v>699.49017857142849</v>
      </c>
      <c r="E16" s="88">
        <f>SUM(E12:E15)</f>
        <v>699.49017857142849</v>
      </c>
      <c r="F16" s="92"/>
      <c r="G16" s="92"/>
      <c r="H16" s="93"/>
      <c r="I16" s="94"/>
      <c r="J16" s="92"/>
      <c r="K16" s="1"/>
      <c r="L16" s="65"/>
      <c r="M16" s="66"/>
      <c r="N16" s="67"/>
      <c r="O16" s="68"/>
      <c r="P16" s="69"/>
    </row>
    <row r="17" spans="1:16" customFormat="1" ht="15" x14ac:dyDescent="0.25">
      <c r="A17" s="95" t="s">
        <v>118</v>
      </c>
      <c r="B17" s="96" t="str">
        <f>"To record house fund expenses on " &amp; TEXT(A5, "mmmm dd, yyyy") &amp; " with PCV#" &amp; C5</f>
        <v>To record house fund expenses on August 15, 2025 with PCV#20963</v>
      </c>
      <c r="C17" s="97"/>
      <c r="D17" s="98"/>
      <c r="E17" s="98"/>
      <c r="F17" s="98"/>
      <c r="G17" s="92"/>
      <c r="H17" s="93"/>
      <c r="I17" s="94"/>
      <c r="J17" s="92"/>
      <c r="K17" s="1"/>
      <c r="L17" s="65"/>
      <c r="M17" s="66"/>
      <c r="N17" s="67"/>
      <c r="O17" s="68"/>
      <c r="P17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82B6A-EC21-474D-85D2-C70589ADF31C}">
  <sheetPr>
    <tabColor rgb="FF00FF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45898</v>
      </c>
      <c r="B5" s="3" t="s">
        <v>669</v>
      </c>
      <c r="C5" s="4" t="s">
        <v>731</v>
      </c>
      <c r="D5" s="5" t="s">
        <v>133</v>
      </c>
      <c r="E5" s="6"/>
      <c r="F5" s="7"/>
      <c r="G5" s="8"/>
      <c r="H5" s="9"/>
      <c r="I5" s="10"/>
      <c r="J5" s="11" t="s">
        <v>226</v>
      </c>
      <c r="K5" s="12">
        <v>1</v>
      </c>
      <c r="L5" s="13">
        <v>105</v>
      </c>
      <c r="M5" s="14">
        <f t="shared" ref="M5" si="0">L5*K5</f>
        <v>105</v>
      </c>
      <c r="N5" s="15"/>
      <c r="O5" s="16" t="s">
        <v>137</v>
      </c>
      <c r="P5" s="17"/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7">
        <f>M5+P5-Q5</f>
        <v>105</v>
      </c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105</v>
      </c>
      <c r="N6" s="38">
        <f>M6</f>
        <v>105</v>
      </c>
      <c r="O6" s="39" t="s">
        <v>137</v>
      </c>
      <c r="P6" s="38"/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>SUM(BC5:BC5)</f>
        <v>105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>
        <f>E5</f>
        <v>0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392</v>
      </c>
      <c r="B10" s="71"/>
      <c r="C10" s="72"/>
      <c r="D10" s="73">
        <f>BC6</f>
        <v>105</v>
      </c>
      <c r="E10" s="74"/>
      <c r="F10" s="75" t="str">
        <f>"In payment for employees meal for staff during purchasing trip using housefund received on " &amp; TEXT(A5, "mmmm dd, yyyy") &amp; "" &amp; " CPO#" &amp;B5</f>
        <v>In payment for employees meal for staff during purchasing trip using housefund received on August 29, 2025 CPO#19035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29,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29,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105</v>
      </c>
      <c r="F13" s="89" t="str">
        <f>"Recording house fund expenses for replenishment on " &amp; TEXT(A5, "mmmm dd, yyyy")</f>
        <v>Recording house fund expenses for replenishment on August 29,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105</v>
      </c>
      <c r="E14" s="88">
        <f>SUM(E10:E13)</f>
        <v>105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29, 2025 with PCV#20964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</mergeCells>
  <pageMargins left="0.7" right="0.7" top="0.75" bottom="0.75" header="0.3" footer="0.3"/>
  <legacy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C8C63-CF6B-4F25-9432-32D19EF38591}">
  <sheetPr>
    <tabColor rgb="FF00FF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45898</v>
      </c>
      <c r="B5" s="3" t="s">
        <v>669</v>
      </c>
      <c r="C5" s="4" t="s">
        <v>732</v>
      </c>
      <c r="D5" s="5" t="s">
        <v>133</v>
      </c>
      <c r="E5" s="6" t="s">
        <v>134</v>
      </c>
      <c r="F5" s="7"/>
      <c r="G5" s="8"/>
      <c r="H5" s="9"/>
      <c r="I5" s="10"/>
      <c r="J5" s="11" t="s">
        <v>135</v>
      </c>
      <c r="K5" s="12">
        <v>1</v>
      </c>
      <c r="L5" s="13">
        <v>106</v>
      </c>
      <c r="M5" s="14">
        <f t="shared" ref="M5" si="0">L5*K5</f>
        <v>106</v>
      </c>
      <c r="N5" s="15"/>
      <c r="O5" s="16" t="s">
        <v>137</v>
      </c>
      <c r="P5" s="17"/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>
        <f>M5+P5-Q5</f>
        <v>106</v>
      </c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106</v>
      </c>
      <c r="N6" s="38">
        <f>M6</f>
        <v>106</v>
      </c>
      <c r="O6" s="39" t="s">
        <v>137</v>
      </c>
      <c r="P6" s="38"/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>SUM(BO5:BO5)</f>
        <v>106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MAXIM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233</v>
      </c>
      <c r="B10" s="71"/>
      <c r="C10" s="72"/>
      <c r="D10" s="73">
        <f>BO6</f>
        <v>106</v>
      </c>
      <c r="E10" s="74"/>
      <c r="F10" s="75" t="str">
        <f>"In payment for transportation expense for employee using housefund received on " &amp; TEXT(A5, "mmmm dd, yyyy") &amp; " with" &amp; " CPO#" &amp;B5</f>
        <v>In payment for transportation expense for employee using housefund received on August 29, 2025 with CPO#19035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29,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29,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106</v>
      </c>
      <c r="F13" s="89" t="str">
        <f>"Recording house fund expenses for replenishment on " &amp; TEXT(A5, "mmmm dd, yyyy")</f>
        <v>Recording house fund expenses for replenishment on August 29,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106</v>
      </c>
      <c r="E14" s="88">
        <f>SUM(E10:E13)</f>
        <v>106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29, 2025 with PCV#20965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</mergeCells>
  <pageMargins left="0.7" right="0.7" top="0.75" bottom="0.75" header="0.3" footer="0.3"/>
  <legacy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05BB0-AC26-484A-AE41-0B6103F08AEC}">
  <sheetPr>
    <tabColor rgb="FF00FF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8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8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45898</v>
      </c>
      <c r="B5" s="3" t="s">
        <v>679</v>
      </c>
      <c r="C5" s="4" t="s">
        <v>733</v>
      </c>
      <c r="D5" s="5" t="s">
        <v>210</v>
      </c>
      <c r="E5" s="6" t="s">
        <v>272</v>
      </c>
      <c r="F5" s="7" t="s">
        <v>229</v>
      </c>
      <c r="G5" s="8" t="s">
        <v>273</v>
      </c>
      <c r="H5" s="9">
        <v>32207</v>
      </c>
      <c r="I5" s="10" t="s">
        <v>680</v>
      </c>
      <c r="J5" s="11" t="s">
        <v>339</v>
      </c>
      <c r="K5" s="12">
        <v>6</v>
      </c>
      <c r="L5" s="13">
        <v>90</v>
      </c>
      <c r="M5" s="14">
        <f t="shared" ref="M5" si="0">L5*K5</f>
        <v>540</v>
      </c>
      <c r="N5" s="15"/>
      <c r="O5" s="16" t="s">
        <v>111</v>
      </c>
      <c r="P5" s="17">
        <f>M5/1.12*0.01</f>
        <v>4.8214285714285712</v>
      </c>
      <c r="Q5" s="18">
        <f>M5/1.12*0.12</f>
        <v>57.857142857142854</v>
      </c>
      <c r="R5" s="17">
        <f>M5+P5-Q5</f>
        <v>486.96428571428572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540</v>
      </c>
      <c r="N6" s="38">
        <f>M6</f>
        <v>540</v>
      </c>
      <c r="O6" s="39" t="s">
        <v>111</v>
      </c>
      <c r="P6" s="38">
        <f>SUM(P5:P5)</f>
        <v>4.8214285714285712</v>
      </c>
      <c r="Q6" s="38">
        <f>SUM(Q5:Q5)</f>
        <v>57.857142857142854</v>
      </c>
      <c r="R6" s="38">
        <f>SUM(R5:R5)</f>
        <v>486.96428571428572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CEBU CUBE ICE CORPORATION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486.96428571428572</v>
      </c>
      <c r="E10" s="74"/>
      <c r="F10" s="75" t="str">
        <f>"In payment for 6 packs of tube ice using housefund received on " &amp; TEXT(A5, "mmmm dd, yyyy") &amp; " with SI#32207 RR#5304" &amp; " CPO#" &amp;B5</f>
        <v>In payment for 6 packs of tube ice using housefund received on August 29, 2025 with SI#32207 RR#5304 CPO#19036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57.857142857142854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29,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4.8214285714285712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29,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540</v>
      </c>
      <c r="F13" s="89" t="str">
        <f>"Recording house fund expenses for replenishment on " &amp; TEXT(A5, "mmmm dd, yyyy")</f>
        <v>Recording house fund expenses for replenishment on August 29, 2025</v>
      </c>
      <c r="G13" s="82"/>
      <c r="H13" s="83"/>
      <c r="I13" s="84"/>
      <c r="J13" s="82"/>
      <c r="K13" s="1"/>
      <c r="L13" s="65"/>
      <c r="M13" s="66"/>
      <c r="N13" s="67"/>
      <c r="O13" s="68" t="s">
        <v>351</v>
      </c>
      <c r="P13" s="69"/>
    </row>
    <row r="14" spans="1:103" customFormat="1" ht="15" x14ac:dyDescent="0.25">
      <c r="A14" s="85"/>
      <c r="B14" s="86"/>
      <c r="C14" s="87"/>
      <c r="D14" s="88">
        <f>SUM(D10:D11)</f>
        <v>544.82142857142856</v>
      </c>
      <c r="E14" s="88">
        <f>SUM(E10:E13)</f>
        <v>544.82142857142856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29, 2025 with PCV#20966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</mergeCells>
  <pageMargins left="0.7" right="0.7" top="0.75" bottom="0.75" header="0.3" footer="0.3"/>
  <legacy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1E206-C7F9-4621-9860-518E1EB87FFA}">
  <sheetPr>
    <tabColor rgb="FF00FF00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45899</v>
      </c>
      <c r="B5" s="3" t="s">
        <v>651</v>
      </c>
      <c r="C5" s="4" t="s">
        <v>734</v>
      </c>
      <c r="D5" s="5" t="s">
        <v>652</v>
      </c>
      <c r="E5" s="6" t="s">
        <v>597</v>
      </c>
      <c r="F5" s="7" t="s">
        <v>229</v>
      </c>
      <c r="G5" s="8" t="s">
        <v>286</v>
      </c>
      <c r="H5" s="9">
        <v>404</v>
      </c>
      <c r="I5" s="10"/>
      <c r="J5" s="11" t="s">
        <v>614</v>
      </c>
      <c r="K5" s="12">
        <v>1</v>
      </c>
      <c r="L5" s="13">
        <v>350</v>
      </c>
      <c r="M5" s="14">
        <f t="shared" ref="M5" si="0">L5*K5</f>
        <v>350</v>
      </c>
      <c r="N5" s="15"/>
      <c r="O5" s="16" t="s">
        <v>137</v>
      </c>
      <c r="P5" s="17">
        <f>M5*0.02</f>
        <v>7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17">
        <f>M5+P5-Q5</f>
        <v>357</v>
      </c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350</v>
      </c>
      <c r="N6" s="38">
        <f>M6</f>
        <v>350</v>
      </c>
      <c r="O6" s="39" t="s">
        <v>137</v>
      </c>
      <c r="P6" s="38">
        <f>SUM(P5:P5)</f>
        <v>7</v>
      </c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>SUM(AW5:AW5)</f>
        <v>357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ZEES LAUNDRY SERVICES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574</v>
      </c>
      <c r="B10" s="71"/>
      <c r="C10" s="72"/>
      <c r="D10" s="73">
        <f>AW6</f>
        <v>357</v>
      </c>
      <c r="E10" s="74"/>
      <c r="F10" s="75" t="str">
        <f>"In payment for laundry services using housefund received on " &amp; TEXT(A5, "mmmm dd, yyyy") &amp; " with SI#404" &amp; " CPO#" &amp;B5</f>
        <v>In payment for laundry services using housefund received on August 30, 2025 with SI#404 CPO#19038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30,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7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30,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350</v>
      </c>
      <c r="F13" s="89" t="str">
        <f>"Recording house fund expenses for replenishment on " &amp; TEXT(A5, "mmmm dd, yyyy")</f>
        <v>Recording house fund expenses for replenishment on August 30,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357</v>
      </c>
      <c r="E14" s="88">
        <f>SUM(E10:E13)</f>
        <v>357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30, 2025 with PCV#20967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FCE91-E43A-4E63-8211-AFCEAB99B370}">
  <sheetPr>
    <tabColor rgb="FF00FF00"/>
  </sheetPr>
  <dimension ref="A1:CY17"/>
  <sheetViews>
    <sheetView workbookViewId="0">
      <selection activeCell="B6" sqref="B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45892</v>
      </c>
      <c r="B5" s="3" t="s">
        <v>745</v>
      </c>
      <c r="C5" s="4" t="s">
        <v>735</v>
      </c>
      <c r="D5" s="5" t="s">
        <v>210</v>
      </c>
      <c r="E5" s="6"/>
      <c r="F5" s="7"/>
      <c r="G5" s="8"/>
      <c r="H5" s="9"/>
      <c r="I5" s="10"/>
      <c r="J5" s="11" t="s">
        <v>681</v>
      </c>
      <c r="K5" s="12">
        <v>1</v>
      </c>
      <c r="L5" s="13">
        <v>1002</v>
      </c>
      <c r="M5" s="14">
        <f t="shared" ref="M5:M6" si="0">L5*K5</f>
        <v>1002</v>
      </c>
      <c r="N5" s="15"/>
      <c r="O5" s="16" t="s">
        <v>137</v>
      </c>
      <c r="P5" s="17"/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W5" s="22"/>
      <c r="AX5" s="19"/>
      <c r="AZ5" s="19"/>
      <c r="BC5" s="19"/>
      <c r="BD5" s="19"/>
      <c r="BE5" s="19"/>
      <c r="BF5" s="19"/>
      <c r="BG5" s="19"/>
      <c r="BH5" s="19"/>
      <c r="BI5" s="17">
        <f>M5+P5-Q5</f>
        <v>1002</v>
      </c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>
        <v>45892</v>
      </c>
      <c r="B6" s="3"/>
      <c r="C6" s="4"/>
      <c r="E6" s="6"/>
      <c r="F6" s="7"/>
      <c r="G6" s="8"/>
      <c r="H6" s="9"/>
      <c r="I6" s="10"/>
      <c r="J6" s="11" t="s">
        <v>682</v>
      </c>
      <c r="K6" s="12">
        <v>1</v>
      </c>
      <c r="L6" s="13">
        <v>2004</v>
      </c>
      <c r="M6" s="14">
        <f t="shared" si="0"/>
        <v>2004</v>
      </c>
      <c r="N6" s="15"/>
      <c r="O6" s="16" t="s">
        <v>137</v>
      </c>
      <c r="P6" s="17"/>
      <c r="Q6" s="18"/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W6" s="22"/>
      <c r="AX6" s="19"/>
      <c r="AZ6" s="19"/>
      <c r="BC6" s="19"/>
      <c r="BD6" s="19"/>
      <c r="BE6" s="19"/>
      <c r="BF6" s="19"/>
      <c r="BG6" s="19"/>
      <c r="BH6" s="19"/>
      <c r="BI6" s="17">
        <f>M6+P6-Q6</f>
        <v>2004</v>
      </c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30" customFormat="1" ht="11.25" x14ac:dyDescent="0.2">
      <c r="A7" s="27"/>
      <c r="B7" s="28"/>
      <c r="C7" s="29"/>
      <c r="E7" s="31"/>
      <c r="F7" s="32"/>
      <c r="G7" s="33"/>
      <c r="H7" s="34"/>
      <c r="I7" s="34"/>
      <c r="J7" s="35"/>
      <c r="K7" s="36"/>
      <c r="L7" s="37"/>
      <c r="M7" s="38">
        <f>SUM(M5:M6)</f>
        <v>3006</v>
      </c>
      <c r="N7" s="38">
        <f>M7</f>
        <v>3006</v>
      </c>
      <c r="O7" s="39" t="s">
        <v>137</v>
      </c>
      <c r="P7" s="38"/>
      <c r="Q7" s="38"/>
      <c r="S7" s="38">
        <f t="shared" ref="S7:AD7" si="1">SUM(S5:S5)</f>
        <v>0</v>
      </c>
      <c r="T7" s="38">
        <f t="shared" si="1"/>
        <v>0</v>
      </c>
      <c r="U7" s="38">
        <f t="shared" si="1"/>
        <v>0</v>
      </c>
      <c r="V7" s="38">
        <f t="shared" si="1"/>
        <v>0</v>
      </c>
      <c r="W7" s="38">
        <f t="shared" si="1"/>
        <v>0</v>
      </c>
      <c r="X7" s="38">
        <f t="shared" si="1"/>
        <v>0</v>
      </c>
      <c r="Y7" s="38">
        <f t="shared" si="1"/>
        <v>0</v>
      </c>
      <c r="Z7" s="38">
        <f t="shared" si="1"/>
        <v>0</v>
      </c>
      <c r="AA7" s="38">
        <f t="shared" si="1"/>
        <v>0</v>
      </c>
      <c r="AB7" s="38">
        <f t="shared" si="1"/>
        <v>0</v>
      </c>
      <c r="AC7" s="38">
        <f t="shared" si="1"/>
        <v>0</v>
      </c>
      <c r="AD7" s="38">
        <f t="shared" si="1"/>
        <v>0</v>
      </c>
      <c r="AF7" s="38">
        <f>SUM(AF5:AF5)</f>
        <v>0</v>
      </c>
      <c r="AH7" s="38">
        <f t="shared" ref="AH7:AT7" si="2">SUM(AH5:AH5)</f>
        <v>0</v>
      </c>
      <c r="AI7" s="38">
        <f t="shared" si="2"/>
        <v>0</v>
      </c>
      <c r="AJ7" s="38">
        <f t="shared" si="2"/>
        <v>0</v>
      </c>
      <c r="AK7" s="38">
        <f t="shared" si="2"/>
        <v>0</v>
      </c>
      <c r="AL7" s="38">
        <f t="shared" si="2"/>
        <v>0</v>
      </c>
      <c r="AM7" s="38">
        <f t="shared" si="2"/>
        <v>0</v>
      </c>
      <c r="AN7" s="38">
        <f t="shared" si="2"/>
        <v>0</v>
      </c>
      <c r="AO7" s="38">
        <f t="shared" si="2"/>
        <v>0</v>
      </c>
      <c r="AP7" s="38">
        <f t="shared" si="2"/>
        <v>0</v>
      </c>
      <c r="AQ7" s="38">
        <f t="shared" si="2"/>
        <v>0</v>
      </c>
      <c r="AR7" s="38">
        <f t="shared" si="2"/>
        <v>0</v>
      </c>
      <c r="AS7" s="38">
        <f t="shared" si="2"/>
        <v>0</v>
      </c>
      <c r="AT7" s="38">
        <f t="shared" si="2"/>
        <v>0</v>
      </c>
      <c r="AV7" s="38">
        <f>SUM(AV5:AV5)</f>
        <v>0</v>
      </c>
      <c r="AW7" s="38">
        <f>SUM(AW5:AW5)</f>
        <v>0</v>
      </c>
      <c r="AX7" s="38">
        <f>SUM(AX5:AX5)</f>
        <v>0</v>
      </c>
      <c r="AY7" s="38">
        <f>SUM(AY5:AY5)</f>
        <v>0</v>
      </c>
      <c r="AZ7" s="38">
        <f>SUM(AZ5:AZ5)</f>
        <v>0</v>
      </c>
      <c r="BB7" s="38">
        <f t="shared" ref="BB7:BH7" si="3">SUM(BB5:BB5)</f>
        <v>0</v>
      </c>
      <c r="BC7" s="38">
        <f t="shared" si="3"/>
        <v>0</v>
      </c>
      <c r="BD7" s="38">
        <f t="shared" si="3"/>
        <v>0</v>
      </c>
      <c r="BE7" s="38">
        <f t="shared" si="3"/>
        <v>0</v>
      </c>
      <c r="BF7" s="38">
        <f t="shared" si="3"/>
        <v>0</v>
      </c>
      <c r="BG7" s="38">
        <f t="shared" si="3"/>
        <v>0</v>
      </c>
      <c r="BH7" s="38">
        <f t="shared" si="3"/>
        <v>0</v>
      </c>
      <c r="BI7" s="38">
        <f>SUM(BI5:BI6)</f>
        <v>3006</v>
      </c>
      <c r="BJ7" s="38">
        <f t="shared" ref="BJ7:CV7" si="4">SUM(BJ5:BJ5)</f>
        <v>0</v>
      </c>
      <c r="BK7" s="38">
        <f t="shared" si="4"/>
        <v>0</v>
      </c>
      <c r="BL7" s="38">
        <f t="shared" si="4"/>
        <v>0</v>
      </c>
      <c r="BM7" s="38">
        <f t="shared" si="4"/>
        <v>0</v>
      </c>
      <c r="BN7" s="38">
        <f t="shared" si="4"/>
        <v>0</v>
      </c>
      <c r="BO7" s="38">
        <f t="shared" si="4"/>
        <v>0</v>
      </c>
      <c r="BP7" s="38">
        <f t="shared" si="4"/>
        <v>0</v>
      </c>
      <c r="BQ7" s="38">
        <f t="shared" si="4"/>
        <v>0</v>
      </c>
      <c r="BR7" s="38">
        <f t="shared" si="4"/>
        <v>0</v>
      </c>
      <c r="BS7" s="38">
        <f t="shared" si="4"/>
        <v>0</v>
      </c>
      <c r="BT7" s="38">
        <f t="shared" si="4"/>
        <v>0</v>
      </c>
      <c r="BU7" s="38">
        <f t="shared" si="4"/>
        <v>0</v>
      </c>
      <c r="BV7" s="38">
        <f t="shared" si="4"/>
        <v>0</v>
      </c>
      <c r="BW7" s="38">
        <f t="shared" si="4"/>
        <v>0</v>
      </c>
      <c r="BX7" s="38">
        <f t="shared" si="4"/>
        <v>0</v>
      </c>
      <c r="BY7" s="38">
        <f t="shared" si="4"/>
        <v>0</v>
      </c>
      <c r="BZ7" s="38">
        <f t="shared" si="4"/>
        <v>0</v>
      </c>
      <c r="CA7" s="38">
        <f t="shared" si="4"/>
        <v>0</v>
      </c>
      <c r="CB7" s="38">
        <f t="shared" si="4"/>
        <v>0</v>
      </c>
      <c r="CC7" s="38">
        <f t="shared" si="4"/>
        <v>0</v>
      </c>
      <c r="CD7" s="38">
        <f t="shared" si="4"/>
        <v>0</v>
      </c>
      <c r="CE7" s="38">
        <f t="shared" si="4"/>
        <v>0</v>
      </c>
      <c r="CF7" s="38">
        <f t="shared" si="4"/>
        <v>0</v>
      </c>
      <c r="CG7" s="38">
        <f t="shared" si="4"/>
        <v>0</v>
      </c>
      <c r="CH7" s="38">
        <f t="shared" si="4"/>
        <v>0</v>
      </c>
      <c r="CI7" s="38">
        <f t="shared" si="4"/>
        <v>0</v>
      </c>
      <c r="CJ7" s="38">
        <f t="shared" si="4"/>
        <v>0</v>
      </c>
      <c r="CK7" s="38">
        <f t="shared" si="4"/>
        <v>0</v>
      </c>
      <c r="CL7" s="38">
        <f t="shared" si="4"/>
        <v>0</v>
      </c>
      <c r="CM7" s="38">
        <f t="shared" si="4"/>
        <v>0</v>
      </c>
      <c r="CN7" s="38">
        <f t="shared" si="4"/>
        <v>0</v>
      </c>
      <c r="CO7" s="38">
        <f t="shared" si="4"/>
        <v>0</v>
      </c>
      <c r="CP7" s="38">
        <f t="shared" si="4"/>
        <v>0</v>
      </c>
      <c r="CQ7" s="38">
        <f t="shared" si="4"/>
        <v>0</v>
      </c>
      <c r="CR7" s="38">
        <f t="shared" si="4"/>
        <v>0</v>
      </c>
      <c r="CS7" s="38">
        <f t="shared" si="4"/>
        <v>0</v>
      </c>
      <c r="CT7" s="38">
        <f t="shared" si="4"/>
        <v>0</v>
      </c>
      <c r="CU7" s="38">
        <f t="shared" si="4"/>
        <v>0</v>
      </c>
      <c r="CV7" s="38">
        <f t="shared" si="4"/>
        <v>0</v>
      </c>
      <c r="CW7" s="40"/>
    </row>
    <row r="8" spans="1:103" customFormat="1" ht="15" x14ac:dyDescent="0.25"/>
    <row r="9" spans="1:103" customFormat="1" ht="15" x14ac:dyDescent="0.25">
      <c r="A9" s="41">
        <f>E5</f>
        <v>0</v>
      </c>
      <c r="B9" s="42"/>
      <c r="C9" s="43"/>
      <c r="D9" s="44"/>
      <c r="E9" s="44"/>
      <c r="F9" s="45"/>
      <c r="G9" s="46"/>
      <c r="H9" s="47"/>
      <c r="I9" s="48"/>
      <c r="J9" s="49"/>
      <c r="K9" s="50"/>
      <c r="L9" s="51"/>
      <c r="M9" s="52"/>
      <c r="N9" s="53"/>
      <c r="O9" s="54"/>
      <c r="P9" s="55"/>
    </row>
    <row r="10" spans="1:103" customFormat="1" ht="15" x14ac:dyDescent="0.25">
      <c r="A10" s="56"/>
      <c r="B10" s="57"/>
      <c r="C10" s="58"/>
      <c r="D10" s="59" t="s">
        <v>112</v>
      </c>
      <c r="E10" s="59" t="s">
        <v>113</v>
      </c>
      <c r="F10" s="60" t="s">
        <v>114</v>
      </c>
      <c r="G10" s="61"/>
      <c r="H10" s="62"/>
      <c r="I10" s="63"/>
      <c r="J10" s="64"/>
      <c r="K10" s="1"/>
      <c r="L10" s="65"/>
      <c r="M10" s="66"/>
      <c r="N10" s="67"/>
      <c r="O10" s="68"/>
      <c r="P10" s="69"/>
    </row>
    <row r="11" spans="1:103" customFormat="1" ht="13.5" customHeight="1" x14ac:dyDescent="0.25">
      <c r="A11" s="70" t="s">
        <v>683</v>
      </c>
      <c r="B11" s="71"/>
      <c r="C11" s="72"/>
      <c r="D11" s="73">
        <f>M5</f>
        <v>1002</v>
      </c>
      <c r="E11" s="74"/>
      <c r="F11" s="75" t="str">
        <f>"In payment for salaries and wages of on call employees for the period of August 10 &amp; 17-23, 2025 using housefund received on "&amp;TEXT(A5,"mmmm dd, yyyy")&amp;"  "&amp;" "&amp;B5</f>
        <v>In payment for salaries and wages of on call employees for the period of August 10 &amp; 17-23, 2025 using housefund received on August 23, 2025   19045</v>
      </c>
      <c r="G11" s="76"/>
      <c r="H11" s="77"/>
      <c r="I11" s="77"/>
      <c r="J11" s="76"/>
      <c r="K11" s="1"/>
      <c r="L11" s="65"/>
      <c r="M11" s="78"/>
      <c r="N11" s="79"/>
      <c r="O11" s="80"/>
      <c r="P11" s="81"/>
    </row>
    <row r="12" spans="1:103" customFormat="1" ht="13.5" customHeight="1" x14ac:dyDescent="0.25">
      <c r="A12" s="70" t="s">
        <v>684</v>
      </c>
      <c r="B12" s="71"/>
      <c r="C12" s="72"/>
      <c r="D12" s="73">
        <f>M6</f>
        <v>2004</v>
      </c>
      <c r="E12" s="74"/>
      <c r="F12" s="75" t="str">
        <f>"In payment for salaries and wages of on call employees for the period of August 17-23, 2025 using housefund received on "&amp;TEXT(A6,"mmmm dd, yyyy")&amp;"  "&amp;" "&amp;B6</f>
        <v xml:space="preserve">In payment for salaries and wages of on call employees for the period of August 17-23, 2025 using housefund received on August 23, 2025   </v>
      </c>
      <c r="G12" s="76"/>
      <c r="H12" s="77"/>
      <c r="I12" s="77"/>
      <c r="J12" s="76"/>
      <c r="K12" s="1"/>
      <c r="L12" s="65"/>
      <c r="M12" s="78"/>
      <c r="N12" s="79"/>
      <c r="O12" s="80"/>
      <c r="P12" s="81"/>
    </row>
    <row r="13" spans="1:103" customFormat="1" ht="15" x14ac:dyDescent="0.25">
      <c r="A13" s="70" t="s">
        <v>115</v>
      </c>
      <c r="B13" s="71"/>
      <c r="C13" s="72"/>
      <c r="D13" s="73">
        <f>Q7</f>
        <v>0</v>
      </c>
      <c r="E13" s="74"/>
      <c r="F13" s="64" t="str">
        <f>"Recording input VAT for expenses and purchases made using house fund for " &amp; TEXT(A5, "mmmm dd, yyyy")</f>
        <v>Recording input VAT for expenses and purchases made using house fund for August 23,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 t="s">
        <v>116</v>
      </c>
      <c r="B14" s="86"/>
      <c r="C14" s="87"/>
      <c r="D14" s="88"/>
      <c r="E14" s="74">
        <f>P7</f>
        <v>0</v>
      </c>
      <c r="F14" s="89" t="str">
        <f>"Recording the tax withheld for expenses and purchases using the house fund received on " &amp; TEXT(A5, "mmmm dd, yyyy")</f>
        <v>Recording the tax withheld for expenses and purchases using the house fund received on August 23,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70" t="s">
        <v>117</v>
      </c>
      <c r="B15" s="86"/>
      <c r="C15" s="87"/>
      <c r="D15" s="90"/>
      <c r="E15" s="91">
        <f>M7</f>
        <v>3006</v>
      </c>
      <c r="F15" s="89" t="str">
        <f>"Recording house fund expenses for replenishment on " &amp; TEXT(A5, "mmmm dd, yyyy")</f>
        <v>Recording house fund expenses for replenishment on August 23, 2025</v>
      </c>
      <c r="G15" s="82"/>
      <c r="H15" s="83"/>
      <c r="I15" s="84"/>
      <c r="J15" s="82"/>
      <c r="K15" s="1"/>
      <c r="L15" s="65"/>
      <c r="M15" s="66"/>
      <c r="N15" s="67"/>
      <c r="O15" s="68"/>
      <c r="P15" s="69"/>
    </row>
    <row r="16" spans="1:103" customFormat="1" ht="15" x14ac:dyDescent="0.25">
      <c r="A16" s="85"/>
      <c r="B16" s="86"/>
      <c r="C16" s="87"/>
      <c r="D16" s="88">
        <f>SUM(D11:D13)</f>
        <v>3006</v>
      </c>
      <c r="E16" s="88">
        <f>SUM(E11:E15)</f>
        <v>3006</v>
      </c>
      <c r="F16" s="92"/>
      <c r="G16" s="92"/>
      <c r="H16" s="93"/>
      <c r="I16" s="94"/>
      <c r="J16" s="92"/>
      <c r="K16" s="1"/>
      <c r="L16" s="65"/>
      <c r="M16" s="66"/>
      <c r="N16" s="67"/>
      <c r="O16" s="68"/>
      <c r="P16" s="69"/>
    </row>
    <row r="17" spans="1:16" customFormat="1" ht="15" x14ac:dyDescent="0.25">
      <c r="A17" s="95" t="s">
        <v>118</v>
      </c>
      <c r="B17" s="96" t="str">
        <f>"To record house fund expenses on " &amp; TEXT(A5, "mmmm dd, yyyy") &amp; " with PCV#" &amp; C5</f>
        <v>To record house fund expenses on August 23, 2025 with PCV#20968</v>
      </c>
      <c r="C17" s="97"/>
      <c r="D17" s="98"/>
      <c r="E17" s="98"/>
      <c r="F17" s="98"/>
      <c r="G17" s="92"/>
      <c r="H17" s="93"/>
      <c r="I17" s="94"/>
      <c r="J17" s="92"/>
      <c r="K17" s="1"/>
      <c r="L17" s="65"/>
      <c r="M17" s="66"/>
      <c r="N17" s="67"/>
      <c r="O17" s="68"/>
      <c r="P17" s="69"/>
    </row>
  </sheetData>
  <mergeCells count="48"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</mergeCells>
  <pageMargins left="0.7" right="0.7" top="0.75" bottom="0.75" header="0.3" footer="0.3"/>
  <legacy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BFA6A-B25C-4CC4-8DFF-B166D5338660}">
  <sheetPr>
    <tabColor rgb="FF00FF00"/>
  </sheetPr>
  <dimension ref="A1:CY15"/>
  <sheetViews>
    <sheetView workbookViewId="0">
      <selection activeCell="G19" sqref="G19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45899</v>
      </c>
      <c r="B5" s="3" t="s">
        <v>746</v>
      </c>
      <c r="C5" s="4" t="s">
        <v>736</v>
      </c>
      <c r="D5" s="5" t="s">
        <v>210</v>
      </c>
      <c r="E5" s="6"/>
      <c r="F5" s="7"/>
      <c r="G5" s="8"/>
      <c r="H5" s="9"/>
      <c r="I5" s="10"/>
      <c r="J5" s="11" t="s">
        <v>685</v>
      </c>
      <c r="K5" s="12">
        <v>1</v>
      </c>
      <c r="L5" s="13">
        <v>3006</v>
      </c>
      <c r="M5" s="14">
        <f t="shared" ref="M5" si="0">L5*K5</f>
        <v>3006</v>
      </c>
      <c r="N5" s="15"/>
      <c r="O5" s="16" t="s">
        <v>137</v>
      </c>
      <c r="P5" s="17"/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7">
        <f>M5+P5-Q5</f>
        <v>3006</v>
      </c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3006</v>
      </c>
      <c r="N6" s="38">
        <f>M6</f>
        <v>3006</v>
      </c>
      <c r="O6" s="39" t="s">
        <v>137</v>
      </c>
      <c r="P6" s="38"/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>SUM(BI5:BI5)</f>
        <v>3006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>
        <f>E5</f>
        <v>0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684</v>
      </c>
      <c r="B10" s="71"/>
      <c r="C10" s="72"/>
      <c r="D10" s="73">
        <f>BI6</f>
        <v>3006</v>
      </c>
      <c r="E10" s="74"/>
      <c r="F10" s="75" t="s">
        <v>686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30,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30,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3006</v>
      </c>
      <c r="F13" s="89" t="str">
        <f>"Recording house fund expenses for replenishment on " &amp; TEXT(A5, "mmmm dd, yyyy")</f>
        <v>Recording house fund expenses for replenishment on August 30,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3006</v>
      </c>
      <c r="E14" s="88">
        <f>SUM(E10:E13)</f>
        <v>3006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30, 2025 with PCV#20969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</mergeCells>
  <pageMargins left="0.7" right="0.7" top="0.75" bottom="0.75" header="0.3" footer="0.3"/>
  <legacy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BFB74-F9CC-4E8D-BCD6-B56D5B036CE8}">
  <sheetPr>
    <tabColor rgb="FF50456B"/>
  </sheetPr>
  <dimension ref="A1:CY15"/>
  <sheetViews>
    <sheetView workbookViewId="0">
      <selection activeCell="A5" sqref="A5:XFD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45879</v>
      </c>
      <c r="B5" s="3" t="s">
        <v>569</v>
      </c>
      <c r="C5" s="4" t="s">
        <v>854</v>
      </c>
      <c r="D5" s="5" t="s">
        <v>570</v>
      </c>
      <c r="E5" s="6" t="s">
        <v>571</v>
      </c>
      <c r="F5" s="7" t="s">
        <v>575</v>
      </c>
      <c r="G5" s="8" t="s">
        <v>572</v>
      </c>
      <c r="H5" s="9">
        <v>2959</v>
      </c>
      <c r="I5" s="10"/>
      <c r="J5" s="11" t="s">
        <v>573</v>
      </c>
      <c r="K5" s="12">
        <v>1</v>
      </c>
      <c r="L5" s="13">
        <v>600</v>
      </c>
      <c r="M5" s="14">
        <f t="shared" ref="M5" si="0">L5*K5</f>
        <v>600</v>
      </c>
      <c r="N5" s="15"/>
      <c r="O5" s="16" t="s">
        <v>137</v>
      </c>
      <c r="P5" s="17">
        <f>M5*0.02</f>
        <v>12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17">
        <f>M5+P5-Q5</f>
        <v>612</v>
      </c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600</v>
      </c>
      <c r="N6" s="38">
        <f>M6</f>
        <v>600</v>
      </c>
      <c r="O6" s="39" t="s">
        <v>137</v>
      </c>
      <c r="P6" s="38">
        <f>SUM(P5:P5)</f>
        <v>12</v>
      </c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>SUM(AW5:AW5)</f>
        <v>612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AMREL BEAUTY AND MASSAGE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574</v>
      </c>
      <c r="B10" s="71"/>
      <c r="C10" s="72"/>
      <c r="D10" s="73">
        <f>AW6</f>
        <v>612</v>
      </c>
      <c r="E10" s="74"/>
      <c r="F10" s="75" t="str">
        <f>"In payment for massage using housefund received on " &amp; TEXT(A5, "mmmm dd, yyyy") &amp; " with SI#2959" &amp; " CPO#" &amp;B5</f>
        <v>In payment for massage using housefund received on August 10, 2025 with SI#2959 CPO#18990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10,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12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10,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600</v>
      </c>
      <c r="F13" s="89" t="str">
        <f>"Recording house fund expenses for replenishment on " &amp; TEXT(A5, "mmmm dd, yyyy")</f>
        <v>Recording house fund expenses for replenishment on August 10,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612</v>
      </c>
      <c r="E14" s="88">
        <f>SUM(E10:E13)</f>
        <v>612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10, 2025 with PCV#20970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0DBC1-894C-47A8-9AF6-848F07E6DAF4}">
  <sheetPr>
    <tabColor rgb="FF50456B"/>
  </sheetPr>
  <dimension ref="A1:CY15"/>
  <sheetViews>
    <sheetView zoomScale="115" zoomScaleNormal="115" workbookViewId="0">
      <selection activeCell="D13" sqref="D13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45878</v>
      </c>
      <c r="B5" s="3" t="s">
        <v>569</v>
      </c>
      <c r="C5" s="4" t="s">
        <v>855</v>
      </c>
      <c r="D5" s="5" t="s">
        <v>570</v>
      </c>
      <c r="E5" s="6" t="s">
        <v>571</v>
      </c>
      <c r="F5" s="7" t="s">
        <v>575</v>
      </c>
      <c r="G5" s="8" t="s">
        <v>572</v>
      </c>
      <c r="H5" s="9">
        <v>2958</v>
      </c>
      <c r="I5" s="10"/>
      <c r="J5" s="11" t="s">
        <v>573</v>
      </c>
      <c r="K5" s="12">
        <v>1</v>
      </c>
      <c r="L5" s="13">
        <v>600</v>
      </c>
      <c r="M5" s="14">
        <f t="shared" ref="M5" si="0">L5*K5</f>
        <v>600</v>
      </c>
      <c r="N5" s="15"/>
      <c r="O5" s="16" t="s">
        <v>137</v>
      </c>
      <c r="P5" s="17">
        <f>M5*0.02</f>
        <v>12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17">
        <f>M5+P5-Q5</f>
        <v>612</v>
      </c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600</v>
      </c>
      <c r="N6" s="38">
        <f>M6</f>
        <v>600</v>
      </c>
      <c r="O6" s="39" t="s">
        <v>137</v>
      </c>
      <c r="P6" s="38">
        <f>SUM(P5:P5)</f>
        <v>12</v>
      </c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>SUM(AW5:AW5)</f>
        <v>612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AMREL BEAUTY AND MASSAGE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574</v>
      </c>
      <c r="B10" s="71"/>
      <c r="C10" s="72"/>
      <c r="D10" s="73">
        <f>AW6</f>
        <v>612</v>
      </c>
      <c r="E10" s="74"/>
      <c r="F10" s="75" t="str">
        <f>"In payment for massage using housefund received on " &amp; TEXT(A5, "mmmm dd, yyyy") &amp; " with SI#2958" &amp; " CPO#" &amp;B5</f>
        <v>In payment for massage using housefund received on August 09, 2025 with SI#2958 CPO#18990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09,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12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09,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600</v>
      </c>
      <c r="F13" s="89" t="str">
        <f>"Recording house fund expenses for replenishment on " &amp; TEXT(A5, "mmmm dd, yyyy")</f>
        <v>Recording house fund expenses for replenishment on August 09,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612</v>
      </c>
      <c r="E14" s="88">
        <f>SUM(E10:E13)</f>
        <v>612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09, 2025 with PCV#20971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07D74-E221-4A9B-B14D-FE935DF5FFF6}">
  <sheetPr>
    <tabColor rgb="FF50456B"/>
  </sheetPr>
  <dimension ref="A1:CY15"/>
  <sheetViews>
    <sheetView workbookViewId="0">
      <selection activeCell="G20" sqref="G20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45881</v>
      </c>
      <c r="B5" s="3" t="s">
        <v>569</v>
      </c>
      <c r="C5" s="4" t="s">
        <v>856</v>
      </c>
      <c r="D5" s="5" t="s">
        <v>570</v>
      </c>
      <c r="E5" s="6" t="s">
        <v>571</v>
      </c>
      <c r="F5" s="7" t="s">
        <v>575</v>
      </c>
      <c r="G5" s="8" t="s">
        <v>572</v>
      </c>
      <c r="H5" s="9">
        <v>2961</v>
      </c>
      <c r="I5" s="10"/>
      <c r="J5" s="11" t="s">
        <v>573</v>
      </c>
      <c r="K5" s="12">
        <v>1</v>
      </c>
      <c r="L5" s="13">
        <v>1200</v>
      </c>
      <c r="M5" s="14">
        <f t="shared" ref="M5" si="0">L5*K5</f>
        <v>1200</v>
      </c>
      <c r="N5" s="15"/>
      <c r="O5" s="16" t="s">
        <v>137</v>
      </c>
      <c r="P5" s="17">
        <f>M5*0.02</f>
        <v>24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17">
        <f>M5+P5-Q5</f>
        <v>1224</v>
      </c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1200</v>
      </c>
      <c r="N6" s="38">
        <f>M6</f>
        <v>1200</v>
      </c>
      <c r="O6" s="39" t="s">
        <v>137</v>
      </c>
      <c r="P6" s="38">
        <f>SUM(P5:P5)</f>
        <v>24</v>
      </c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>SUM(AW5:AW5)</f>
        <v>1224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AMREL BEAUTY AND MASSAGE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574</v>
      </c>
      <c r="B10" s="71"/>
      <c r="C10" s="72"/>
      <c r="D10" s="73">
        <f>AW6</f>
        <v>1224</v>
      </c>
      <c r="E10" s="74"/>
      <c r="F10" s="75" t="str">
        <f>"In payment for massage using housefund received on " &amp; TEXT(A5, "mmmm dd, yyyy") &amp; " with SI#2961" &amp; " CPO#" &amp;B5</f>
        <v>In payment for massage using housefund received on August 12, 2025 with SI#2961 CPO#18990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12,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24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12,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1200</v>
      </c>
      <c r="F13" s="89" t="str">
        <f>"Recording house fund expenses for replenishment on " &amp; TEXT(A5, "mmmm dd, yyyy")</f>
        <v>Recording house fund expenses for replenishment on August 12,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1224</v>
      </c>
      <c r="E14" s="88">
        <f>SUM(E10:E13)</f>
        <v>1224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12, 2025 with PCV#20972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774E1-4786-45A6-87F1-26D0334FF8AF}">
  <sheetPr>
    <tabColor rgb="FF50456B"/>
  </sheetPr>
  <dimension ref="A1:CY15"/>
  <sheetViews>
    <sheetView topLeftCell="A4" workbookViewId="0">
      <selection activeCell="K15" sqref="K15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45881</v>
      </c>
      <c r="B5" s="3" t="s">
        <v>569</v>
      </c>
      <c r="C5" s="4" t="s">
        <v>857</v>
      </c>
      <c r="D5" s="5" t="s">
        <v>570</v>
      </c>
      <c r="E5" s="6" t="s">
        <v>571</v>
      </c>
      <c r="F5" s="7" t="s">
        <v>575</v>
      </c>
      <c r="G5" s="8" t="s">
        <v>572</v>
      </c>
      <c r="H5" s="9">
        <v>2962</v>
      </c>
      <c r="I5" s="10"/>
      <c r="J5" s="11" t="s">
        <v>576</v>
      </c>
      <c r="K5" s="12">
        <v>1</v>
      </c>
      <c r="L5" s="13">
        <v>900</v>
      </c>
      <c r="M5" s="14">
        <f t="shared" ref="M5" si="0">L5*K5</f>
        <v>900</v>
      </c>
      <c r="N5" s="15"/>
      <c r="O5" s="16" t="s">
        <v>137</v>
      </c>
      <c r="P5" s="17">
        <f>M5*0.02</f>
        <v>18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17">
        <f>M5+P5-Q5</f>
        <v>918</v>
      </c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900</v>
      </c>
      <c r="N6" s="38">
        <f>M6</f>
        <v>900</v>
      </c>
      <c r="O6" s="39" t="s">
        <v>137</v>
      </c>
      <c r="P6" s="38">
        <f>SUM(P5:P5)</f>
        <v>18</v>
      </c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>SUM(AW5:AW5)</f>
        <v>918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AMREL BEAUTY AND MASSAGE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574</v>
      </c>
      <c r="B10" s="71"/>
      <c r="C10" s="72"/>
      <c r="D10" s="73">
        <f>AW6</f>
        <v>918</v>
      </c>
      <c r="E10" s="74"/>
      <c r="F10" s="75" t="str">
        <f>"In payment for massage using housefund received on " &amp; TEXT(A5, "mmmm dd, yyyy") &amp; " with SI#2962" &amp; " CPO#" &amp;B5</f>
        <v>In payment for massage using housefund received on August 12, 2025 with SI#2962 CPO#18990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12,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18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12,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900</v>
      </c>
      <c r="F13" s="89" t="str">
        <f>"Recording house fund expenses for replenishment on " &amp; TEXT(A5, "mmmm dd, yyyy")</f>
        <v>Recording house fund expenses for replenishment on August 12,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918</v>
      </c>
      <c r="E14" s="88">
        <f>SUM(E10:E13)</f>
        <v>918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12, 2025 with PCV#20973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A9ED0-1544-4690-8711-E2AA295D71FF}">
  <sheetPr>
    <tabColor rgb="FF50456B"/>
  </sheetPr>
  <dimension ref="A1:CY15"/>
  <sheetViews>
    <sheetView workbookViewId="0">
      <selection activeCell="C15" sqref="C15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45877</v>
      </c>
      <c r="B5" s="3" t="s">
        <v>569</v>
      </c>
      <c r="C5" s="4" t="s">
        <v>858</v>
      </c>
      <c r="D5" s="5" t="s">
        <v>570</v>
      </c>
      <c r="E5" s="6" t="s">
        <v>571</v>
      </c>
      <c r="F5" s="7" t="s">
        <v>575</v>
      </c>
      <c r="G5" s="8" t="s">
        <v>572</v>
      </c>
      <c r="H5" s="9">
        <v>2957</v>
      </c>
      <c r="I5" s="10"/>
      <c r="J5" s="11" t="s">
        <v>576</v>
      </c>
      <c r="K5" s="12">
        <v>1</v>
      </c>
      <c r="L5" s="13">
        <v>600</v>
      </c>
      <c r="M5" s="14">
        <f t="shared" ref="M5" si="0">L5*K5</f>
        <v>600</v>
      </c>
      <c r="N5" s="15"/>
      <c r="O5" s="16" t="s">
        <v>137</v>
      </c>
      <c r="P5" s="17">
        <f>M5*0.02</f>
        <v>12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17">
        <f>M5+P5-Q5</f>
        <v>612</v>
      </c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600</v>
      </c>
      <c r="N6" s="38">
        <f>M6</f>
        <v>600</v>
      </c>
      <c r="O6" s="39" t="s">
        <v>137</v>
      </c>
      <c r="P6" s="38">
        <f>SUM(P5:P5)</f>
        <v>12</v>
      </c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>SUM(AW5:AW5)</f>
        <v>612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AMREL BEAUTY AND MASSAGE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574</v>
      </c>
      <c r="B10" s="71"/>
      <c r="C10" s="72"/>
      <c r="D10" s="73">
        <f>AW6</f>
        <v>612</v>
      </c>
      <c r="E10" s="74"/>
      <c r="F10" s="75" t="str">
        <f>"In payment for masage using housefund received on " &amp; TEXT(A5, "mmmm dd, yyyy") &amp; " with SI#2957" &amp; " CPO#" &amp;B5</f>
        <v>In payment for masage using housefund received on August 08, 2025 with SI#2957 CPO#18990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08,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12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08,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600</v>
      </c>
      <c r="F13" s="89" t="str">
        <f>"Recording house fund expenses for replenishment on " &amp; TEXT(A5, "mmmm dd, yyyy")</f>
        <v>Recording house fund expenses for replenishment on August 08,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612</v>
      </c>
      <c r="E14" s="88">
        <f>SUM(E10:E13)</f>
        <v>612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08, 2025 with PCV#20974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E368A-D63C-4AEC-A7EB-72C4FF5FA897}">
  <sheetPr>
    <tabColor rgb="FF50456B"/>
  </sheetPr>
  <dimension ref="A1:CY15"/>
  <sheetViews>
    <sheetView workbookViewId="0">
      <selection activeCell="H18" sqref="H18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45883</v>
      </c>
      <c r="B5" s="3" t="s">
        <v>569</v>
      </c>
      <c r="C5" s="4" t="s">
        <v>859</v>
      </c>
      <c r="D5" s="5" t="s">
        <v>570</v>
      </c>
      <c r="E5" s="6" t="s">
        <v>571</v>
      </c>
      <c r="F5" s="7" t="s">
        <v>575</v>
      </c>
      <c r="G5" s="8" t="s">
        <v>572</v>
      </c>
      <c r="H5" s="9">
        <v>2964</v>
      </c>
      <c r="I5" s="10"/>
      <c r="J5" s="11" t="s">
        <v>576</v>
      </c>
      <c r="K5" s="12">
        <v>1</v>
      </c>
      <c r="L5" s="13">
        <v>600</v>
      </c>
      <c r="M5" s="14">
        <f t="shared" ref="M5" si="0">L5*K5</f>
        <v>600</v>
      </c>
      <c r="N5" s="15"/>
      <c r="O5" s="16" t="s">
        <v>137</v>
      </c>
      <c r="P5" s="17">
        <f>M5*0.02</f>
        <v>12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17">
        <f>M5+P5-Q5</f>
        <v>612</v>
      </c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600</v>
      </c>
      <c r="N6" s="38">
        <f>M6</f>
        <v>600</v>
      </c>
      <c r="O6" s="39" t="s">
        <v>137</v>
      </c>
      <c r="P6" s="38">
        <f>SUM(P5:P5)</f>
        <v>12</v>
      </c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>SUM(AW5:AW5)</f>
        <v>612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AMREL BEAUTY AND MASSAGE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338</v>
      </c>
      <c r="B10" s="71"/>
      <c r="C10" s="72"/>
      <c r="D10" s="73">
        <f>AW6</f>
        <v>612</v>
      </c>
      <c r="E10" s="74"/>
      <c r="F10" s="75" t="str">
        <f>"In payment for massage using housefund received on " &amp; TEXT(A5, "mmmm dd, yyyy") &amp; " with SI#2964" &amp; " CPO#" &amp;B5</f>
        <v>In payment for massage using housefund received on August 14, 2025 with SI#2964 CPO#18990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14,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12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14,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600</v>
      </c>
      <c r="F13" s="89" t="str">
        <f>"Recording house fund expenses for replenishment on " &amp; TEXT(A5, "mmmm dd, yyyy")</f>
        <v>Recording house fund expenses for replenishment on August 14,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612</v>
      </c>
      <c r="E14" s="88">
        <f>SUM(E10:E13)</f>
        <v>612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14, 2025 with PCV#20975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BD95F-5C22-4696-B5D3-49187A37BE7D}">
  <sheetPr>
    <tabColor rgb="FF50456B"/>
  </sheetPr>
  <dimension ref="A1:CY15"/>
  <sheetViews>
    <sheetView workbookViewId="0">
      <selection activeCell="C15" sqref="C15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45877</v>
      </c>
      <c r="B5" s="3" t="s">
        <v>569</v>
      </c>
      <c r="C5" s="4" t="s">
        <v>860</v>
      </c>
      <c r="D5" s="5" t="s">
        <v>570</v>
      </c>
      <c r="E5" s="6" t="s">
        <v>571</v>
      </c>
      <c r="F5" s="7" t="s">
        <v>575</v>
      </c>
      <c r="G5" s="8" t="s">
        <v>572</v>
      </c>
      <c r="H5" s="9">
        <v>2956</v>
      </c>
      <c r="I5" s="10"/>
      <c r="J5" s="11" t="s">
        <v>576</v>
      </c>
      <c r="K5" s="12">
        <v>1</v>
      </c>
      <c r="L5" s="13">
        <v>900</v>
      </c>
      <c r="M5" s="14">
        <f t="shared" ref="M5" si="0">L5*K5</f>
        <v>900</v>
      </c>
      <c r="N5" s="15"/>
      <c r="O5" s="16" t="s">
        <v>137</v>
      </c>
      <c r="P5" s="17">
        <f>M5*0.02</f>
        <v>18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17">
        <f>M5+P5-Q5</f>
        <v>918</v>
      </c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900</v>
      </c>
      <c r="N6" s="38">
        <f>M6</f>
        <v>900</v>
      </c>
      <c r="O6" s="39" t="s">
        <v>137</v>
      </c>
      <c r="P6" s="38">
        <f>SUM(P5:P5)</f>
        <v>18</v>
      </c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>SUM(AW5:AW5)</f>
        <v>918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AMREL BEAUTY AND MASSAGE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338</v>
      </c>
      <c r="B10" s="71"/>
      <c r="C10" s="72"/>
      <c r="D10" s="73">
        <f>AW6</f>
        <v>918</v>
      </c>
      <c r="E10" s="74"/>
      <c r="F10" s="75" t="str">
        <f>"In payment for swedish massage using housefund received on " &amp; TEXT(A5, "mmmm dd, yyyy") &amp; " with SI#2956" &amp; " CPO#" &amp;B5</f>
        <v>In payment for swedish massage using housefund received on August 08, 2025 with SI#2956 CPO#18990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08,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18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08,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900</v>
      </c>
      <c r="F13" s="89" t="str">
        <f>"Recording house fund expenses for replenishment on " &amp; TEXT(A5, "mmmm dd, yyyy")</f>
        <v>Recording house fund expenses for replenishment on August 08,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918</v>
      </c>
      <c r="E14" s="88">
        <f>SUM(E10:E13)</f>
        <v>918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08, 2025 with PCV#20976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CAF68-C9D6-45F8-968C-886CB873AA4D}">
  <sheetPr>
    <tabColor rgb="FF50456B"/>
  </sheetPr>
  <dimension ref="A1:CY15"/>
  <sheetViews>
    <sheetView workbookViewId="0">
      <selection activeCell="F16" sqref="F1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45883</v>
      </c>
      <c r="B5" s="3" t="s">
        <v>569</v>
      </c>
      <c r="C5" s="4" t="s">
        <v>861</v>
      </c>
      <c r="D5" s="5" t="s">
        <v>570</v>
      </c>
      <c r="E5" s="6" t="s">
        <v>571</v>
      </c>
      <c r="F5" s="7" t="s">
        <v>575</v>
      </c>
      <c r="G5" s="8" t="s">
        <v>572</v>
      </c>
      <c r="H5" s="9">
        <v>365</v>
      </c>
      <c r="I5" s="10"/>
      <c r="J5" s="11" t="s">
        <v>310</v>
      </c>
      <c r="K5" s="12">
        <v>1</v>
      </c>
      <c r="L5" s="13">
        <v>500</v>
      </c>
      <c r="M5" s="14">
        <f t="shared" ref="M5" si="0">L5*K5</f>
        <v>500</v>
      </c>
      <c r="N5" s="15"/>
      <c r="O5" s="16" t="s">
        <v>137</v>
      </c>
      <c r="P5" s="17">
        <f>M5*0.02</f>
        <v>10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17">
        <f>M5+P5-Q5</f>
        <v>510</v>
      </c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500</v>
      </c>
      <c r="N6" s="38">
        <f>M6</f>
        <v>500</v>
      </c>
      <c r="O6" s="39" t="s">
        <v>137</v>
      </c>
      <c r="P6" s="38">
        <f>SUM(P5:P5)</f>
        <v>10</v>
      </c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>SUM(AW5:AW5)</f>
        <v>510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AMREL BEAUTY AND MASSAGE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338</v>
      </c>
      <c r="B10" s="71"/>
      <c r="C10" s="72"/>
      <c r="D10" s="73">
        <f>AW6</f>
        <v>510</v>
      </c>
      <c r="E10" s="74"/>
      <c r="F10" s="75" t="str">
        <f>"In payment for laundry services using housefund received on " &amp; TEXT(A5, "mmmm dd, yyyy") &amp; " with SI#365" &amp; " CPO#" &amp;B5</f>
        <v>In payment for laundry services using housefund received on August 14, 2025 with SI#365 CPO#18990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14,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10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14,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500</v>
      </c>
      <c r="F13" s="89" t="str">
        <f>"Recording house fund expenses for replenishment on " &amp; TEXT(A5, "mmmm dd, yyyy")</f>
        <v>Recording house fund expenses for replenishment on August 14,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510</v>
      </c>
      <c r="E14" s="88">
        <f>SUM(E10:E13)</f>
        <v>510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14, 2025 with PCV#20977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0D241-EA41-4FC5-A236-0DFB468A3DA5}">
  <sheetPr>
    <tabColor rgb="FF50456B"/>
  </sheetPr>
  <dimension ref="A1:CY15"/>
  <sheetViews>
    <sheetView workbookViewId="0">
      <selection activeCell="P5" sqref="P5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45883</v>
      </c>
      <c r="B5" s="3" t="s">
        <v>569</v>
      </c>
      <c r="C5" s="4" t="s">
        <v>862</v>
      </c>
      <c r="D5" s="5" t="s">
        <v>570</v>
      </c>
      <c r="E5" s="6" t="s">
        <v>571</v>
      </c>
      <c r="F5" s="7" t="s">
        <v>575</v>
      </c>
      <c r="G5" s="8" t="s">
        <v>572</v>
      </c>
      <c r="H5" s="9">
        <v>364</v>
      </c>
      <c r="I5" s="10"/>
      <c r="J5" s="11" t="s">
        <v>310</v>
      </c>
      <c r="K5" s="12">
        <v>1</v>
      </c>
      <c r="L5" s="13">
        <v>350</v>
      </c>
      <c r="M5" s="14">
        <f t="shared" ref="M5" si="0">L5*K5</f>
        <v>350</v>
      </c>
      <c r="N5" s="15"/>
      <c r="O5" s="16" t="s">
        <v>137</v>
      </c>
      <c r="P5" s="17">
        <f>M5*0.02</f>
        <v>7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17">
        <f>M5+P5-Q5</f>
        <v>357</v>
      </c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350</v>
      </c>
      <c r="N6" s="38">
        <f>M6</f>
        <v>350</v>
      </c>
      <c r="O6" s="39" t="s">
        <v>137</v>
      </c>
      <c r="P6" s="38">
        <f>SUM(P5:P5)</f>
        <v>7</v>
      </c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>SUM(AW5:AW5)</f>
        <v>357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AMREL BEAUTY AND MASSAGE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574</v>
      </c>
      <c r="B10" s="71"/>
      <c r="C10" s="72"/>
      <c r="D10" s="73">
        <f>AW6</f>
        <v>357</v>
      </c>
      <c r="E10" s="74"/>
      <c r="F10" s="75" t="str">
        <f>"In payment for laundy services using housefund received on " &amp; TEXT(A5, "mmmm dd, yyyy") &amp; " with SI#364" &amp; " CPO#" &amp;B5</f>
        <v>In payment for laundy services using housefund received on August 14, 2025 with SI#364 CPO#18990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14,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7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14,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350</v>
      </c>
      <c r="F13" s="89" t="str">
        <f>"Recording house fund expenses for replenishment on " &amp; TEXT(A5, "mmmm dd, yyyy")</f>
        <v>Recording house fund expenses for replenishment on August 14,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357</v>
      </c>
      <c r="E14" s="88">
        <f>SUM(E10:E13)</f>
        <v>357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14, 2025 with PCV#20978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9E459-AC59-492C-A2C1-495AE177206D}">
  <sheetPr>
    <tabColor rgb="FF50456B"/>
  </sheetPr>
  <dimension ref="A1:CY15"/>
  <sheetViews>
    <sheetView workbookViewId="0">
      <selection activeCell="H17" sqref="H17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45883</v>
      </c>
      <c r="B5" s="3" t="s">
        <v>569</v>
      </c>
      <c r="C5" s="4" t="s">
        <v>863</v>
      </c>
      <c r="D5" s="5" t="s">
        <v>570</v>
      </c>
      <c r="E5" s="6" t="s">
        <v>571</v>
      </c>
      <c r="F5" s="7" t="s">
        <v>575</v>
      </c>
      <c r="G5" s="8" t="s">
        <v>572</v>
      </c>
      <c r="H5" s="9">
        <v>366</v>
      </c>
      <c r="I5" s="10"/>
      <c r="J5" s="11" t="s">
        <v>310</v>
      </c>
      <c r="K5" s="12">
        <v>1</v>
      </c>
      <c r="L5" s="13">
        <v>350</v>
      </c>
      <c r="M5" s="14">
        <f t="shared" ref="M5" si="0">L5*K5</f>
        <v>350</v>
      </c>
      <c r="N5" s="15"/>
      <c r="O5" s="16" t="s">
        <v>137</v>
      </c>
      <c r="P5" s="17">
        <f>M5*0.02</f>
        <v>7</v>
      </c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17">
        <f>M5+P5-Q5</f>
        <v>357</v>
      </c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350</v>
      </c>
      <c r="N6" s="38">
        <f>M6</f>
        <v>350</v>
      </c>
      <c r="O6" s="39" t="s">
        <v>137</v>
      </c>
      <c r="P6" s="38">
        <f>SUM(P5:P5)</f>
        <v>7</v>
      </c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>SUM(AW5:AW5)</f>
        <v>357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AMREL BEAUTY AND MASSAGE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574</v>
      </c>
      <c r="B10" s="71"/>
      <c r="C10" s="72"/>
      <c r="D10" s="73">
        <f>AW6</f>
        <v>357</v>
      </c>
      <c r="E10" s="74"/>
      <c r="F10" s="75" t="str">
        <f>"In payment for laundry services using housefund received on " &amp; TEXT(A5, "mmmm dd, yyyy") &amp; " with SI#366" &amp; " CPO#" &amp;B5</f>
        <v>In payment for laundry services using housefund received on August 14, 2025 with SI#366 CPO#18990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14,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7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14,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350</v>
      </c>
      <c r="F13" s="89" t="str">
        <f>"Recording house fund expenses for replenishment on " &amp; TEXT(A5, "mmmm dd, yyyy")</f>
        <v>Recording house fund expenses for replenishment on August 14,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357</v>
      </c>
      <c r="E14" s="88">
        <f>SUM(E10:E13)</f>
        <v>357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14, 2025 with PCV#20979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B432D-FA73-48DE-A389-50914FAA41FA}">
  <sheetPr>
    <tabColor rgb="FF50456B"/>
  </sheetPr>
  <dimension ref="A1:CY15"/>
  <sheetViews>
    <sheetView workbookViewId="0">
      <selection activeCell="Q5" sqref="Q5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45878</v>
      </c>
      <c r="B5" s="3" t="s">
        <v>569</v>
      </c>
      <c r="C5" s="4" t="s">
        <v>864</v>
      </c>
      <c r="D5" s="5" t="s">
        <v>570</v>
      </c>
      <c r="E5" s="6" t="s">
        <v>272</v>
      </c>
      <c r="F5" s="7" t="s">
        <v>229</v>
      </c>
      <c r="G5" s="8" t="s">
        <v>273</v>
      </c>
      <c r="H5" s="9">
        <v>27589</v>
      </c>
      <c r="I5" s="10" t="s">
        <v>577</v>
      </c>
      <c r="J5" s="11" t="s">
        <v>339</v>
      </c>
      <c r="K5" s="12">
        <v>6</v>
      </c>
      <c r="L5" s="13">
        <v>90</v>
      </c>
      <c r="M5" s="14">
        <f t="shared" ref="M5" si="0">L5*K5</f>
        <v>540</v>
      </c>
      <c r="N5" s="15"/>
      <c r="O5" s="16" t="s">
        <v>111</v>
      </c>
      <c r="P5" s="17">
        <f>M5/1.12*0.01</f>
        <v>4.8214285714285712</v>
      </c>
      <c r="Q5" s="18">
        <f>M5/1.12*0.12</f>
        <v>57.857142857142854</v>
      </c>
      <c r="R5" s="17">
        <f>M5+P5-Q5</f>
        <v>486.96428571428572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540</v>
      </c>
      <c r="N6" s="38">
        <f>M6</f>
        <v>540</v>
      </c>
      <c r="O6" s="39" t="s">
        <v>111</v>
      </c>
      <c r="P6" s="38">
        <f>SUM(P5:P5)</f>
        <v>4.8214285714285712</v>
      </c>
      <c r="Q6" s="38">
        <f>SUM(Q5:Q5)</f>
        <v>57.857142857142854</v>
      </c>
      <c r="R6" s="38">
        <f>SUM(R5:R5)</f>
        <v>486.96428571428572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CEBU CUBE ICE CORPORATION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486.96428571428572</v>
      </c>
      <c r="E10" s="74"/>
      <c r="F10" s="75" t="str">
        <f>"In payment for 6 packs of tube ice using housefund received on " &amp; TEXT(A5, "mmmm dd, yyyy") &amp; " with SI#27589 PR#30546 RR#50225" &amp; " CPO#" &amp;B5</f>
        <v>In payment for 6 packs of tube ice using housefund received on August 09, 2025 with SI#27589 PR#30546 RR#50225 CPO#18990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57.857142857142854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09,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4.8214285714285712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09,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540</v>
      </c>
      <c r="F13" s="89" t="str">
        <f>"Recording house fund expenses for replenishment on " &amp; TEXT(A5, "mmmm dd, yyyy")</f>
        <v>Recording house fund expenses for replenishment on August 09,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544.82142857142856</v>
      </c>
      <c r="E14" s="88">
        <f>SUM(E10:E13)</f>
        <v>544.82142857142856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09, 2025 with PCV#20980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81A0B-AFF7-476C-9C1A-271B13FAC973}">
  <sheetPr>
    <tabColor rgb="FF50456B"/>
  </sheetPr>
  <dimension ref="A1:CY15"/>
  <sheetViews>
    <sheetView workbookViewId="0">
      <selection activeCell="A8" sqref="A8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45875</v>
      </c>
      <c r="B5" s="3" t="s">
        <v>569</v>
      </c>
      <c r="C5" s="4" t="s">
        <v>865</v>
      </c>
      <c r="D5" s="5" t="s">
        <v>570</v>
      </c>
      <c r="E5" s="6" t="s">
        <v>272</v>
      </c>
      <c r="F5" s="7" t="s">
        <v>229</v>
      </c>
      <c r="G5" s="8" t="s">
        <v>273</v>
      </c>
      <c r="H5" s="9">
        <v>26789</v>
      </c>
      <c r="I5" s="10"/>
      <c r="J5" s="11" t="s">
        <v>339</v>
      </c>
      <c r="K5" s="12">
        <v>6</v>
      </c>
      <c r="L5" s="13">
        <v>90</v>
      </c>
      <c r="M5" s="14">
        <f t="shared" ref="M5" si="0">L5*K5</f>
        <v>540</v>
      </c>
      <c r="N5" s="15"/>
      <c r="O5" s="16" t="s">
        <v>111</v>
      </c>
      <c r="P5" s="17">
        <f>M5/1.12*0.01</f>
        <v>4.8214285714285712</v>
      </c>
      <c r="Q5" s="18">
        <f>M5/1.12*0.12</f>
        <v>57.857142857142854</v>
      </c>
      <c r="R5" s="17">
        <f>M5+P5-Q5</f>
        <v>486.96428571428572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540</v>
      </c>
      <c r="N6" s="38">
        <f>M6</f>
        <v>540</v>
      </c>
      <c r="O6" s="39" t="s">
        <v>111</v>
      </c>
      <c r="P6" s="38">
        <f>SUM(P5:P5)</f>
        <v>4.8214285714285712</v>
      </c>
      <c r="Q6" s="38">
        <f>SUM(Q5:Q5)</f>
        <v>57.857142857142854</v>
      </c>
      <c r="R6" s="38">
        <f>SUM(R5:R5)</f>
        <v>486.96428571428572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CEBU CUBE ICE CORPORATION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486.96428571428572</v>
      </c>
      <c r="E10" s="74"/>
      <c r="F10" s="75" t="str">
        <f>"In payment for 6 bags of tube ice for bar using housefund received on " &amp; TEXT(A5, "mmmm dd, yyyy") &amp; " with SI#26789 PR#30097 RR#" &amp; " CPO#" &amp;B5</f>
        <v>In payment for 6 bags of tube ice for bar using housefund received on August 06, 2025 with SI#26789 PR#30097 RR# CPO#18990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57.857142857142854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06,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4.8214285714285712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06,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540</v>
      </c>
      <c r="F13" s="89" t="str">
        <f>"Recording house fund expenses for replenishment on " &amp; TEXT(A5, "mmmm dd, yyyy")</f>
        <v>Recording house fund expenses for replenishment on August 06,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544.82142857142856</v>
      </c>
      <c r="E14" s="88">
        <f>SUM(E10:E13)</f>
        <v>544.82142857142856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06, 2025 with PCV#20981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CG3:CP3"/>
    <mergeCell ref="CR3:CS3"/>
    <mergeCell ref="CT3:CT4"/>
    <mergeCell ref="CU3:CU4"/>
    <mergeCell ref="AX3:AY3"/>
    <mergeCell ref="AZ3:BA3"/>
    <mergeCell ref="BB3:BC3"/>
    <mergeCell ref="BE3:BE4"/>
    <mergeCell ref="BF3:BG3"/>
    <mergeCell ref="BT3:BT4"/>
    <mergeCell ref="BP3:BP4"/>
    <mergeCell ref="BQ3:BQ4"/>
    <mergeCell ref="BR3:BR4"/>
    <mergeCell ref="BS3:BS4"/>
    <mergeCell ref="BK3:BM3"/>
    <mergeCell ref="BN3:BO3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BU3:BU4"/>
    <mergeCell ref="BV3:BV4"/>
    <mergeCell ref="BW3:BW4"/>
    <mergeCell ref="BX3:BX4"/>
    <mergeCell ref="BY3:BY4"/>
    <mergeCell ref="BZ3:BZ4"/>
    <mergeCell ref="CA3:CA4"/>
    <mergeCell ref="CB3:CB4"/>
    <mergeCell ref="CE3:CE4"/>
    <mergeCell ref="CF3:CF4"/>
  </mergeCells>
  <pageMargins left="0.7" right="0.7" top="0.75" bottom="0.75" header="0.3" footer="0.3"/>
  <legacy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60E2D-7E47-4B47-A2DF-2721CB4D4F09}">
  <sheetPr>
    <tabColor rgb="FF50456B"/>
  </sheetPr>
  <dimension ref="A1:CY15"/>
  <sheetViews>
    <sheetView zoomScale="115" zoomScaleNormal="115" workbookViewId="0">
      <selection activeCell="D5" sqref="D5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45884</v>
      </c>
      <c r="B5" s="3" t="s">
        <v>747</v>
      </c>
      <c r="C5" s="4" t="s">
        <v>866</v>
      </c>
      <c r="D5" s="5" t="s">
        <v>748</v>
      </c>
      <c r="E5" s="6" t="s">
        <v>272</v>
      </c>
      <c r="F5" s="7" t="s">
        <v>749</v>
      </c>
      <c r="G5" s="8" t="s">
        <v>273</v>
      </c>
      <c r="H5" s="9">
        <v>28900</v>
      </c>
      <c r="I5" s="10" t="s">
        <v>750</v>
      </c>
      <c r="J5" s="11" t="s">
        <v>339</v>
      </c>
      <c r="K5" s="12">
        <v>6</v>
      </c>
      <c r="L5" s="13">
        <v>90</v>
      </c>
      <c r="M5" s="14">
        <f t="shared" ref="M5" si="0">L5*K5</f>
        <v>540</v>
      </c>
      <c r="N5" s="15"/>
      <c r="O5" s="16" t="s">
        <v>111</v>
      </c>
      <c r="P5" s="17">
        <f>M5/1.12*0.01</f>
        <v>4.8214285714285712</v>
      </c>
      <c r="Q5" s="18">
        <f>M5/1.12*0.12</f>
        <v>57.857142857142854</v>
      </c>
      <c r="R5" s="17">
        <f>M5+P5-Q5</f>
        <v>486.96428571428572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540</v>
      </c>
      <c r="N6" s="38">
        <f>M6</f>
        <v>540</v>
      </c>
      <c r="O6" s="39" t="s">
        <v>111</v>
      </c>
      <c r="P6" s="38">
        <f>SUM(P5:P5)</f>
        <v>4.8214285714285712</v>
      </c>
      <c r="Q6" s="38">
        <f>SUM(Q5:Q5)</f>
        <v>57.857142857142854</v>
      </c>
      <c r="R6" s="38">
        <f>SUM(R5:R5)</f>
        <v>486.96428571428572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CEBU CUBE ICE CORPORATION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486.96428571428572</v>
      </c>
      <c r="E10" s="74"/>
      <c r="F10" s="75" t="str">
        <f>"In payment for 6 packs of tube ice for bar using housefund received on " &amp; TEXT(A5, "mmmm dd, yyyy") &amp; " with SI#28900 PR#30546 RR#50233" &amp; " CPO#" &amp;B5</f>
        <v>In payment for 6 packs of tube ice for bar using housefund received on August 15, 2025 with SI#28900 PR#30546 RR#50233 CPO#18993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57.857142857142854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15,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4.8214285714285712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15,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540</v>
      </c>
      <c r="F13" s="89" t="str">
        <f>"Recording house fund expenses for replenishment on " &amp; TEXT(A5, "mmmm dd, yyyy")</f>
        <v>Recording house fund expenses for replenishment on August 15,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544.82142857142856</v>
      </c>
      <c r="E14" s="88">
        <f>SUM(E10:E13)</f>
        <v>544.82142857142856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15, 2025 with PCV#20982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1D72C-A397-4280-826F-6E207E6D3E62}">
  <sheetPr>
    <tabColor rgb="FF50456B"/>
  </sheetPr>
  <dimension ref="A1:CY15"/>
  <sheetViews>
    <sheetView workbookViewId="0">
      <selection activeCell="D13" sqref="D13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45879</v>
      </c>
      <c r="B5" s="3" t="s">
        <v>747</v>
      </c>
      <c r="C5" s="4" t="s">
        <v>867</v>
      </c>
      <c r="D5" s="5" t="s">
        <v>748</v>
      </c>
      <c r="E5" s="6" t="s">
        <v>751</v>
      </c>
      <c r="F5" s="7"/>
      <c r="G5" s="8" t="s">
        <v>752</v>
      </c>
      <c r="H5" s="9">
        <v>1342</v>
      </c>
      <c r="I5" s="10"/>
      <c r="J5" s="11" t="s">
        <v>753</v>
      </c>
      <c r="K5" s="12">
        <v>1</v>
      </c>
      <c r="L5" s="13">
        <v>144</v>
      </c>
      <c r="M5" s="14">
        <f t="shared" ref="M5" si="0">L5*K5</f>
        <v>144</v>
      </c>
      <c r="N5" s="15"/>
      <c r="O5" s="16" t="s">
        <v>111</v>
      </c>
      <c r="P5" s="17">
        <f>M5/1.12*0.02</f>
        <v>2.5714285714285712</v>
      </c>
      <c r="Q5" s="18">
        <f>M5/1.12*0.12</f>
        <v>15.428571428571425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>
        <f>M5+P5-Q5</f>
        <v>131.14285714285717</v>
      </c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144</v>
      </c>
      <c r="N6" s="38">
        <f>M6</f>
        <v>144</v>
      </c>
      <c r="O6" s="39" t="s">
        <v>111</v>
      </c>
      <c r="P6" s="38">
        <f>SUM(P5:P5)</f>
        <v>2.5714285714285712</v>
      </c>
      <c r="Q6" s="38">
        <f>SUM(Q5:Q5)</f>
        <v>15.428571428571425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>SUM(BO5:BO5)</f>
        <v>131.14285714285717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TAXI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233</v>
      </c>
      <c r="B10" s="71"/>
      <c r="C10" s="72"/>
      <c r="D10" s="73">
        <f>BO6</f>
        <v>131.14285714285717</v>
      </c>
      <c r="E10" s="74"/>
      <c r="F10" s="75" t="str">
        <f>"In payment for transportation expense for taxi during purchasing trip using housefund received on " &amp; TEXT(A5, "mmmm dd, yyyy") &amp; " with SI#1342" &amp; " CPO#" &amp;B5</f>
        <v>In payment for transportation expense for taxi during purchasing trip using housefund received on August 10, 2025 with SI#1342 CPO#18993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15.428571428571425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10,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2.5714285714285712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10,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144</v>
      </c>
      <c r="F13" s="89" t="str">
        <f>"Recording house fund expenses for replenishment on " &amp; TEXT(A5, "mmmm dd, yyyy")</f>
        <v>Recording house fund expenses for replenishment on August 10,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146.57142857142858</v>
      </c>
      <c r="E14" s="88">
        <f>SUM(E10:E13)</f>
        <v>146.57142857142858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10, 2025 with PCV#20983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5655A-C2A6-4285-BBEA-D5903C065975}">
  <sheetPr>
    <tabColor rgb="FF50456B"/>
  </sheetPr>
  <dimension ref="A1:CY20"/>
  <sheetViews>
    <sheetView workbookViewId="0">
      <selection activeCell="E6" sqref="E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45879</v>
      </c>
      <c r="B5" s="3" t="s">
        <v>747</v>
      </c>
      <c r="C5" s="4" t="s">
        <v>868</v>
      </c>
      <c r="D5" s="5" t="s">
        <v>748</v>
      </c>
      <c r="E5" s="6" t="s">
        <v>370</v>
      </c>
      <c r="F5" s="7" t="s">
        <v>336</v>
      </c>
      <c r="G5" s="8" t="s">
        <v>199</v>
      </c>
      <c r="H5" s="9" t="s">
        <v>754</v>
      </c>
      <c r="I5" s="10" t="s">
        <v>755</v>
      </c>
      <c r="J5" s="11" t="s">
        <v>756</v>
      </c>
      <c r="K5" s="12">
        <v>6</v>
      </c>
      <c r="L5" s="13">
        <v>80</v>
      </c>
      <c r="M5" s="14">
        <f t="shared" ref="M5:M10" si="0">L5*K5</f>
        <v>480</v>
      </c>
      <c r="N5" s="15"/>
      <c r="O5" s="16" t="s">
        <v>111</v>
      </c>
      <c r="P5" s="17">
        <f>M5/1.12*0.01</f>
        <v>4.2857142857142856</v>
      </c>
      <c r="Q5" s="18">
        <f>M5/1.12*0.12</f>
        <v>51.428571428571423</v>
      </c>
      <c r="R5" s="17">
        <f>M5+P5-Q5</f>
        <v>432.85714285714283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757</v>
      </c>
      <c r="K6" s="12">
        <v>1</v>
      </c>
      <c r="L6" s="13">
        <v>119.5</v>
      </c>
      <c r="M6" s="14">
        <f t="shared" si="0"/>
        <v>119.5</v>
      </c>
      <c r="N6" s="15"/>
      <c r="O6" s="16" t="s">
        <v>111</v>
      </c>
      <c r="P6" s="17">
        <f t="shared" ref="P6:P10" si="1">M6/1.12*0.01</f>
        <v>1.0669642857142856</v>
      </c>
      <c r="Q6" s="18">
        <f t="shared" ref="Q6:Q10" si="2">M6/1.12*0.12</f>
        <v>12.803571428571425</v>
      </c>
      <c r="R6" s="17">
        <f t="shared" ref="R6:R10" si="3">M6+P6-Q6</f>
        <v>107.76339285714286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5" customFormat="1" x14ac:dyDescent="0.2">
      <c r="A7" s="2"/>
      <c r="B7" s="3"/>
      <c r="C7" s="4"/>
      <c r="E7" s="6"/>
      <c r="F7" s="7"/>
      <c r="G7" s="8"/>
      <c r="H7" s="9"/>
      <c r="I7" s="10"/>
      <c r="J7" s="11" t="s">
        <v>758</v>
      </c>
      <c r="K7" s="12">
        <v>0.94</v>
      </c>
      <c r="L7" s="13">
        <v>194</v>
      </c>
      <c r="M7" s="14">
        <f t="shared" si="0"/>
        <v>182.35999999999999</v>
      </c>
      <c r="N7" s="15"/>
      <c r="O7" s="16" t="s">
        <v>111</v>
      </c>
      <c r="P7" s="17">
        <f t="shared" si="1"/>
        <v>1.6282142857142856</v>
      </c>
      <c r="Q7" s="18">
        <f t="shared" si="2"/>
        <v>19.538571428571426</v>
      </c>
      <c r="R7" s="17">
        <f t="shared" si="3"/>
        <v>164.44964285714283</v>
      </c>
      <c r="S7" s="19"/>
      <c r="T7" s="19"/>
      <c r="U7" s="19"/>
      <c r="V7" s="19"/>
      <c r="W7" s="17"/>
      <c r="X7" s="20"/>
      <c r="Y7" s="19"/>
      <c r="Z7" s="19"/>
      <c r="AA7" s="19"/>
      <c r="AB7" s="19"/>
      <c r="AC7" s="19"/>
      <c r="AD7" s="19"/>
      <c r="AF7" s="19"/>
      <c r="AH7" s="17"/>
      <c r="AI7" s="19"/>
      <c r="AJ7" s="19"/>
      <c r="AK7" s="19"/>
      <c r="AL7" s="19"/>
      <c r="AM7" s="17"/>
      <c r="AN7" s="19"/>
      <c r="AO7" s="19"/>
      <c r="AP7" s="19"/>
      <c r="AQ7" s="19"/>
      <c r="AR7" s="19"/>
      <c r="AS7" s="21"/>
      <c r="AU7" s="19"/>
      <c r="AW7" s="22"/>
      <c r="AX7" s="19"/>
      <c r="AZ7" s="19"/>
      <c r="BC7" s="19"/>
      <c r="BD7" s="19"/>
      <c r="BE7" s="19"/>
      <c r="BF7" s="19"/>
      <c r="BG7" s="19"/>
      <c r="BH7" s="19"/>
      <c r="BI7" s="19"/>
      <c r="BJ7" s="19"/>
      <c r="BK7" s="13"/>
      <c r="BN7" s="19"/>
      <c r="BO7" s="17"/>
      <c r="BP7" s="19"/>
      <c r="BQ7" s="17"/>
      <c r="BR7" s="19"/>
      <c r="BS7" s="13"/>
      <c r="BU7" s="23"/>
      <c r="BV7" s="23"/>
      <c r="BW7" s="24"/>
      <c r="CA7" s="24"/>
      <c r="CB7" s="24"/>
      <c r="CC7" s="24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25"/>
      <c r="CW7" s="26"/>
    </row>
    <row r="8" spans="1:103" s="5" customFormat="1" x14ac:dyDescent="0.2">
      <c r="A8" s="2"/>
      <c r="B8" s="3"/>
      <c r="C8" s="4"/>
      <c r="E8" s="6"/>
      <c r="F8" s="7"/>
      <c r="G8" s="8"/>
      <c r="H8" s="9"/>
      <c r="I8" s="10"/>
      <c r="J8" s="11" t="s">
        <v>759</v>
      </c>
      <c r="K8" s="12">
        <v>2.09</v>
      </c>
      <c r="L8" s="13">
        <v>86</v>
      </c>
      <c r="M8" s="14">
        <f t="shared" si="0"/>
        <v>179.73999999999998</v>
      </c>
      <c r="N8" s="15"/>
      <c r="O8" s="16" t="s">
        <v>111</v>
      </c>
      <c r="P8" s="17">
        <f t="shared" si="1"/>
        <v>1.6048214285714284</v>
      </c>
      <c r="Q8" s="18">
        <f t="shared" si="2"/>
        <v>19.257857142857141</v>
      </c>
      <c r="R8" s="17">
        <f t="shared" si="3"/>
        <v>162.08696428571426</v>
      </c>
      <c r="S8" s="19"/>
      <c r="T8" s="19"/>
      <c r="U8" s="19"/>
      <c r="V8" s="19"/>
      <c r="W8" s="17"/>
      <c r="X8" s="20"/>
      <c r="Y8" s="19"/>
      <c r="Z8" s="19"/>
      <c r="AA8" s="19"/>
      <c r="AB8" s="19"/>
      <c r="AC8" s="19"/>
      <c r="AD8" s="19"/>
      <c r="AF8" s="19"/>
      <c r="AH8" s="17"/>
      <c r="AI8" s="19"/>
      <c r="AJ8" s="19"/>
      <c r="AK8" s="19"/>
      <c r="AL8" s="19"/>
      <c r="AM8" s="17"/>
      <c r="AN8" s="19"/>
      <c r="AO8" s="19"/>
      <c r="AP8" s="19"/>
      <c r="AQ8" s="19"/>
      <c r="AR8" s="19"/>
      <c r="AS8" s="21"/>
      <c r="AU8" s="19"/>
      <c r="AW8" s="22"/>
      <c r="AX8" s="19"/>
      <c r="AZ8" s="19"/>
      <c r="BC8" s="19"/>
      <c r="BD8" s="19"/>
      <c r="BE8" s="19"/>
      <c r="BF8" s="19"/>
      <c r="BG8" s="19"/>
      <c r="BH8" s="19"/>
      <c r="BI8" s="19"/>
      <c r="BJ8" s="19"/>
      <c r="BK8" s="13"/>
      <c r="BN8" s="19"/>
      <c r="BO8" s="17"/>
      <c r="BP8" s="19"/>
      <c r="BQ8" s="17"/>
      <c r="BR8" s="19"/>
      <c r="BS8" s="13"/>
      <c r="BU8" s="23"/>
      <c r="BV8" s="23"/>
      <c r="BW8" s="24"/>
      <c r="CA8" s="24"/>
      <c r="CB8" s="24"/>
      <c r="CC8" s="24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25"/>
      <c r="CW8" s="26"/>
    </row>
    <row r="9" spans="1:103" s="5" customFormat="1" x14ac:dyDescent="0.2">
      <c r="A9" s="2"/>
      <c r="B9" s="3"/>
      <c r="C9" s="4"/>
      <c r="E9" s="6"/>
      <c r="F9" s="7"/>
      <c r="G9" s="8"/>
      <c r="H9" s="9"/>
      <c r="I9" s="10"/>
      <c r="J9" s="11" t="s">
        <v>337</v>
      </c>
      <c r="K9" s="12">
        <v>7.09</v>
      </c>
      <c r="L9" s="13">
        <v>44</v>
      </c>
      <c r="M9" s="14">
        <f t="shared" si="0"/>
        <v>311.95999999999998</v>
      </c>
      <c r="N9" s="15"/>
      <c r="O9" s="16" t="s">
        <v>111</v>
      </c>
      <c r="P9" s="17">
        <f t="shared" si="1"/>
        <v>2.7853571428571424</v>
      </c>
      <c r="Q9" s="18">
        <f t="shared" si="2"/>
        <v>33.424285714285702</v>
      </c>
      <c r="R9" s="17">
        <f t="shared" si="3"/>
        <v>281.32107142857143</v>
      </c>
      <c r="S9" s="19"/>
      <c r="T9" s="19"/>
      <c r="U9" s="19"/>
      <c r="V9" s="19"/>
      <c r="W9" s="17"/>
      <c r="X9" s="20"/>
      <c r="Y9" s="19"/>
      <c r="Z9" s="19"/>
      <c r="AA9" s="19"/>
      <c r="AB9" s="19"/>
      <c r="AC9" s="19"/>
      <c r="AD9" s="19"/>
      <c r="AF9" s="19"/>
      <c r="AH9" s="17"/>
      <c r="AI9" s="19"/>
      <c r="AJ9" s="19"/>
      <c r="AK9" s="19"/>
      <c r="AL9" s="19"/>
      <c r="AM9" s="17"/>
      <c r="AN9" s="19"/>
      <c r="AO9" s="19"/>
      <c r="AP9" s="19"/>
      <c r="AQ9" s="19"/>
      <c r="AR9" s="19"/>
      <c r="AS9" s="21"/>
      <c r="AU9" s="19"/>
      <c r="AW9" s="22"/>
      <c r="AX9" s="19"/>
      <c r="AZ9" s="19"/>
      <c r="BC9" s="19"/>
      <c r="BD9" s="19"/>
      <c r="BE9" s="19"/>
      <c r="BF9" s="19"/>
      <c r="BG9" s="19"/>
      <c r="BH9" s="19"/>
      <c r="BI9" s="19"/>
      <c r="BJ9" s="19"/>
      <c r="BK9" s="13"/>
      <c r="BN9" s="19"/>
      <c r="BO9" s="17"/>
      <c r="BP9" s="19"/>
      <c r="BQ9" s="17"/>
      <c r="BR9" s="19"/>
      <c r="BS9" s="13"/>
      <c r="BU9" s="23"/>
      <c r="BV9" s="23"/>
      <c r="BW9" s="24"/>
      <c r="CA9" s="24"/>
      <c r="CB9" s="24"/>
      <c r="CC9" s="24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25"/>
      <c r="CW9" s="26"/>
    </row>
    <row r="10" spans="1:103" s="5" customFormat="1" x14ac:dyDescent="0.2">
      <c r="A10" s="2"/>
      <c r="B10" s="3"/>
      <c r="C10" s="4"/>
      <c r="E10" s="6"/>
      <c r="F10" s="7"/>
      <c r="G10" s="8"/>
      <c r="H10" s="9"/>
      <c r="I10" s="10"/>
      <c r="J10" s="11" t="s">
        <v>337</v>
      </c>
      <c r="K10" s="12">
        <v>8.69</v>
      </c>
      <c r="L10" s="13">
        <v>44</v>
      </c>
      <c r="M10" s="14">
        <f t="shared" si="0"/>
        <v>382.35999999999996</v>
      </c>
      <c r="N10" s="15"/>
      <c r="O10" s="16" t="s">
        <v>111</v>
      </c>
      <c r="P10" s="17">
        <f t="shared" si="1"/>
        <v>3.4139285714285705</v>
      </c>
      <c r="Q10" s="18">
        <f t="shared" si="2"/>
        <v>40.967142857142846</v>
      </c>
      <c r="R10" s="17">
        <f t="shared" si="3"/>
        <v>344.8067857142857</v>
      </c>
      <c r="S10" s="19"/>
      <c r="T10" s="19"/>
      <c r="U10" s="19"/>
      <c r="V10" s="19"/>
      <c r="W10" s="17"/>
      <c r="X10" s="20"/>
      <c r="Y10" s="19"/>
      <c r="Z10" s="19"/>
      <c r="AA10" s="19"/>
      <c r="AB10" s="19"/>
      <c r="AC10" s="19"/>
      <c r="AD10" s="19"/>
      <c r="AF10" s="19"/>
      <c r="AH10" s="17"/>
      <c r="AI10" s="19"/>
      <c r="AJ10" s="19"/>
      <c r="AK10" s="19"/>
      <c r="AL10" s="19"/>
      <c r="AM10" s="17"/>
      <c r="AN10" s="19"/>
      <c r="AO10" s="19"/>
      <c r="AP10" s="19"/>
      <c r="AQ10" s="19"/>
      <c r="AR10" s="19"/>
      <c r="AS10" s="21"/>
      <c r="AU10" s="19"/>
      <c r="AW10" s="22"/>
      <c r="AX10" s="19"/>
      <c r="AZ10" s="19"/>
      <c r="BC10" s="19"/>
      <c r="BD10" s="19"/>
      <c r="BE10" s="19"/>
      <c r="BF10" s="19"/>
      <c r="BG10" s="19"/>
      <c r="BH10" s="19"/>
      <c r="BI10" s="19"/>
      <c r="BJ10" s="19"/>
      <c r="BK10" s="13"/>
      <c r="BN10" s="19"/>
      <c r="BO10" s="17"/>
      <c r="BP10" s="19"/>
      <c r="BQ10" s="17"/>
      <c r="BR10" s="19"/>
      <c r="BS10" s="13"/>
      <c r="BU10" s="23"/>
      <c r="BV10" s="23"/>
      <c r="BW10" s="24"/>
      <c r="CA10" s="24"/>
      <c r="CB10" s="24"/>
      <c r="CC10" s="24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25"/>
      <c r="CW10" s="26"/>
    </row>
    <row r="11" spans="1:103" s="30" customFormat="1" ht="11.25" x14ac:dyDescent="0.2">
      <c r="A11" s="27"/>
      <c r="B11" s="28"/>
      <c r="C11" s="29"/>
      <c r="E11" s="31"/>
      <c r="F11" s="32"/>
      <c r="G11" s="33"/>
      <c r="H11" s="34"/>
      <c r="I11" s="34"/>
      <c r="J11" s="35"/>
      <c r="K11" s="36"/>
      <c r="L11" s="37"/>
      <c r="M11" s="38">
        <f>SUM(M5:M10)</f>
        <v>1655.9199999999998</v>
      </c>
      <c r="N11" s="38">
        <f>M11</f>
        <v>1655.9199999999998</v>
      </c>
      <c r="O11" s="39" t="s">
        <v>111</v>
      </c>
      <c r="P11" s="38">
        <f>SUM(P5:P10)</f>
        <v>14.784999999999998</v>
      </c>
      <c r="Q11" s="38">
        <f>SUM(Q5:Q10)</f>
        <v>177.41999999999996</v>
      </c>
      <c r="R11" s="38">
        <f>SUM(R5:R10)</f>
        <v>1493.2850000000001</v>
      </c>
      <c r="S11" s="38">
        <f t="shared" ref="S11:AD11" si="4">SUM(S5:S5)</f>
        <v>0</v>
      </c>
      <c r="T11" s="38">
        <f t="shared" si="4"/>
        <v>0</v>
      </c>
      <c r="U11" s="38">
        <f t="shared" si="4"/>
        <v>0</v>
      </c>
      <c r="V11" s="38">
        <f t="shared" si="4"/>
        <v>0</v>
      </c>
      <c r="W11" s="38">
        <f t="shared" si="4"/>
        <v>0</v>
      </c>
      <c r="X11" s="38">
        <f t="shared" si="4"/>
        <v>0</v>
      </c>
      <c r="Y11" s="38">
        <f t="shared" si="4"/>
        <v>0</v>
      </c>
      <c r="Z11" s="38">
        <f t="shared" si="4"/>
        <v>0</v>
      </c>
      <c r="AA11" s="38">
        <f t="shared" si="4"/>
        <v>0</v>
      </c>
      <c r="AB11" s="38">
        <f t="shared" si="4"/>
        <v>0</v>
      </c>
      <c r="AC11" s="38">
        <f t="shared" si="4"/>
        <v>0</v>
      </c>
      <c r="AD11" s="38">
        <f t="shared" si="4"/>
        <v>0</v>
      </c>
      <c r="AF11" s="38">
        <f>SUM(AF5:AF5)</f>
        <v>0</v>
      </c>
      <c r="AH11" s="38">
        <f t="shared" ref="AH11:AZ11" si="5">SUM(AH5:AH5)</f>
        <v>0</v>
      </c>
      <c r="AI11" s="38">
        <f t="shared" si="5"/>
        <v>0</v>
      </c>
      <c r="AJ11" s="38">
        <f t="shared" si="5"/>
        <v>0</v>
      </c>
      <c r="AK11" s="38">
        <f t="shared" si="5"/>
        <v>0</v>
      </c>
      <c r="AL11" s="38">
        <f t="shared" si="5"/>
        <v>0</v>
      </c>
      <c r="AM11" s="38">
        <f t="shared" si="5"/>
        <v>0</v>
      </c>
      <c r="AN11" s="38">
        <f t="shared" si="5"/>
        <v>0</v>
      </c>
      <c r="AO11" s="38">
        <f t="shared" si="5"/>
        <v>0</v>
      </c>
      <c r="AP11" s="38">
        <f t="shared" si="5"/>
        <v>0</v>
      </c>
      <c r="AQ11" s="38">
        <f t="shared" si="5"/>
        <v>0</v>
      </c>
      <c r="AR11" s="38">
        <f t="shared" si="5"/>
        <v>0</v>
      </c>
      <c r="AS11" s="38">
        <f t="shared" si="5"/>
        <v>0</v>
      </c>
      <c r="AT11" s="38">
        <f t="shared" si="5"/>
        <v>0</v>
      </c>
      <c r="AU11" s="38">
        <f t="shared" si="5"/>
        <v>0</v>
      </c>
      <c r="AV11" s="38">
        <f t="shared" si="5"/>
        <v>0</v>
      </c>
      <c r="AW11" s="38">
        <f t="shared" si="5"/>
        <v>0</v>
      </c>
      <c r="AX11" s="38">
        <f t="shared" si="5"/>
        <v>0</v>
      </c>
      <c r="AY11" s="38">
        <f t="shared" si="5"/>
        <v>0</v>
      </c>
      <c r="AZ11" s="38">
        <f t="shared" si="5"/>
        <v>0</v>
      </c>
      <c r="BB11" s="38">
        <f t="shared" ref="BB11:CV11" si="6">SUM(BB5:BB5)</f>
        <v>0</v>
      </c>
      <c r="BC11" s="38">
        <f t="shared" si="6"/>
        <v>0</v>
      </c>
      <c r="BD11" s="38">
        <f t="shared" si="6"/>
        <v>0</v>
      </c>
      <c r="BE11" s="38">
        <f t="shared" si="6"/>
        <v>0</v>
      </c>
      <c r="BF11" s="38">
        <f t="shared" si="6"/>
        <v>0</v>
      </c>
      <c r="BG11" s="38">
        <f t="shared" si="6"/>
        <v>0</v>
      </c>
      <c r="BH11" s="38">
        <f t="shared" si="6"/>
        <v>0</v>
      </c>
      <c r="BI11" s="38">
        <f t="shared" si="6"/>
        <v>0</v>
      </c>
      <c r="BJ11" s="38">
        <f t="shared" si="6"/>
        <v>0</v>
      </c>
      <c r="BK11" s="38">
        <f t="shared" si="6"/>
        <v>0</v>
      </c>
      <c r="BL11" s="38">
        <f t="shared" si="6"/>
        <v>0</v>
      </c>
      <c r="BM11" s="38">
        <f t="shared" si="6"/>
        <v>0</v>
      </c>
      <c r="BN11" s="38">
        <f t="shared" si="6"/>
        <v>0</v>
      </c>
      <c r="BO11" s="38">
        <f t="shared" si="6"/>
        <v>0</v>
      </c>
      <c r="BP11" s="38">
        <f t="shared" si="6"/>
        <v>0</v>
      </c>
      <c r="BQ11" s="38">
        <f t="shared" si="6"/>
        <v>0</v>
      </c>
      <c r="BR11" s="38">
        <f t="shared" si="6"/>
        <v>0</v>
      </c>
      <c r="BS11" s="38">
        <f t="shared" si="6"/>
        <v>0</v>
      </c>
      <c r="BT11" s="38">
        <f t="shared" si="6"/>
        <v>0</v>
      </c>
      <c r="BU11" s="38">
        <f t="shared" si="6"/>
        <v>0</v>
      </c>
      <c r="BV11" s="38">
        <f t="shared" si="6"/>
        <v>0</v>
      </c>
      <c r="BW11" s="38">
        <f t="shared" si="6"/>
        <v>0</v>
      </c>
      <c r="BX11" s="38">
        <f t="shared" si="6"/>
        <v>0</v>
      </c>
      <c r="BY11" s="38">
        <f t="shared" si="6"/>
        <v>0</v>
      </c>
      <c r="BZ11" s="38">
        <f t="shared" si="6"/>
        <v>0</v>
      </c>
      <c r="CA11" s="38">
        <f t="shared" si="6"/>
        <v>0</v>
      </c>
      <c r="CB11" s="38">
        <f t="shared" si="6"/>
        <v>0</v>
      </c>
      <c r="CC11" s="38">
        <f t="shared" si="6"/>
        <v>0</v>
      </c>
      <c r="CD11" s="38">
        <f t="shared" si="6"/>
        <v>0</v>
      </c>
      <c r="CE11" s="38">
        <f t="shared" si="6"/>
        <v>0</v>
      </c>
      <c r="CF11" s="38">
        <f t="shared" si="6"/>
        <v>0</v>
      </c>
      <c r="CG11" s="38">
        <f t="shared" si="6"/>
        <v>0</v>
      </c>
      <c r="CH11" s="38">
        <f t="shared" si="6"/>
        <v>0</v>
      </c>
      <c r="CI11" s="38">
        <f t="shared" si="6"/>
        <v>0</v>
      </c>
      <c r="CJ11" s="38">
        <f t="shared" si="6"/>
        <v>0</v>
      </c>
      <c r="CK11" s="38">
        <f t="shared" si="6"/>
        <v>0</v>
      </c>
      <c r="CL11" s="38">
        <f t="shared" si="6"/>
        <v>0</v>
      </c>
      <c r="CM11" s="38">
        <f t="shared" si="6"/>
        <v>0</v>
      </c>
      <c r="CN11" s="38">
        <f t="shared" si="6"/>
        <v>0</v>
      </c>
      <c r="CO11" s="38">
        <f t="shared" si="6"/>
        <v>0</v>
      </c>
      <c r="CP11" s="38">
        <f t="shared" si="6"/>
        <v>0</v>
      </c>
      <c r="CQ11" s="38">
        <f t="shared" si="6"/>
        <v>0</v>
      </c>
      <c r="CR11" s="38">
        <f t="shared" si="6"/>
        <v>0</v>
      </c>
      <c r="CS11" s="38">
        <f t="shared" si="6"/>
        <v>0</v>
      </c>
      <c r="CT11" s="38">
        <f t="shared" si="6"/>
        <v>0</v>
      </c>
      <c r="CU11" s="38">
        <f t="shared" si="6"/>
        <v>0</v>
      </c>
      <c r="CV11" s="38">
        <f t="shared" si="6"/>
        <v>0</v>
      </c>
      <c r="CW11" s="40"/>
    </row>
    <row r="12" spans="1:103" customFormat="1" ht="15" x14ac:dyDescent="0.25"/>
    <row r="13" spans="1:103" customFormat="1" ht="15" x14ac:dyDescent="0.25">
      <c r="A13" s="41" t="str">
        <f>E5</f>
        <v>SAVEMORE MARKET</v>
      </c>
      <c r="B13" s="42"/>
      <c r="C13" s="43"/>
      <c r="D13" s="44"/>
      <c r="E13" s="44"/>
      <c r="F13" s="45"/>
      <c r="G13" s="46"/>
      <c r="H13" s="47"/>
      <c r="I13" s="48"/>
      <c r="J13" s="49"/>
      <c r="K13" s="50"/>
      <c r="L13" s="51"/>
      <c r="M13" s="52"/>
      <c r="N13" s="53"/>
      <c r="O13" s="54"/>
      <c r="P13" s="55"/>
    </row>
    <row r="14" spans="1:103" customFormat="1" ht="15" x14ac:dyDescent="0.25">
      <c r="A14" s="56"/>
      <c r="B14" s="57"/>
      <c r="C14" s="58"/>
      <c r="D14" s="59" t="s">
        <v>112</v>
      </c>
      <c r="E14" s="59" t="s">
        <v>113</v>
      </c>
      <c r="F14" s="60" t="s">
        <v>114</v>
      </c>
      <c r="G14" s="61"/>
      <c r="H14" s="62"/>
      <c r="I14" s="63"/>
      <c r="J14" s="64"/>
      <c r="K14" s="1"/>
      <c r="L14" s="65"/>
      <c r="M14" s="66"/>
      <c r="N14" s="67"/>
      <c r="O14" s="68"/>
      <c r="P14" s="69"/>
    </row>
    <row r="15" spans="1:103" customFormat="1" ht="13.5" customHeight="1" x14ac:dyDescent="0.25">
      <c r="A15" s="70" t="s">
        <v>151</v>
      </c>
      <c r="B15" s="71"/>
      <c r="C15" s="72"/>
      <c r="D15" s="73">
        <f>R11</f>
        <v>1493.2850000000001</v>
      </c>
      <c r="E15" s="74"/>
      <c r="F15" s="75" t="str">
        <f>"In payment for inventory food using housefund received on " &amp; TEXT(A5, "mmmm dd, yyyy") &amp; " with SI#03-00307800 PR#30476 RR#50231 " &amp; " CPO#" &amp;B5</f>
        <v>In payment for inventory food using housefund received on August 10, 2025 with SI#03-00307800 PR#30476 RR#50231  CPO#18993</v>
      </c>
      <c r="G15" s="76"/>
      <c r="H15" s="77"/>
      <c r="I15" s="77"/>
      <c r="J15" s="76"/>
      <c r="K15" s="1"/>
      <c r="L15" s="65"/>
      <c r="M15" s="78"/>
      <c r="N15" s="79"/>
      <c r="O15" s="80"/>
      <c r="P15" s="81"/>
    </row>
    <row r="16" spans="1:103" customFormat="1" ht="15" x14ac:dyDescent="0.25">
      <c r="A16" s="70" t="s">
        <v>115</v>
      </c>
      <c r="B16" s="71"/>
      <c r="C16" s="72"/>
      <c r="D16" s="73">
        <f>Q11</f>
        <v>177.41999999999996</v>
      </c>
      <c r="E16" s="74"/>
      <c r="F16" s="64" t="str">
        <f>"Recording input VAT for expenses and purchases made using house fund for " &amp; TEXT(A5, "mmmm dd, yyyy")</f>
        <v>Recording input VAT for expenses and purchases made using house fund for August 10, 2025</v>
      </c>
      <c r="G16" s="82"/>
      <c r="H16" s="83"/>
      <c r="I16" s="84"/>
      <c r="J16" s="82"/>
      <c r="K16" s="1"/>
      <c r="L16" s="65"/>
      <c r="M16" s="66"/>
      <c r="N16" s="67"/>
      <c r="O16" s="68"/>
      <c r="P16" s="69"/>
    </row>
    <row r="17" spans="1:16" customFormat="1" ht="15" x14ac:dyDescent="0.25">
      <c r="A17" s="85" t="s">
        <v>116</v>
      </c>
      <c r="B17" s="86"/>
      <c r="C17" s="87"/>
      <c r="D17" s="88"/>
      <c r="E17" s="74">
        <f>P11</f>
        <v>14.784999999999998</v>
      </c>
      <c r="F17" s="89" t="str">
        <f>"Recording the tax withheld for expenses and purchases using the house fund received on " &amp; TEXT(A5, "mmmm dd, yyyy")</f>
        <v>Recording the tax withheld for expenses and purchases using the house fund received on August 10, 2025</v>
      </c>
      <c r="G17" s="82"/>
      <c r="H17" s="83"/>
      <c r="I17" s="84"/>
      <c r="J17" s="82"/>
      <c r="K17" s="1"/>
      <c r="L17" s="65"/>
      <c r="M17" s="66"/>
      <c r="N17" s="67"/>
      <c r="O17" s="68"/>
      <c r="P17" s="69"/>
    </row>
    <row r="18" spans="1:16" customFormat="1" ht="15" x14ac:dyDescent="0.25">
      <c r="A18" s="70" t="s">
        <v>117</v>
      </c>
      <c r="B18" s="86"/>
      <c r="C18" s="87"/>
      <c r="D18" s="90"/>
      <c r="E18" s="91">
        <f>M11</f>
        <v>1655.9199999999998</v>
      </c>
      <c r="F18" s="89" t="str">
        <f>"Recording house fund expenses for replenishment on " &amp; TEXT(A5, "mmmm dd, yyyy")</f>
        <v>Recording house fund expenses for replenishment on August 10, 2025</v>
      </c>
      <c r="G18" s="82"/>
      <c r="H18" s="83"/>
      <c r="I18" s="84"/>
      <c r="J18" s="82"/>
      <c r="K18" s="1"/>
      <c r="L18" s="65"/>
      <c r="M18" s="66"/>
      <c r="N18" s="67"/>
      <c r="O18" s="68"/>
      <c r="P18" s="69"/>
    </row>
    <row r="19" spans="1:16" customFormat="1" ht="15" x14ac:dyDescent="0.25">
      <c r="A19" s="85"/>
      <c r="B19" s="86"/>
      <c r="C19" s="87"/>
      <c r="D19" s="88">
        <f>SUM(D15:D16)</f>
        <v>1670.7049999999999</v>
      </c>
      <c r="E19" s="88">
        <f>SUM(E15:E18)</f>
        <v>1670.7049999999999</v>
      </c>
      <c r="F19" s="92"/>
      <c r="G19" s="92"/>
      <c r="H19" s="93"/>
      <c r="I19" s="94"/>
      <c r="J19" s="92"/>
      <c r="K19" s="1"/>
      <c r="L19" s="65"/>
      <c r="M19" s="66"/>
      <c r="N19" s="67"/>
      <c r="O19" s="68"/>
      <c r="P19" s="69"/>
    </row>
    <row r="20" spans="1:16" customFormat="1" ht="15" x14ac:dyDescent="0.25">
      <c r="A20" s="95" t="s">
        <v>118</v>
      </c>
      <c r="B20" s="96" t="str">
        <f>"To record house fund expenses on " &amp; TEXT(A5, "mmmm dd, yyyy") &amp; " with PCV#" &amp; C5</f>
        <v>To record house fund expenses on August 10, 2025 with PCV#20984</v>
      </c>
      <c r="C20" s="97"/>
      <c r="D20" s="98"/>
      <c r="E20" s="98"/>
      <c r="F20" s="98"/>
      <c r="G20" s="92"/>
      <c r="H20" s="93"/>
      <c r="I20" s="94"/>
      <c r="J20" s="92"/>
      <c r="K20" s="1"/>
      <c r="L20" s="65"/>
      <c r="M20" s="66"/>
      <c r="N20" s="67"/>
      <c r="O20" s="68"/>
      <c r="P20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96B59-E3F2-4731-960B-0F5B578DEC39}">
  <sheetPr>
    <tabColor rgb="FF50456B"/>
  </sheetPr>
  <dimension ref="A1:CY15"/>
  <sheetViews>
    <sheetView workbookViewId="0">
      <selection activeCell="D11" sqref="D11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45875</v>
      </c>
      <c r="B5" s="3" t="s">
        <v>747</v>
      </c>
      <c r="C5" s="4" t="s">
        <v>869</v>
      </c>
      <c r="D5" s="5" t="s">
        <v>748</v>
      </c>
      <c r="E5" s="6" t="s">
        <v>266</v>
      </c>
      <c r="F5" s="7"/>
      <c r="G5" s="8"/>
      <c r="H5" s="9"/>
      <c r="I5" s="10"/>
      <c r="J5" s="11" t="s">
        <v>760</v>
      </c>
      <c r="K5" s="12">
        <v>15</v>
      </c>
      <c r="L5" s="13">
        <v>275</v>
      </c>
      <c r="M5" s="14">
        <f t="shared" ref="M5" si="0">L5*K5</f>
        <v>4125</v>
      </c>
      <c r="N5" s="15"/>
      <c r="O5" s="16" t="s">
        <v>137</v>
      </c>
      <c r="P5" s="17"/>
      <c r="Q5" s="18"/>
      <c r="R5" s="17">
        <f>M5+P5-Q5</f>
        <v>4125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4125</v>
      </c>
      <c r="N6" s="38">
        <f>M6</f>
        <v>4125</v>
      </c>
      <c r="O6" s="39" t="s">
        <v>137</v>
      </c>
      <c r="P6" s="38"/>
      <c r="Q6" s="38"/>
      <c r="R6" s="38">
        <f>SUM(R5:R5)</f>
        <v>4125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MARKET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4125</v>
      </c>
      <c r="E10" s="74"/>
      <c r="F10" s="75" t="str">
        <f>"In payment for 15 trays of egg for breakfast buffet using housefund received on " &amp; TEXT(A5, "mmmm dd, yyyy") &amp; " with PR#30099 RR#" &amp; " CPO#" &amp;B5</f>
        <v>In payment for 15 trays of egg for breakfast buffet using housefund received on August 06, 2025 with PR#30099 RR# CPO#18993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06,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06,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4125</v>
      </c>
      <c r="F13" s="89" t="str">
        <f>"Recording house fund expenses for replenishment on " &amp; TEXT(A5, "mmmm dd, yyyy")</f>
        <v>Recording house fund expenses for replenishment on August 06,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4125</v>
      </c>
      <c r="E14" s="88">
        <f>SUM(E10:E13)</f>
        <v>4125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06, 2025 with PCV#20985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22E12-5FE3-461F-81D5-196A5BE9B349}">
  <sheetPr>
    <tabColor rgb="FF50456B"/>
  </sheetPr>
  <dimension ref="A1:CY15"/>
  <sheetViews>
    <sheetView workbookViewId="0">
      <selection activeCell="C10" sqref="C10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45885</v>
      </c>
      <c r="B5" s="3" t="s">
        <v>747</v>
      </c>
      <c r="C5" s="4" t="s">
        <v>870</v>
      </c>
      <c r="D5" s="5" t="s">
        <v>748</v>
      </c>
      <c r="E5" s="6" t="s">
        <v>134</v>
      </c>
      <c r="F5" s="7"/>
      <c r="G5" s="8"/>
      <c r="H5" s="9"/>
      <c r="I5" s="10"/>
      <c r="J5" s="11" t="s">
        <v>135</v>
      </c>
      <c r="K5" s="12">
        <v>1</v>
      </c>
      <c r="L5" s="13">
        <v>53</v>
      </c>
      <c r="M5" s="14">
        <f t="shared" ref="M5" si="0">L5*K5</f>
        <v>53</v>
      </c>
      <c r="N5" s="15"/>
      <c r="O5" s="16" t="s">
        <v>137</v>
      </c>
      <c r="P5" s="17"/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>
        <f>M5+P5-Q5</f>
        <v>53</v>
      </c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53</v>
      </c>
      <c r="N6" s="38">
        <f>M6</f>
        <v>53</v>
      </c>
      <c r="O6" s="39" t="s">
        <v>137</v>
      </c>
      <c r="P6" s="38"/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>SUM(BO5:BO5)</f>
        <v>53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MAXIM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233</v>
      </c>
      <c r="B10" s="71"/>
      <c r="C10" s="72"/>
      <c r="D10" s="73">
        <f>BO6</f>
        <v>53</v>
      </c>
      <c r="E10" s="74"/>
      <c r="F10" s="75" t="str">
        <f>"In payment for transportation expense for maxim from Sotogrande Hotel to Savemore Maribago market using housefund received on " &amp; TEXT(A5, "mmmm dd, yyyy") &amp; " with" &amp; " CPO#" &amp;B5</f>
        <v>In payment for transportation expense for maxim from Sotogrande Hotel to Savemore Maribago market using housefund received on August 16, 2025 with CPO#18993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16,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16,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53</v>
      </c>
      <c r="F13" s="89" t="str">
        <f>"Recording house fund expenses for replenishment on " &amp; TEXT(A5, "mmmm dd, yyyy")</f>
        <v>Recording house fund expenses for replenishment on August 16,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53</v>
      </c>
      <c r="E14" s="88">
        <f>SUM(E10:E13)</f>
        <v>53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16, 2025 with PCV#20986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B80CA-5A61-4F9F-B65B-C753051C408C}">
  <sheetPr>
    <tabColor rgb="FF50456B"/>
  </sheetPr>
  <dimension ref="A1:CY35"/>
  <sheetViews>
    <sheetView topLeftCell="A13" workbookViewId="0">
      <selection activeCell="I14" sqref="I14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8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8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45879</v>
      </c>
      <c r="B5" s="3" t="s">
        <v>657</v>
      </c>
      <c r="C5" s="4" t="s">
        <v>871</v>
      </c>
      <c r="D5" s="5" t="s">
        <v>570</v>
      </c>
      <c r="E5" s="6" t="s">
        <v>370</v>
      </c>
      <c r="F5" s="7" t="s">
        <v>336</v>
      </c>
      <c r="G5" s="8" t="s">
        <v>199</v>
      </c>
      <c r="H5" s="9" t="s">
        <v>661</v>
      </c>
      <c r="I5" s="10"/>
      <c r="J5" s="11" t="s">
        <v>658</v>
      </c>
      <c r="K5" s="12">
        <v>5</v>
      </c>
      <c r="L5" s="13">
        <v>112</v>
      </c>
      <c r="M5" s="14">
        <f t="shared" ref="M5:M25" si="0">L5*K5</f>
        <v>560</v>
      </c>
      <c r="N5" s="15"/>
      <c r="O5" s="16" t="s">
        <v>137</v>
      </c>
      <c r="P5" s="17">
        <f>M5*0.01</f>
        <v>5.6000000000000005</v>
      </c>
      <c r="Q5" s="18"/>
      <c r="R5" s="17">
        <f>M5+P5-Q5</f>
        <v>565.6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337</v>
      </c>
      <c r="K6" s="12">
        <v>6.45</v>
      </c>
      <c r="L6" s="13">
        <v>44</v>
      </c>
      <c r="M6" s="14">
        <f t="shared" si="0"/>
        <v>283.8</v>
      </c>
      <c r="N6" s="15"/>
      <c r="O6" s="16" t="s">
        <v>137</v>
      </c>
      <c r="P6" s="17">
        <f>M6*0.01</f>
        <v>2.8380000000000001</v>
      </c>
      <c r="Q6" s="18"/>
      <c r="R6" s="17">
        <f t="shared" ref="R6:R20" si="1">M6+P6-Q6</f>
        <v>286.63800000000003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5" customFormat="1" x14ac:dyDescent="0.2">
      <c r="A7" s="2"/>
      <c r="B7" s="3"/>
      <c r="C7" s="4"/>
      <c r="E7" s="6"/>
      <c r="F7" s="7"/>
      <c r="G7" s="8"/>
      <c r="H7" s="9"/>
      <c r="I7" s="10"/>
      <c r="J7" s="11" t="s">
        <v>659</v>
      </c>
      <c r="K7" s="12">
        <v>4.585</v>
      </c>
      <c r="L7" s="13">
        <v>44</v>
      </c>
      <c r="M7" s="14">
        <f t="shared" si="0"/>
        <v>201.74</v>
      </c>
      <c r="N7" s="15"/>
      <c r="O7" s="16" t="s">
        <v>137</v>
      </c>
      <c r="P7" s="17">
        <f>M7*0.01</f>
        <v>2.0174000000000003</v>
      </c>
      <c r="Q7" s="18"/>
      <c r="R7" s="17">
        <f t="shared" si="1"/>
        <v>203.75740000000002</v>
      </c>
      <c r="S7" s="19"/>
      <c r="T7" s="19"/>
      <c r="U7" s="19"/>
      <c r="V7" s="19"/>
      <c r="W7" s="17"/>
      <c r="X7" s="20"/>
      <c r="Y7" s="19"/>
      <c r="Z7" s="19"/>
      <c r="AA7" s="19"/>
      <c r="AB7" s="19"/>
      <c r="AC7" s="19"/>
      <c r="AD7" s="19"/>
      <c r="AF7" s="19"/>
      <c r="AH7" s="17"/>
      <c r="AI7" s="19"/>
      <c r="AJ7" s="19"/>
      <c r="AK7" s="19"/>
      <c r="AL7" s="19"/>
      <c r="AM7" s="17"/>
      <c r="AN7" s="19"/>
      <c r="AO7" s="19"/>
      <c r="AP7" s="19"/>
      <c r="AQ7" s="19"/>
      <c r="AR7" s="19"/>
      <c r="AS7" s="21"/>
      <c r="AU7" s="19"/>
      <c r="AW7" s="22"/>
      <c r="AX7" s="19"/>
      <c r="AZ7" s="19"/>
      <c r="BC7" s="19"/>
      <c r="BD7" s="19"/>
      <c r="BE7" s="19"/>
      <c r="BF7" s="19"/>
      <c r="BG7" s="19"/>
      <c r="BH7" s="19"/>
      <c r="BI7" s="19"/>
      <c r="BJ7" s="19"/>
      <c r="BK7" s="13"/>
      <c r="BN7" s="19"/>
      <c r="BO7" s="17"/>
      <c r="BP7" s="19"/>
      <c r="BQ7" s="17"/>
      <c r="BR7" s="19"/>
      <c r="BS7" s="13"/>
      <c r="BU7" s="23"/>
      <c r="BV7" s="23"/>
      <c r="BW7" s="24"/>
      <c r="CA7" s="24"/>
      <c r="CB7" s="24"/>
      <c r="CC7" s="24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25"/>
      <c r="CW7" s="26"/>
    </row>
    <row r="8" spans="1:103" s="5" customFormat="1" x14ac:dyDescent="0.2">
      <c r="A8" s="2"/>
      <c r="B8" s="3"/>
      <c r="C8" s="4"/>
      <c r="E8" s="6"/>
      <c r="F8" s="7"/>
      <c r="G8" s="8"/>
      <c r="H8" s="9"/>
      <c r="I8" s="10"/>
      <c r="J8" s="11" t="s">
        <v>660</v>
      </c>
      <c r="K8" s="12">
        <v>14</v>
      </c>
      <c r="L8" s="13">
        <v>35.5</v>
      </c>
      <c r="M8" s="14">
        <f t="shared" si="0"/>
        <v>497</v>
      </c>
      <c r="N8" s="15"/>
      <c r="O8" s="16" t="s">
        <v>111</v>
      </c>
      <c r="P8" s="17">
        <f t="shared" ref="P8:P20" si="2">M8/1.12*0.01</f>
        <v>4.4374999999999991</v>
      </c>
      <c r="Q8" s="18">
        <f t="shared" ref="Q8:Q20" si="3">M8/1.12*0.12</f>
        <v>53.249999999999993</v>
      </c>
      <c r="R8" s="17">
        <f t="shared" si="1"/>
        <v>448.1875</v>
      </c>
      <c r="S8" s="19"/>
      <c r="T8" s="19"/>
      <c r="U8" s="19"/>
      <c r="V8" s="19"/>
      <c r="W8" s="17"/>
      <c r="X8" s="20"/>
      <c r="Y8" s="19"/>
      <c r="Z8" s="19"/>
      <c r="AA8" s="19"/>
      <c r="AB8" s="19"/>
      <c r="AC8" s="19"/>
      <c r="AD8" s="19"/>
      <c r="AF8" s="19"/>
      <c r="AH8" s="17"/>
      <c r="AI8" s="19"/>
      <c r="AJ8" s="19"/>
      <c r="AK8" s="19"/>
      <c r="AL8" s="19"/>
      <c r="AM8" s="17"/>
      <c r="AN8" s="19"/>
      <c r="AO8" s="19"/>
      <c r="AP8" s="19"/>
      <c r="AQ8" s="19"/>
      <c r="AR8" s="19"/>
      <c r="AS8" s="21"/>
      <c r="AU8" s="19"/>
      <c r="AW8" s="22"/>
      <c r="AX8" s="19"/>
      <c r="AZ8" s="19"/>
      <c r="BC8" s="19"/>
      <c r="BD8" s="19"/>
      <c r="BE8" s="19"/>
      <c r="BF8" s="19"/>
      <c r="BG8" s="19"/>
      <c r="BH8" s="19"/>
      <c r="BI8" s="19"/>
      <c r="BJ8" s="19"/>
      <c r="BK8" s="13"/>
      <c r="BN8" s="19"/>
      <c r="BO8" s="17"/>
      <c r="BP8" s="19"/>
      <c r="BQ8" s="17"/>
      <c r="BR8" s="19"/>
      <c r="BS8" s="13"/>
      <c r="BU8" s="23"/>
      <c r="BV8" s="23"/>
      <c r="BW8" s="24"/>
      <c r="CA8" s="24"/>
      <c r="CB8" s="24"/>
      <c r="CC8" s="24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25"/>
      <c r="CW8" s="26"/>
    </row>
    <row r="9" spans="1:103" s="5" customFormat="1" x14ac:dyDescent="0.2">
      <c r="A9" s="2"/>
      <c r="B9" s="3"/>
      <c r="C9" s="4"/>
      <c r="E9" s="6"/>
      <c r="F9" s="7"/>
      <c r="G9" s="8"/>
      <c r="H9" s="9"/>
      <c r="I9" s="10"/>
      <c r="J9" s="11" t="s">
        <v>360</v>
      </c>
      <c r="K9" s="12">
        <v>1</v>
      </c>
      <c r="L9" s="13">
        <v>30.25</v>
      </c>
      <c r="M9" s="14">
        <f t="shared" si="0"/>
        <v>30.25</v>
      </c>
      <c r="N9" s="15"/>
      <c r="O9" s="16" t="s">
        <v>111</v>
      </c>
      <c r="P9" s="17">
        <f t="shared" si="2"/>
        <v>0.2700892857142857</v>
      </c>
      <c r="Q9" s="18">
        <f t="shared" si="3"/>
        <v>3.2410714285714284</v>
      </c>
      <c r="R9" s="17">
        <f t="shared" si="1"/>
        <v>27.279017857142858</v>
      </c>
      <c r="S9" s="19"/>
      <c r="T9" s="19"/>
      <c r="U9" s="19"/>
      <c r="V9" s="19"/>
      <c r="W9" s="17"/>
      <c r="X9" s="20"/>
      <c r="Y9" s="19"/>
      <c r="Z9" s="19"/>
      <c r="AA9" s="19"/>
      <c r="AB9" s="19"/>
      <c r="AC9" s="19"/>
      <c r="AD9" s="19"/>
      <c r="AF9" s="19"/>
      <c r="AH9" s="17"/>
      <c r="AI9" s="19"/>
      <c r="AJ9" s="19"/>
      <c r="AK9" s="19"/>
      <c r="AL9" s="19"/>
      <c r="AM9" s="17"/>
      <c r="AN9" s="19"/>
      <c r="AO9" s="19"/>
      <c r="AP9" s="19"/>
      <c r="AQ9" s="19"/>
      <c r="AR9" s="19"/>
      <c r="AS9" s="21"/>
      <c r="AU9" s="19"/>
      <c r="AW9" s="22"/>
      <c r="AX9" s="19"/>
      <c r="AZ9" s="19"/>
      <c r="BC9" s="19"/>
      <c r="BD9" s="19"/>
      <c r="BE9" s="19"/>
      <c r="BF9" s="19"/>
      <c r="BG9" s="19"/>
      <c r="BH9" s="19"/>
      <c r="BI9" s="19"/>
      <c r="BJ9" s="19"/>
      <c r="BK9" s="13"/>
      <c r="BN9" s="19"/>
      <c r="BO9" s="17"/>
      <c r="BP9" s="19"/>
      <c r="BQ9" s="17"/>
      <c r="BR9" s="19"/>
      <c r="BS9" s="13"/>
      <c r="BU9" s="23"/>
      <c r="BV9" s="23"/>
      <c r="BW9" s="24"/>
      <c r="CA9" s="24"/>
      <c r="CB9" s="24"/>
      <c r="CC9" s="24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25"/>
      <c r="CW9" s="26"/>
    </row>
    <row r="10" spans="1:103" s="5" customFormat="1" x14ac:dyDescent="0.2">
      <c r="A10" s="2"/>
      <c r="B10" s="3"/>
      <c r="C10" s="4"/>
      <c r="E10" s="6"/>
      <c r="F10" s="7"/>
      <c r="G10" s="8"/>
      <c r="H10" s="9"/>
      <c r="I10" s="10"/>
      <c r="J10" s="11" t="s">
        <v>662</v>
      </c>
      <c r="K10" s="12">
        <v>0.63</v>
      </c>
      <c r="L10" s="13">
        <v>90</v>
      </c>
      <c r="M10" s="14">
        <f t="shared" si="0"/>
        <v>56.7</v>
      </c>
      <c r="N10" s="15"/>
      <c r="O10" s="16" t="s">
        <v>137</v>
      </c>
      <c r="P10" s="17">
        <f>M10*0.01</f>
        <v>0.56700000000000006</v>
      </c>
      <c r="Q10" s="18"/>
      <c r="R10" s="17">
        <f t="shared" si="1"/>
        <v>57.267000000000003</v>
      </c>
      <c r="S10" s="19"/>
      <c r="T10" s="19"/>
      <c r="U10" s="19"/>
      <c r="V10" s="19"/>
      <c r="W10" s="17"/>
      <c r="X10" s="20"/>
      <c r="Y10" s="19"/>
      <c r="Z10" s="19"/>
      <c r="AA10" s="19"/>
      <c r="AB10" s="19"/>
      <c r="AC10" s="19"/>
      <c r="AD10" s="19"/>
      <c r="AF10" s="19"/>
      <c r="AH10" s="17"/>
      <c r="AI10" s="19"/>
      <c r="AJ10" s="19"/>
      <c r="AK10" s="19"/>
      <c r="AL10" s="19"/>
      <c r="AM10" s="17"/>
      <c r="AN10" s="19"/>
      <c r="AO10" s="19"/>
      <c r="AP10" s="19"/>
      <c r="AQ10" s="19"/>
      <c r="AR10" s="19"/>
      <c r="AS10" s="21"/>
      <c r="AU10" s="19"/>
      <c r="AW10" s="22"/>
      <c r="AX10" s="19"/>
      <c r="AZ10" s="19"/>
      <c r="BC10" s="19"/>
      <c r="BD10" s="19"/>
      <c r="BE10" s="19"/>
      <c r="BF10" s="19"/>
      <c r="BG10" s="19"/>
      <c r="BH10" s="19"/>
      <c r="BI10" s="19"/>
      <c r="BJ10" s="19"/>
      <c r="BK10" s="13"/>
      <c r="BN10" s="19"/>
      <c r="BO10" s="17"/>
      <c r="BP10" s="19"/>
      <c r="BQ10" s="17"/>
      <c r="BR10" s="19"/>
      <c r="BS10" s="13"/>
      <c r="BU10" s="23"/>
      <c r="BV10" s="23"/>
      <c r="BW10" s="24"/>
      <c r="CA10" s="24"/>
      <c r="CB10" s="24"/>
      <c r="CC10" s="24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25"/>
      <c r="CW10" s="26"/>
    </row>
    <row r="11" spans="1:103" s="5" customFormat="1" x14ac:dyDescent="0.2">
      <c r="A11" s="2"/>
      <c r="B11" s="3"/>
      <c r="C11" s="4"/>
      <c r="E11" s="6"/>
      <c r="F11" s="7"/>
      <c r="G11" s="8"/>
      <c r="H11" s="9"/>
      <c r="I11" s="10"/>
      <c r="J11" s="11" t="s">
        <v>662</v>
      </c>
      <c r="K11" s="12">
        <v>0.59499999999999997</v>
      </c>
      <c r="L11" s="13">
        <v>90</v>
      </c>
      <c r="M11" s="14">
        <f t="shared" si="0"/>
        <v>53.55</v>
      </c>
      <c r="N11" s="15"/>
      <c r="O11" s="16" t="s">
        <v>137</v>
      </c>
      <c r="P11" s="17">
        <f>M11*0.01</f>
        <v>0.53549999999999998</v>
      </c>
      <c r="Q11" s="18"/>
      <c r="R11" s="17">
        <f t="shared" si="1"/>
        <v>54.085499999999996</v>
      </c>
      <c r="S11" s="19"/>
      <c r="T11" s="19"/>
      <c r="U11" s="19"/>
      <c r="V11" s="19"/>
      <c r="W11" s="17"/>
      <c r="X11" s="20"/>
      <c r="Y11" s="19"/>
      <c r="Z11" s="19"/>
      <c r="AA11" s="19"/>
      <c r="AB11" s="19"/>
      <c r="AC11" s="19"/>
      <c r="AD11" s="19"/>
      <c r="AF11" s="19"/>
      <c r="AH11" s="17"/>
      <c r="AI11" s="19"/>
      <c r="AJ11" s="19"/>
      <c r="AK11" s="19"/>
      <c r="AL11" s="19"/>
      <c r="AM11" s="17"/>
      <c r="AN11" s="19"/>
      <c r="AO11" s="19"/>
      <c r="AP11" s="19"/>
      <c r="AQ11" s="19"/>
      <c r="AR11" s="19"/>
      <c r="AS11" s="21"/>
      <c r="AU11" s="19"/>
      <c r="AW11" s="22"/>
      <c r="AX11" s="19"/>
      <c r="AZ11" s="19"/>
      <c r="BC11" s="19"/>
      <c r="BD11" s="19"/>
      <c r="BE11" s="19"/>
      <c r="BF11" s="19"/>
      <c r="BG11" s="19"/>
      <c r="BH11" s="19"/>
      <c r="BI11" s="19"/>
      <c r="BJ11" s="19"/>
      <c r="BK11" s="13"/>
      <c r="BN11" s="19"/>
      <c r="BO11" s="17"/>
      <c r="BP11" s="19"/>
      <c r="BQ11" s="17"/>
      <c r="BR11" s="19"/>
      <c r="BS11" s="13"/>
      <c r="BU11" s="23"/>
      <c r="BV11" s="23"/>
      <c r="BW11" s="24"/>
      <c r="CA11" s="24"/>
      <c r="CB11" s="24"/>
      <c r="CC11" s="24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25"/>
      <c r="CW11" s="26"/>
    </row>
    <row r="12" spans="1:103" s="5" customFormat="1" x14ac:dyDescent="0.2">
      <c r="A12" s="2"/>
      <c r="B12" s="3"/>
      <c r="C12" s="4"/>
      <c r="E12" s="6"/>
      <c r="F12" s="7"/>
      <c r="G12" s="8"/>
      <c r="H12" s="9"/>
      <c r="I12" s="10"/>
      <c r="J12" s="11" t="s">
        <v>662</v>
      </c>
      <c r="K12" s="12">
        <v>0.5</v>
      </c>
      <c r="L12" s="13">
        <v>90</v>
      </c>
      <c r="M12" s="14">
        <f t="shared" si="0"/>
        <v>45</v>
      </c>
      <c r="N12" s="15"/>
      <c r="O12" s="16" t="s">
        <v>137</v>
      </c>
      <c r="P12" s="17">
        <f>M12*0.01</f>
        <v>0.45</v>
      </c>
      <c r="Q12" s="18"/>
      <c r="R12" s="17">
        <f t="shared" si="1"/>
        <v>45.45</v>
      </c>
      <c r="S12" s="19"/>
      <c r="T12" s="19"/>
      <c r="U12" s="19"/>
      <c r="V12" s="19"/>
      <c r="W12" s="17"/>
      <c r="X12" s="20"/>
      <c r="Y12" s="19"/>
      <c r="Z12" s="19"/>
      <c r="AA12" s="19"/>
      <c r="AB12" s="19"/>
      <c r="AC12" s="19"/>
      <c r="AD12" s="19"/>
      <c r="AF12" s="19"/>
      <c r="AH12" s="17"/>
      <c r="AI12" s="19"/>
      <c r="AJ12" s="19"/>
      <c r="AK12" s="19"/>
      <c r="AL12" s="19"/>
      <c r="AM12" s="17"/>
      <c r="AN12" s="19"/>
      <c r="AO12" s="19"/>
      <c r="AP12" s="19"/>
      <c r="AQ12" s="19"/>
      <c r="AR12" s="19"/>
      <c r="AS12" s="21"/>
      <c r="AU12" s="19"/>
      <c r="AW12" s="22"/>
      <c r="AX12" s="19"/>
      <c r="AZ12" s="19"/>
      <c r="BC12" s="19"/>
      <c r="BD12" s="19"/>
      <c r="BE12" s="19"/>
      <c r="BF12" s="19"/>
      <c r="BG12" s="19"/>
      <c r="BH12" s="19"/>
      <c r="BI12" s="19"/>
      <c r="BJ12" s="19"/>
      <c r="BK12" s="13"/>
      <c r="BN12" s="19"/>
      <c r="BO12" s="17"/>
      <c r="BP12" s="19"/>
      <c r="BQ12" s="17"/>
      <c r="BR12" s="19"/>
      <c r="BS12" s="13"/>
      <c r="BU12" s="23"/>
      <c r="BV12" s="23"/>
      <c r="BW12" s="24"/>
      <c r="CA12" s="24"/>
      <c r="CB12" s="24"/>
      <c r="CC12" s="24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25"/>
      <c r="CW12" s="26"/>
    </row>
    <row r="13" spans="1:103" s="5" customFormat="1" x14ac:dyDescent="0.2">
      <c r="A13" s="2"/>
      <c r="B13" s="3"/>
      <c r="C13" s="4"/>
      <c r="E13" s="6"/>
      <c r="F13" s="7"/>
      <c r="G13" s="8"/>
      <c r="H13" s="9"/>
      <c r="I13" s="10"/>
      <c r="J13" s="11" t="s">
        <v>662</v>
      </c>
      <c r="K13" s="12">
        <v>0.57499999999999996</v>
      </c>
      <c r="L13" s="13">
        <v>90</v>
      </c>
      <c r="M13" s="14">
        <f t="shared" si="0"/>
        <v>51.749999999999993</v>
      </c>
      <c r="N13" s="15"/>
      <c r="O13" s="16" t="s">
        <v>137</v>
      </c>
      <c r="P13" s="17">
        <f t="shared" si="2"/>
        <v>0.46205357142857134</v>
      </c>
      <c r="Q13" s="18"/>
      <c r="R13" s="17">
        <f t="shared" si="1"/>
        <v>52.212053571428562</v>
      </c>
      <c r="S13" s="19"/>
      <c r="T13" s="19"/>
      <c r="U13" s="19"/>
      <c r="V13" s="19"/>
      <c r="W13" s="17"/>
      <c r="X13" s="20"/>
      <c r="Y13" s="19"/>
      <c r="Z13" s="19"/>
      <c r="AA13" s="19"/>
      <c r="AB13" s="19"/>
      <c r="AC13" s="19"/>
      <c r="AD13" s="19"/>
      <c r="AF13" s="19"/>
      <c r="AH13" s="17"/>
      <c r="AI13" s="19"/>
      <c r="AJ13" s="19"/>
      <c r="AK13" s="19"/>
      <c r="AL13" s="19"/>
      <c r="AM13" s="17"/>
      <c r="AN13" s="19"/>
      <c r="AO13" s="19"/>
      <c r="AP13" s="19"/>
      <c r="AQ13" s="19"/>
      <c r="AR13" s="19"/>
      <c r="AS13" s="21"/>
      <c r="AU13" s="19"/>
      <c r="AW13" s="22"/>
      <c r="AX13" s="19"/>
      <c r="AZ13" s="19"/>
      <c r="BC13" s="19"/>
      <c r="BD13" s="19"/>
      <c r="BE13" s="19"/>
      <c r="BF13" s="19"/>
      <c r="BG13" s="19"/>
      <c r="BH13" s="19"/>
      <c r="BI13" s="19"/>
      <c r="BJ13" s="19"/>
      <c r="BK13" s="13"/>
      <c r="BN13" s="19"/>
      <c r="BO13" s="17"/>
      <c r="BP13" s="19"/>
      <c r="BQ13" s="17"/>
      <c r="BR13" s="19"/>
      <c r="BS13" s="13"/>
      <c r="BU13" s="23"/>
      <c r="BV13" s="23"/>
      <c r="BW13" s="24"/>
      <c r="CA13" s="24"/>
      <c r="CB13" s="24"/>
      <c r="CC13" s="24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25"/>
      <c r="CW13" s="26"/>
    </row>
    <row r="14" spans="1:103" s="5" customFormat="1" x14ac:dyDescent="0.2">
      <c r="A14" s="2"/>
      <c r="B14" s="3"/>
      <c r="C14" s="4"/>
      <c r="E14" s="6"/>
      <c r="F14" s="7"/>
      <c r="G14" s="8"/>
      <c r="H14" s="9"/>
      <c r="I14" s="10"/>
      <c r="J14" s="11" t="s">
        <v>662</v>
      </c>
      <c r="K14" s="12">
        <v>0.59499999999999997</v>
      </c>
      <c r="L14" s="13">
        <v>90</v>
      </c>
      <c r="M14" s="14">
        <f t="shared" si="0"/>
        <v>53.55</v>
      </c>
      <c r="N14" s="15"/>
      <c r="O14" s="16" t="s">
        <v>137</v>
      </c>
      <c r="P14" s="17">
        <f t="shared" ref="P14:P19" si="4">M14*0.01</f>
        <v>0.53549999999999998</v>
      </c>
      <c r="Q14" s="18"/>
      <c r="R14" s="17">
        <f t="shared" si="1"/>
        <v>54.085499999999996</v>
      </c>
      <c r="S14" s="19"/>
      <c r="T14" s="19"/>
      <c r="U14" s="19"/>
      <c r="V14" s="19"/>
      <c r="W14" s="17"/>
      <c r="X14" s="20"/>
      <c r="Y14" s="19"/>
      <c r="Z14" s="19"/>
      <c r="AA14" s="19"/>
      <c r="AB14" s="19"/>
      <c r="AC14" s="19"/>
      <c r="AD14" s="19"/>
      <c r="AF14" s="19"/>
      <c r="AH14" s="17"/>
      <c r="AI14" s="19"/>
      <c r="AJ14" s="19"/>
      <c r="AK14" s="19"/>
      <c r="AL14" s="19"/>
      <c r="AM14" s="17"/>
      <c r="AN14" s="19"/>
      <c r="AO14" s="19"/>
      <c r="AP14" s="19"/>
      <c r="AQ14" s="19"/>
      <c r="AR14" s="19"/>
      <c r="AS14" s="21"/>
      <c r="AU14" s="19"/>
      <c r="AW14" s="22"/>
      <c r="AX14" s="19"/>
      <c r="AZ14" s="19"/>
      <c r="BC14" s="19"/>
      <c r="BD14" s="19"/>
      <c r="BE14" s="19"/>
      <c r="BF14" s="19"/>
      <c r="BG14" s="19"/>
      <c r="BH14" s="19"/>
      <c r="BI14" s="19"/>
      <c r="BJ14" s="19"/>
      <c r="BK14" s="13"/>
      <c r="BN14" s="19"/>
      <c r="BO14" s="17"/>
      <c r="BP14" s="19"/>
      <c r="BQ14" s="17"/>
      <c r="BR14" s="19"/>
      <c r="BS14" s="13"/>
      <c r="BU14" s="23"/>
      <c r="BV14" s="23"/>
      <c r="BW14" s="24"/>
      <c r="CA14" s="24"/>
      <c r="CB14" s="24"/>
      <c r="CC14" s="24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25"/>
      <c r="CW14" s="26"/>
    </row>
    <row r="15" spans="1:103" s="5" customFormat="1" x14ac:dyDescent="0.2">
      <c r="A15" s="2"/>
      <c r="B15" s="3"/>
      <c r="C15" s="4"/>
      <c r="E15" s="6"/>
      <c r="F15" s="7"/>
      <c r="G15" s="8"/>
      <c r="H15" s="9"/>
      <c r="I15" s="10"/>
      <c r="J15" s="11" t="s">
        <v>662</v>
      </c>
      <c r="K15" s="12">
        <v>0.58499999999999996</v>
      </c>
      <c r="L15" s="13">
        <v>90</v>
      </c>
      <c r="M15" s="14">
        <f t="shared" si="0"/>
        <v>52.65</v>
      </c>
      <c r="N15" s="15"/>
      <c r="O15" s="16" t="s">
        <v>137</v>
      </c>
      <c r="P15" s="17">
        <f t="shared" si="4"/>
        <v>0.52649999999999997</v>
      </c>
      <c r="Q15" s="18"/>
      <c r="R15" s="17">
        <f t="shared" si="1"/>
        <v>53.176499999999997</v>
      </c>
      <c r="S15" s="19"/>
      <c r="T15" s="19"/>
      <c r="U15" s="19"/>
      <c r="V15" s="19"/>
      <c r="W15" s="17"/>
      <c r="X15" s="20"/>
      <c r="Y15" s="19"/>
      <c r="Z15" s="19"/>
      <c r="AA15" s="19"/>
      <c r="AB15" s="19"/>
      <c r="AC15" s="19"/>
      <c r="AD15" s="19"/>
      <c r="AF15" s="19"/>
      <c r="AH15" s="17"/>
      <c r="AI15" s="19"/>
      <c r="AJ15" s="19"/>
      <c r="AK15" s="19"/>
      <c r="AL15" s="19"/>
      <c r="AM15" s="17"/>
      <c r="AN15" s="19"/>
      <c r="AO15" s="19"/>
      <c r="AP15" s="19"/>
      <c r="AQ15" s="19"/>
      <c r="AR15" s="19"/>
      <c r="AS15" s="21"/>
      <c r="AU15" s="19"/>
      <c r="AW15" s="22"/>
      <c r="AX15" s="19"/>
      <c r="AZ15" s="19"/>
      <c r="BC15" s="19"/>
      <c r="BD15" s="19"/>
      <c r="BE15" s="19"/>
      <c r="BF15" s="19"/>
      <c r="BG15" s="19"/>
      <c r="BH15" s="19"/>
      <c r="BI15" s="19"/>
      <c r="BJ15" s="19"/>
      <c r="BK15" s="13"/>
      <c r="BN15" s="19"/>
      <c r="BO15" s="17"/>
      <c r="BP15" s="19"/>
      <c r="BQ15" s="17"/>
      <c r="BR15" s="19"/>
      <c r="BS15" s="13"/>
      <c r="BU15" s="23"/>
      <c r="BV15" s="23"/>
      <c r="BW15" s="24"/>
      <c r="CA15" s="24"/>
      <c r="CB15" s="24"/>
      <c r="CC15" s="24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25"/>
      <c r="CW15" s="26"/>
    </row>
    <row r="16" spans="1:103" s="5" customFormat="1" x14ac:dyDescent="0.2">
      <c r="A16" s="2"/>
      <c r="B16" s="3"/>
      <c r="C16" s="4"/>
      <c r="E16" s="6"/>
      <c r="F16" s="7"/>
      <c r="G16" s="8"/>
      <c r="H16" s="9"/>
      <c r="I16" s="10"/>
      <c r="J16" s="11" t="s">
        <v>663</v>
      </c>
      <c r="K16" s="12">
        <v>3.15</v>
      </c>
      <c r="L16" s="13">
        <v>159</v>
      </c>
      <c r="M16" s="14">
        <f t="shared" si="0"/>
        <v>500.84999999999997</v>
      </c>
      <c r="N16" s="15"/>
      <c r="O16" s="16" t="s">
        <v>137</v>
      </c>
      <c r="P16" s="17">
        <f t="shared" si="4"/>
        <v>5.0084999999999997</v>
      </c>
      <c r="Q16" s="18"/>
      <c r="R16" s="17">
        <f t="shared" si="1"/>
        <v>505.85849999999999</v>
      </c>
      <c r="S16" s="19"/>
      <c r="T16" s="19"/>
      <c r="U16" s="19"/>
      <c r="V16" s="19"/>
      <c r="W16" s="17"/>
      <c r="X16" s="20"/>
      <c r="Y16" s="19"/>
      <c r="Z16" s="19"/>
      <c r="AA16" s="19"/>
      <c r="AB16" s="19"/>
      <c r="AC16" s="19"/>
      <c r="AD16" s="19"/>
      <c r="AF16" s="19"/>
      <c r="AH16" s="17"/>
      <c r="AI16" s="19"/>
      <c r="AJ16" s="19"/>
      <c r="AK16" s="19"/>
      <c r="AL16" s="19"/>
      <c r="AM16" s="17"/>
      <c r="AN16" s="19"/>
      <c r="AO16" s="19"/>
      <c r="AP16" s="19"/>
      <c r="AQ16" s="19"/>
      <c r="AR16" s="19"/>
      <c r="AS16" s="21"/>
      <c r="AU16" s="19"/>
      <c r="AW16" s="22"/>
      <c r="AX16" s="19"/>
      <c r="AZ16" s="19"/>
      <c r="BC16" s="19"/>
      <c r="BD16" s="19"/>
      <c r="BE16" s="19"/>
      <c r="BF16" s="19"/>
      <c r="BG16" s="19"/>
      <c r="BH16" s="19"/>
      <c r="BI16" s="19"/>
      <c r="BJ16" s="19"/>
      <c r="BK16" s="13"/>
      <c r="BN16" s="19"/>
      <c r="BO16" s="17"/>
      <c r="BP16" s="19"/>
      <c r="BQ16" s="17"/>
      <c r="BR16" s="19"/>
      <c r="BS16" s="13"/>
      <c r="BU16" s="23"/>
      <c r="BV16" s="23"/>
      <c r="BW16" s="24"/>
      <c r="CA16" s="24"/>
      <c r="CB16" s="24"/>
      <c r="CC16" s="24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25"/>
      <c r="CW16" s="26"/>
    </row>
    <row r="17" spans="1:101" s="5" customFormat="1" x14ac:dyDescent="0.2">
      <c r="A17" s="2"/>
      <c r="B17" s="3"/>
      <c r="C17" s="4"/>
      <c r="E17" s="6"/>
      <c r="F17" s="7"/>
      <c r="G17" s="8"/>
      <c r="H17" s="9"/>
      <c r="I17" s="10"/>
      <c r="J17" s="11" t="s">
        <v>663</v>
      </c>
      <c r="K17" s="12">
        <v>2.71</v>
      </c>
      <c r="L17" s="13">
        <v>159</v>
      </c>
      <c r="M17" s="14">
        <f t="shared" si="0"/>
        <v>430.89</v>
      </c>
      <c r="N17" s="15"/>
      <c r="O17" s="16" t="s">
        <v>137</v>
      </c>
      <c r="P17" s="17">
        <f t="shared" si="4"/>
        <v>4.3089000000000004</v>
      </c>
      <c r="Q17" s="18"/>
      <c r="R17" s="17">
        <f t="shared" si="1"/>
        <v>435.19889999999998</v>
      </c>
      <c r="S17" s="19"/>
      <c r="T17" s="19"/>
      <c r="U17" s="19"/>
      <c r="V17" s="19"/>
      <c r="W17" s="17"/>
      <c r="X17" s="20"/>
      <c r="Y17" s="19"/>
      <c r="Z17" s="19"/>
      <c r="AA17" s="19"/>
      <c r="AB17" s="19"/>
      <c r="AC17" s="19"/>
      <c r="AD17" s="19"/>
      <c r="AF17" s="19"/>
      <c r="AH17" s="17"/>
      <c r="AI17" s="19"/>
      <c r="AJ17" s="19"/>
      <c r="AK17" s="19"/>
      <c r="AL17" s="19"/>
      <c r="AM17" s="17"/>
      <c r="AN17" s="19"/>
      <c r="AO17" s="19"/>
      <c r="AP17" s="19"/>
      <c r="AQ17" s="19"/>
      <c r="AR17" s="19"/>
      <c r="AS17" s="21"/>
      <c r="AU17" s="19"/>
      <c r="AW17" s="22"/>
      <c r="AX17" s="19"/>
      <c r="AZ17" s="19"/>
      <c r="BC17" s="19"/>
      <c r="BD17" s="19"/>
      <c r="BE17" s="19"/>
      <c r="BF17" s="19"/>
      <c r="BG17" s="19"/>
      <c r="BH17" s="19"/>
      <c r="BI17" s="19"/>
      <c r="BJ17" s="19"/>
      <c r="BK17" s="13"/>
      <c r="BN17" s="19"/>
      <c r="BO17" s="17"/>
      <c r="BP17" s="19"/>
      <c r="BQ17" s="17"/>
      <c r="BR17" s="19"/>
      <c r="BS17" s="13"/>
      <c r="BU17" s="23"/>
      <c r="BV17" s="23"/>
      <c r="BW17" s="24"/>
      <c r="CA17" s="24"/>
      <c r="CB17" s="24"/>
      <c r="CC17" s="24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25"/>
      <c r="CW17" s="26"/>
    </row>
    <row r="18" spans="1:101" s="5" customFormat="1" x14ac:dyDescent="0.2">
      <c r="A18" s="2"/>
      <c r="B18" s="3"/>
      <c r="C18" s="4"/>
      <c r="E18" s="6"/>
      <c r="F18" s="7"/>
      <c r="G18" s="8"/>
      <c r="H18" s="9"/>
      <c r="I18" s="10"/>
      <c r="J18" s="11" t="s">
        <v>664</v>
      </c>
      <c r="K18" s="12">
        <v>0.32</v>
      </c>
      <c r="L18" s="13">
        <v>245</v>
      </c>
      <c r="M18" s="14">
        <f t="shared" si="0"/>
        <v>78.400000000000006</v>
      </c>
      <c r="N18" s="15"/>
      <c r="O18" s="16" t="s">
        <v>137</v>
      </c>
      <c r="P18" s="17">
        <f t="shared" si="4"/>
        <v>0.78400000000000003</v>
      </c>
      <c r="Q18" s="18"/>
      <c r="R18" s="17">
        <f t="shared" si="1"/>
        <v>79.184000000000012</v>
      </c>
      <c r="S18" s="19"/>
      <c r="T18" s="19"/>
      <c r="U18" s="19"/>
      <c r="V18" s="19"/>
      <c r="W18" s="17"/>
      <c r="X18" s="20"/>
      <c r="Y18" s="19"/>
      <c r="Z18" s="19"/>
      <c r="AA18" s="19"/>
      <c r="AB18" s="19"/>
      <c r="AC18" s="19"/>
      <c r="AD18" s="19"/>
      <c r="AF18" s="19"/>
      <c r="AH18" s="17"/>
      <c r="AI18" s="19"/>
      <c r="AJ18" s="19"/>
      <c r="AK18" s="19"/>
      <c r="AL18" s="19"/>
      <c r="AM18" s="17"/>
      <c r="AN18" s="19"/>
      <c r="AO18" s="19"/>
      <c r="AP18" s="19"/>
      <c r="AQ18" s="19"/>
      <c r="AR18" s="19"/>
      <c r="AS18" s="21"/>
      <c r="AU18" s="19"/>
      <c r="AW18" s="22"/>
      <c r="AX18" s="19"/>
      <c r="AZ18" s="19"/>
      <c r="BC18" s="19"/>
      <c r="BD18" s="19"/>
      <c r="BE18" s="19"/>
      <c r="BF18" s="19"/>
      <c r="BG18" s="19"/>
      <c r="BH18" s="19"/>
      <c r="BI18" s="19"/>
      <c r="BJ18" s="19"/>
      <c r="BK18" s="13"/>
      <c r="BN18" s="19"/>
      <c r="BO18" s="17"/>
      <c r="BP18" s="19"/>
      <c r="BQ18" s="17"/>
      <c r="BR18" s="19"/>
      <c r="BS18" s="13"/>
      <c r="BU18" s="23"/>
      <c r="BV18" s="23"/>
      <c r="BW18" s="24"/>
      <c r="CA18" s="24"/>
      <c r="CB18" s="24"/>
      <c r="CC18" s="24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25"/>
      <c r="CW18" s="26"/>
    </row>
    <row r="19" spans="1:101" s="5" customFormat="1" x14ac:dyDescent="0.2">
      <c r="A19" s="2"/>
      <c r="B19" s="3"/>
      <c r="C19" s="4"/>
      <c r="E19" s="6"/>
      <c r="F19" s="7"/>
      <c r="G19" s="8"/>
      <c r="H19" s="9"/>
      <c r="I19" s="10"/>
      <c r="J19" s="11" t="s">
        <v>664</v>
      </c>
      <c r="K19" s="12">
        <v>0.33500000000000002</v>
      </c>
      <c r="L19" s="13">
        <v>245</v>
      </c>
      <c r="M19" s="14">
        <f t="shared" si="0"/>
        <v>82.075000000000003</v>
      </c>
      <c r="N19" s="15"/>
      <c r="O19" s="16" t="s">
        <v>137</v>
      </c>
      <c r="P19" s="17">
        <f t="shared" si="4"/>
        <v>0.82075000000000009</v>
      </c>
      <c r="Q19" s="18"/>
      <c r="R19" s="17">
        <f t="shared" si="1"/>
        <v>82.895750000000007</v>
      </c>
      <c r="S19" s="19"/>
      <c r="T19" s="19"/>
      <c r="U19" s="19"/>
      <c r="V19" s="19"/>
      <c r="W19" s="17"/>
      <c r="X19" s="20"/>
      <c r="Y19" s="19"/>
      <c r="Z19" s="19"/>
      <c r="AA19" s="19"/>
      <c r="AB19" s="19"/>
      <c r="AC19" s="19"/>
      <c r="AD19" s="19"/>
      <c r="AF19" s="19"/>
      <c r="AH19" s="17"/>
      <c r="AI19" s="19"/>
      <c r="AJ19" s="19"/>
      <c r="AK19" s="19"/>
      <c r="AL19" s="19"/>
      <c r="AM19" s="17"/>
      <c r="AN19" s="19"/>
      <c r="AO19" s="19"/>
      <c r="AP19" s="19"/>
      <c r="AQ19" s="19"/>
      <c r="AR19" s="19"/>
      <c r="AS19" s="21"/>
      <c r="AU19" s="19"/>
      <c r="AW19" s="22"/>
      <c r="AX19" s="19"/>
      <c r="AZ19" s="19"/>
      <c r="BC19" s="19"/>
      <c r="BD19" s="19"/>
      <c r="BE19" s="19"/>
      <c r="BF19" s="19"/>
      <c r="BG19" s="19"/>
      <c r="BH19" s="19"/>
      <c r="BI19" s="19"/>
      <c r="BJ19" s="19"/>
      <c r="BK19" s="13"/>
      <c r="BN19" s="19"/>
      <c r="BO19" s="17"/>
      <c r="BP19" s="19"/>
      <c r="BQ19" s="17"/>
      <c r="BR19" s="19"/>
      <c r="BS19" s="13"/>
      <c r="BU19" s="23"/>
      <c r="BV19" s="23"/>
      <c r="BW19" s="24"/>
      <c r="CA19" s="24"/>
      <c r="CB19" s="24"/>
      <c r="CC19" s="24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25"/>
      <c r="CW19" s="26"/>
    </row>
    <row r="20" spans="1:101" s="5" customFormat="1" x14ac:dyDescent="0.2">
      <c r="A20" s="2"/>
      <c r="B20" s="3"/>
      <c r="C20" s="4"/>
      <c r="E20" s="6"/>
      <c r="F20" s="7"/>
      <c r="G20" s="8"/>
      <c r="H20" s="9"/>
      <c r="I20" s="10"/>
      <c r="J20" s="11" t="s">
        <v>665</v>
      </c>
      <c r="K20" s="12">
        <v>10</v>
      </c>
      <c r="L20" s="13">
        <v>52</v>
      </c>
      <c r="M20" s="14">
        <f t="shared" si="0"/>
        <v>520</v>
      </c>
      <c r="N20" s="15"/>
      <c r="O20" s="16" t="s">
        <v>111</v>
      </c>
      <c r="P20" s="17">
        <f t="shared" si="2"/>
        <v>4.6428571428571423</v>
      </c>
      <c r="Q20" s="18">
        <f t="shared" si="3"/>
        <v>55.714285714285701</v>
      </c>
      <c r="R20" s="17">
        <f t="shared" si="1"/>
        <v>468.92857142857139</v>
      </c>
      <c r="S20" s="19"/>
      <c r="T20" s="19"/>
      <c r="U20" s="19"/>
      <c r="V20" s="19"/>
      <c r="W20" s="17"/>
      <c r="X20" s="20"/>
      <c r="Y20" s="19"/>
      <c r="Z20" s="19"/>
      <c r="AA20" s="19"/>
      <c r="AB20" s="19"/>
      <c r="AC20" s="19"/>
      <c r="AD20" s="19"/>
      <c r="AF20" s="19"/>
      <c r="AH20" s="17"/>
      <c r="AI20" s="19"/>
      <c r="AJ20" s="19"/>
      <c r="AK20" s="19"/>
      <c r="AL20" s="19"/>
      <c r="AM20" s="17"/>
      <c r="AN20" s="19"/>
      <c r="AO20" s="19"/>
      <c r="AP20" s="19"/>
      <c r="AQ20" s="19"/>
      <c r="AR20" s="19"/>
      <c r="AS20" s="21"/>
      <c r="AU20" s="19"/>
      <c r="AW20" s="22"/>
      <c r="AX20" s="19"/>
      <c r="AZ20" s="19"/>
      <c r="BC20" s="19"/>
      <c r="BD20" s="19"/>
      <c r="BE20" s="19"/>
      <c r="BF20" s="19"/>
      <c r="BG20" s="19"/>
      <c r="BH20" s="19"/>
      <c r="BI20" s="19"/>
      <c r="BJ20" s="19"/>
      <c r="BK20" s="13"/>
      <c r="BN20" s="19"/>
      <c r="BO20" s="17"/>
      <c r="BP20" s="19"/>
      <c r="BQ20" s="17"/>
      <c r="BR20" s="19"/>
      <c r="BS20" s="13"/>
      <c r="BU20" s="23"/>
      <c r="BV20" s="23"/>
      <c r="BW20" s="24"/>
      <c r="CA20" s="24"/>
      <c r="CB20" s="24"/>
      <c r="CC20" s="24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25"/>
      <c r="CW20" s="26"/>
    </row>
    <row r="21" spans="1:101" s="5" customFormat="1" x14ac:dyDescent="0.2">
      <c r="A21" s="2"/>
      <c r="B21" s="3"/>
      <c r="C21" s="4"/>
      <c r="E21" s="6"/>
      <c r="F21" s="7"/>
      <c r="G21" s="8"/>
      <c r="H21" s="9"/>
      <c r="I21" s="10"/>
      <c r="J21" s="11" t="s">
        <v>666</v>
      </c>
      <c r="K21" s="12">
        <v>4</v>
      </c>
      <c r="L21" s="13">
        <v>71.5</v>
      </c>
      <c r="M21" s="14">
        <f t="shared" si="0"/>
        <v>286</v>
      </c>
      <c r="N21" s="15"/>
      <c r="O21" s="16" t="s">
        <v>111</v>
      </c>
      <c r="P21" s="17">
        <f t="shared" ref="P21:P22" si="5">M21/1.12*0.01</f>
        <v>2.5535714285714284</v>
      </c>
      <c r="Q21" s="18">
        <f t="shared" ref="Q21:Q22" si="6">M21/1.12*0.12</f>
        <v>30.642857142857139</v>
      </c>
      <c r="R21" s="17">
        <f t="shared" ref="R21:R25" si="7">M21+P21-Q21</f>
        <v>257.91071428571433</v>
      </c>
      <c r="S21" s="19"/>
      <c r="T21" s="19"/>
      <c r="U21" s="19"/>
      <c r="V21" s="19"/>
      <c r="W21" s="17"/>
      <c r="X21" s="20"/>
      <c r="Y21" s="19"/>
      <c r="Z21" s="19"/>
      <c r="AA21" s="19"/>
      <c r="AB21" s="19"/>
      <c r="AC21" s="19"/>
      <c r="AD21" s="19"/>
      <c r="AF21" s="19"/>
      <c r="AH21" s="17"/>
      <c r="AI21" s="19"/>
      <c r="AJ21" s="19"/>
      <c r="AK21" s="19"/>
      <c r="AL21" s="19"/>
      <c r="AM21" s="17"/>
      <c r="AN21" s="19"/>
      <c r="AO21" s="19"/>
      <c r="AP21" s="19"/>
      <c r="AQ21" s="19"/>
      <c r="AR21" s="19"/>
      <c r="AS21" s="21"/>
      <c r="AU21" s="19"/>
      <c r="AW21" s="22"/>
      <c r="AX21" s="19"/>
      <c r="AZ21" s="19"/>
      <c r="BC21" s="19"/>
      <c r="BD21" s="19"/>
      <c r="BE21" s="19"/>
      <c r="BF21" s="19"/>
      <c r="BG21" s="19"/>
      <c r="BH21" s="19"/>
      <c r="BI21" s="19"/>
      <c r="BJ21" s="19"/>
      <c r="BK21" s="13"/>
      <c r="BN21" s="19"/>
      <c r="BO21" s="17"/>
      <c r="BP21" s="19"/>
      <c r="BQ21" s="17"/>
      <c r="BR21" s="19"/>
      <c r="BS21" s="13"/>
      <c r="BU21" s="23"/>
      <c r="BV21" s="23"/>
      <c r="BW21" s="24"/>
      <c r="CA21" s="24"/>
      <c r="CB21" s="24"/>
      <c r="CC21" s="24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25"/>
      <c r="CW21" s="26"/>
    </row>
    <row r="22" spans="1:101" s="5" customFormat="1" x14ac:dyDescent="0.2">
      <c r="A22" s="2"/>
      <c r="B22" s="3"/>
      <c r="C22" s="4"/>
      <c r="E22" s="6"/>
      <c r="F22" s="7"/>
      <c r="G22" s="8"/>
      <c r="H22" s="9"/>
      <c r="I22" s="10"/>
      <c r="J22" s="11" t="s">
        <v>667</v>
      </c>
      <c r="K22" s="12">
        <v>4</v>
      </c>
      <c r="L22" s="13">
        <v>80.5</v>
      </c>
      <c r="M22" s="14">
        <f t="shared" si="0"/>
        <v>322</v>
      </c>
      <c r="N22" s="15"/>
      <c r="O22" s="16" t="s">
        <v>111</v>
      </c>
      <c r="P22" s="17">
        <f t="shared" si="5"/>
        <v>2.875</v>
      </c>
      <c r="Q22" s="18">
        <f t="shared" si="6"/>
        <v>34.5</v>
      </c>
      <c r="R22" s="17">
        <f t="shared" si="7"/>
        <v>290.375</v>
      </c>
      <c r="S22" s="19"/>
      <c r="T22" s="19"/>
      <c r="U22" s="19"/>
      <c r="V22" s="19"/>
      <c r="W22" s="17"/>
      <c r="X22" s="20"/>
      <c r="Y22" s="19"/>
      <c r="Z22" s="19"/>
      <c r="AA22" s="19"/>
      <c r="AB22" s="19"/>
      <c r="AC22" s="19"/>
      <c r="AD22" s="19"/>
      <c r="AF22" s="19"/>
      <c r="AH22" s="17"/>
      <c r="AI22" s="19"/>
      <c r="AJ22" s="19"/>
      <c r="AK22" s="19"/>
      <c r="AL22" s="19"/>
      <c r="AM22" s="17"/>
      <c r="AN22" s="19"/>
      <c r="AO22" s="19"/>
      <c r="AP22" s="19"/>
      <c r="AQ22" s="19"/>
      <c r="AR22" s="19"/>
      <c r="AS22" s="21"/>
      <c r="AU22" s="19"/>
      <c r="AW22" s="22"/>
      <c r="AX22" s="19"/>
      <c r="AZ22" s="19"/>
      <c r="BC22" s="19"/>
      <c r="BD22" s="19"/>
      <c r="BE22" s="19"/>
      <c r="BF22" s="19"/>
      <c r="BG22" s="19"/>
      <c r="BH22" s="19"/>
      <c r="BI22" s="19"/>
      <c r="BJ22" s="19"/>
      <c r="BK22" s="13"/>
      <c r="BN22" s="19"/>
      <c r="BO22" s="17"/>
      <c r="BP22" s="19"/>
      <c r="BQ22" s="17"/>
      <c r="BR22" s="19"/>
      <c r="BS22" s="13"/>
      <c r="BU22" s="23"/>
      <c r="BV22" s="23"/>
      <c r="BW22" s="24"/>
      <c r="CA22" s="24"/>
      <c r="CB22" s="24"/>
      <c r="CC22" s="24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25"/>
      <c r="CW22" s="26"/>
    </row>
    <row r="23" spans="1:101" s="5" customFormat="1" x14ac:dyDescent="0.2">
      <c r="A23" s="2"/>
      <c r="B23" s="3"/>
      <c r="C23" s="4"/>
      <c r="E23" s="6"/>
      <c r="F23" s="7"/>
      <c r="G23" s="8"/>
      <c r="H23" s="9"/>
      <c r="I23" s="10"/>
      <c r="J23" s="11" t="s">
        <v>668</v>
      </c>
      <c r="K23" s="12">
        <v>0.995</v>
      </c>
      <c r="L23" s="13">
        <v>60</v>
      </c>
      <c r="M23" s="14">
        <f t="shared" si="0"/>
        <v>59.7</v>
      </c>
      <c r="N23" s="15"/>
      <c r="O23" s="16" t="s">
        <v>137</v>
      </c>
      <c r="P23" s="17">
        <f>M23*0.01</f>
        <v>0.59700000000000009</v>
      </c>
      <c r="Q23" s="18"/>
      <c r="R23" s="17">
        <f t="shared" si="7"/>
        <v>60.297000000000004</v>
      </c>
      <c r="S23" s="19"/>
      <c r="T23" s="19"/>
      <c r="U23" s="19"/>
      <c r="V23" s="19"/>
      <c r="W23" s="17"/>
      <c r="X23" s="20"/>
      <c r="Y23" s="19"/>
      <c r="Z23" s="19"/>
      <c r="AA23" s="19"/>
      <c r="AB23" s="19"/>
      <c r="AC23" s="19"/>
      <c r="AD23" s="19"/>
      <c r="AF23" s="19"/>
      <c r="AH23" s="17"/>
      <c r="AI23" s="19"/>
      <c r="AJ23" s="19"/>
      <c r="AK23" s="19"/>
      <c r="AL23" s="19"/>
      <c r="AM23" s="17"/>
      <c r="AN23" s="19"/>
      <c r="AO23" s="19"/>
      <c r="AP23" s="19"/>
      <c r="AQ23" s="19"/>
      <c r="AR23" s="19"/>
      <c r="AS23" s="21"/>
      <c r="AU23" s="19"/>
      <c r="AW23" s="22"/>
      <c r="AX23" s="19"/>
      <c r="AZ23" s="19"/>
      <c r="BC23" s="19"/>
      <c r="BD23" s="19"/>
      <c r="BE23" s="19"/>
      <c r="BF23" s="19"/>
      <c r="BG23" s="19"/>
      <c r="BH23" s="19"/>
      <c r="BI23" s="19"/>
      <c r="BJ23" s="19"/>
      <c r="BK23" s="13"/>
      <c r="BN23" s="19"/>
      <c r="BO23" s="17"/>
      <c r="BP23" s="19"/>
      <c r="BQ23" s="17"/>
      <c r="BR23" s="19"/>
      <c r="BS23" s="13"/>
      <c r="BU23" s="23"/>
      <c r="BV23" s="23"/>
      <c r="BW23" s="24"/>
      <c r="CA23" s="24"/>
      <c r="CB23" s="24"/>
      <c r="CC23" s="24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25"/>
      <c r="CW23" s="26"/>
    </row>
    <row r="24" spans="1:101" s="5" customFormat="1" x14ac:dyDescent="0.2">
      <c r="A24" s="2"/>
      <c r="B24" s="3"/>
      <c r="C24" s="4"/>
      <c r="E24" s="6"/>
      <c r="F24" s="7"/>
      <c r="G24" s="8"/>
      <c r="H24" s="9"/>
      <c r="I24" s="10"/>
      <c r="J24" s="11" t="s">
        <v>668</v>
      </c>
      <c r="K24" s="12">
        <v>1.085</v>
      </c>
      <c r="L24" s="13">
        <v>60</v>
      </c>
      <c r="M24" s="14">
        <f t="shared" si="0"/>
        <v>65.099999999999994</v>
      </c>
      <c r="N24" s="15"/>
      <c r="O24" s="16" t="s">
        <v>137</v>
      </c>
      <c r="P24" s="17">
        <f>M24*0.01</f>
        <v>0.65099999999999991</v>
      </c>
      <c r="Q24" s="18"/>
      <c r="R24" s="17">
        <f t="shared" si="7"/>
        <v>65.750999999999991</v>
      </c>
      <c r="S24" s="19"/>
      <c r="T24" s="19"/>
      <c r="U24" s="19"/>
      <c r="V24" s="19"/>
      <c r="W24" s="17"/>
      <c r="X24" s="20"/>
      <c r="Y24" s="19"/>
      <c r="Z24" s="19"/>
      <c r="AA24" s="19"/>
      <c r="AB24" s="19"/>
      <c r="AC24" s="19"/>
      <c r="AD24" s="19"/>
      <c r="AF24" s="19"/>
      <c r="AH24" s="17"/>
      <c r="AI24" s="19"/>
      <c r="AJ24" s="19"/>
      <c r="AK24" s="19"/>
      <c r="AL24" s="19"/>
      <c r="AM24" s="17"/>
      <c r="AN24" s="19"/>
      <c r="AO24" s="19"/>
      <c r="AP24" s="19"/>
      <c r="AQ24" s="19"/>
      <c r="AR24" s="19"/>
      <c r="AS24" s="21"/>
      <c r="AU24" s="19"/>
      <c r="AW24" s="22"/>
      <c r="AX24" s="19"/>
      <c r="AZ24" s="19"/>
      <c r="BC24" s="19"/>
      <c r="BD24" s="19"/>
      <c r="BE24" s="19"/>
      <c r="BF24" s="19"/>
      <c r="BG24" s="19"/>
      <c r="BH24" s="19"/>
      <c r="BI24" s="19"/>
      <c r="BJ24" s="19"/>
      <c r="BK24" s="13"/>
      <c r="BN24" s="19"/>
      <c r="BO24" s="17"/>
      <c r="BP24" s="19"/>
      <c r="BQ24" s="17"/>
      <c r="BR24" s="19"/>
      <c r="BS24" s="13"/>
      <c r="BU24" s="23"/>
      <c r="BV24" s="23"/>
      <c r="BW24" s="24"/>
      <c r="CA24" s="24"/>
      <c r="CB24" s="24"/>
      <c r="CC24" s="24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25"/>
      <c r="CW24" s="26"/>
    </row>
    <row r="25" spans="1:101" s="5" customFormat="1" x14ac:dyDescent="0.2">
      <c r="A25" s="2"/>
      <c r="B25" s="3"/>
      <c r="C25" s="4"/>
      <c r="E25" s="6"/>
      <c r="F25" s="7"/>
      <c r="G25" s="8"/>
      <c r="H25" s="9"/>
      <c r="I25" s="10"/>
      <c r="J25" s="11" t="s">
        <v>668</v>
      </c>
      <c r="K25" s="12">
        <v>1.155</v>
      </c>
      <c r="L25" s="13">
        <v>60</v>
      </c>
      <c r="M25" s="14">
        <f t="shared" si="0"/>
        <v>69.3</v>
      </c>
      <c r="N25" s="15"/>
      <c r="O25" s="16" t="s">
        <v>137</v>
      </c>
      <c r="P25" s="17">
        <f>M25*0.01</f>
        <v>0.69299999999999995</v>
      </c>
      <c r="Q25" s="18"/>
      <c r="R25" s="17">
        <f t="shared" si="7"/>
        <v>69.992999999999995</v>
      </c>
      <c r="S25" s="19"/>
      <c r="T25" s="19"/>
      <c r="U25" s="19"/>
      <c r="V25" s="19"/>
      <c r="W25" s="17"/>
      <c r="X25" s="20"/>
      <c r="Y25" s="19"/>
      <c r="Z25" s="19"/>
      <c r="AA25" s="19"/>
      <c r="AB25" s="19"/>
      <c r="AC25" s="19"/>
      <c r="AD25" s="19"/>
      <c r="AF25" s="19"/>
      <c r="AH25" s="17"/>
      <c r="AI25" s="19"/>
      <c r="AJ25" s="19"/>
      <c r="AK25" s="19"/>
      <c r="AL25" s="19"/>
      <c r="AM25" s="17"/>
      <c r="AN25" s="19"/>
      <c r="AO25" s="19"/>
      <c r="AP25" s="19"/>
      <c r="AQ25" s="19"/>
      <c r="AR25" s="19"/>
      <c r="AS25" s="21"/>
      <c r="AU25" s="19"/>
      <c r="AW25" s="22"/>
      <c r="AX25" s="19"/>
      <c r="AZ25" s="19"/>
      <c r="BC25" s="19"/>
      <c r="BD25" s="19"/>
      <c r="BE25" s="19"/>
      <c r="BF25" s="19"/>
      <c r="BG25" s="19"/>
      <c r="BH25" s="19"/>
      <c r="BI25" s="19"/>
      <c r="BJ25" s="19"/>
      <c r="BK25" s="13"/>
      <c r="BN25" s="19"/>
      <c r="BO25" s="17"/>
      <c r="BP25" s="19"/>
      <c r="BQ25" s="17"/>
      <c r="BR25" s="19"/>
      <c r="BS25" s="13"/>
      <c r="BU25" s="23"/>
      <c r="BV25" s="23"/>
      <c r="BW25" s="24"/>
      <c r="CA25" s="24"/>
      <c r="CB25" s="24"/>
      <c r="CC25" s="24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25"/>
      <c r="CW25" s="26"/>
    </row>
    <row r="26" spans="1:101" s="30" customFormat="1" ht="11.25" x14ac:dyDescent="0.2">
      <c r="A26" s="27"/>
      <c r="B26" s="28"/>
      <c r="C26" s="29"/>
      <c r="E26" s="31"/>
      <c r="F26" s="32"/>
      <c r="G26" s="33"/>
      <c r="H26" s="34"/>
      <c r="I26" s="34"/>
      <c r="J26" s="35"/>
      <c r="K26" s="36"/>
      <c r="L26" s="37"/>
      <c r="M26" s="38">
        <f>SUM(M5:M25)</f>
        <v>4300.3050000000003</v>
      </c>
      <c r="N26" s="38">
        <f>M26</f>
        <v>4300.3050000000003</v>
      </c>
      <c r="O26" s="39" t="s">
        <v>111</v>
      </c>
      <c r="P26" s="38">
        <f>SUM(P5:P25)</f>
        <v>41.174121428571432</v>
      </c>
      <c r="Q26" s="38">
        <f>SUM(Q5:Q25)</f>
        <v>177.34821428571428</v>
      </c>
      <c r="R26" s="38">
        <f>SUM(R5:R25)</f>
        <v>4164.1309071428577</v>
      </c>
      <c r="S26" s="38">
        <f t="shared" ref="S26:AD26" si="8">SUM(S5:S5)</f>
        <v>0</v>
      </c>
      <c r="T26" s="38">
        <f t="shared" si="8"/>
        <v>0</v>
      </c>
      <c r="U26" s="38">
        <f t="shared" si="8"/>
        <v>0</v>
      </c>
      <c r="V26" s="38">
        <f t="shared" si="8"/>
        <v>0</v>
      </c>
      <c r="W26" s="38">
        <f t="shared" si="8"/>
        <v>0</v>
      </c>
      <c r="X26" s="38">
        <f t="shared" si="8"/>
        <v>0</v>
      </c>
      <c r="Y26" s="38">
        <f t="shared" si="8"/>
        <v>0</v>
      </c>
      <c r="Z26" s="38">
        <f t="shared" si="8"/>
        <v>0</v>
      </c>
      <c r="AA26" s="38">
        <f t="shared" si="8"/>
        <v>0</v>
      </c>
      <c r="AB26" s="38">
        <f t="shared" si="8"/>
        <v>0</v>
      </c>
      <c r="AC26" s="38">
        <f t="shared" si="8"/>
        <v>0</v>
      </c>
      <c r="AD26" s="38">
        <f t="shared" si="8"/>
        <v>0</v>
      </c>
      <c r="AF26" s="38">
        <f>SUM(AF5:AF5)</f>
        <v>0</v>
      </c>
      <c r="AH26" s="38">
        <f t="shared" ref="AH26:AZ26" si="9">SUM(AH5:AH5)</f>
        <v>0</v>
      </c>
      <c r="AI26" s="38">
        <f t="shared" si="9"/>
        <v>0</v>
      </c>
      <c r="AJ26" s="38">
        <f t="shared" si="9"/>
        <v>0</v>
      </c>
      <c r="AK26" s="38">
        <f t="shared" si="9"/>
        <v>0</v>
      </c>
      <c r="AL26" s="38">
        <f t="shared" si="9"/>
        <v>0</v>
      </c>
      <c r="AM26" s="38">
        <f t="shared" si="9"/>
        <v>0</v>
      </c>
      <c r="AN26" s="38">
        <f t="shared" si="9"/>
        <v>0</v>
      </c>
      <c r="AO26" s="38">
        <f t="shared" si="9"/>
        <v>0</v>
      </c>
      <c r="AP26" s="38">
        <f t="shared" si="9"/>
        <v>0</v>
      </c>
      <c r="AQ26" s="38">
        <f t="shared" si="9"/>
        <v>0</v>
      </c>
      <c r="AR26" s="38">
        <f t="shared" si="9"/>
        <v>0</v>
      </c>
      <c r="AS26" s="38">
        <f t="shared" si="9"/>
        <v>0</v>
      </c>
      <c r="AT26" s="38">
        <f t="shared" si="9"/>
        <v>0</v>
      </c>
      <c r="AU26" s="38">
        <f t="shared" si="9"/>
        <v>0</v>
      </c>
      <c r="AV26" s="38">
        <f t="shared" si="9"/>
        <v>0</v>
      </c>
      <c r="AW26" s="38">
        <f t="shared" si="9"/>
        <v>0</v>
      </c>
      <c r="AX26" s="38">
        <f t="shared" si="9"/>
        <v>0</v>
      </c>
      <c r="AY26" s="38">
        <f t="shared" si="9"/>
        <v>0</v>
      </c>
      <c r="AZ26" s="38">
        <f t="shared" si="9"/>
        <v>0</v>
      </c>
      <c r="BB26" s="38">
        <f t="shared" ref="BB26:CV26" si="10">SUM(BB5:BB5)</f>
        <v>0</v>
      </c>
      <c r="BC26" s="38">
        <f t="shared" si="10"/>
        <v>0</v>
      </c>
      <c r="BD26" s="38">
        <f t="shared" si="10"/>
        <v>0</v>
      </c>
      <c r="BE26" s="38">
        <f t="shared" si="10"/>
        <v>0</v>
      </c>
      <c r="BF26" s="38">
        <f t="shared" si="10"/>
        <v>0</v>
      </c>
      <c r="BG26" s="38">
        <f t="shared" si="10"/>
        <v>0</v>
      </c>
      <c r="BH26" s="38">
        <f t="shared" si="10"/>
        <v>0</v>
      </c>
      <c r="BI26" s="38">
        <f t="shared" si="10"/>
        <v>0</v>
      </c>
      <c r="BJ26" s="38">
        <f t="shared" si="10"/>
        <v>0</v>
      </c>
      <c r="BK26" s="38">
        <f t="shared" si="10"/>
        <v>0</v>
      </c>
      <c r="BL26" s="38">
        <f t="shared" si="10"/>
        <v>0</v>
      </c>
      <c r="BM26" s="38">
        <f t="shared" si="10"/>
        <v>0</v>
      </c>
      <c r="BN26" s="38">
        <f t="shared" si="10"/>
        <v>0</v>
      </c>
      <c r="BO26" s="38">
        <f t="shared" si="10"/>
        <v>0</v>
      </c>
      <c r="BP26" s="38">
        <f t="shared" si="10"/>
        <v>0</v>
      </c>
      <c r="BQ26" s="38">
        <f t="shared" si="10"/>
        <v>0</v>
      </c>
      <c r="BR26" s="38">
        <f t="shared" si="10"/>
        <v>0</v>
      </c>
      <c r="BS26" s="38">
        <f t="shared" si="10"/>
        <v>0</v>
      </c>
      <c r="BT26" s="38">
        <f t="shared" si="10"/>
        <v>0</v>
      </c>
      <c r="BU26" s="38">
        <f t="shared" si="10"/>
        <v>0</v>
      </c>
      <c r="BV26" s="38">
        <f t="shared" si="10"/>
        <v>0</v>
      </c>
      <c r="BW26" s="38">
        <f t="shared" si="10"/>
        <v>0</v>
      </c>
      <c r="BX26" s="38">
        <f t="shared" si="10"/>
        <v>0</v>
      </c>
      <c r="BY26" s="38">
        <f t="shared" si="10"/>
        <v>0</v>
      </c>
      <c r="BZ26" s="38">
        <f t="shared" si="10"/>
        <v>0</v>
      </c>
      <c r="CA26" s="38">
        <f t="shared" si="10"/>
        <v>0</v>
      </c>
      <c r="CB26" s="38">
        <f t="shared" si="10"/>
        <v>0</v>
      </c>
      <c r="CC26" s="38">
        <f t="shared" si="10"/>
        <v>0</v>
      </c>
      <c r="CD26" s="38">
        <f t="shared" si="10"/>
        <v>0</v>
      </c>
      <c r="CE26" s="38">
        <f t="shared" si="10"/>
        <v>0</v>
      </c>
      <c r="CF26" s="38">
        <f t="shared" si="10"/>
        <v>0</v>
      </c>
      <c r="CG26" s="38">
        <f t="shared" si="10"/>
        <v>0</v>
      </c>
      <c r="CH26" s="38">
        <f t="shared" si="10"/>
        <v>0</v>
      </c>
      <c r="CI26" s="38">
        <f t="shared" si="10"/>
        <v>0</v>
      </c>
      <c r="CJ26" s="38">
        <f t="shared" si="10"/>
        <v>0</v>
      </c>
      <c r="CK26" s="38">
        <f t="shared" si="10"/>
        <v>0</v>
      </c>
      <c r="CL26" s="38">
        <f t="shared" si="10"/>
        <v>0</v>
      </c>
      <c r="CM26" s="38">
        <f t="shared" si="10"/>
        <v>0</v>
      </c>
      <c r="CN26" s="38">
        <f t="shared" si="10"/>
        <v>0</v>
      </c>
      <c r="CO26" s="38">
        <f t="shared" si="10"/>
        <v>0</v>
      </c>
      <c r="CP26" s="38">
        <f t="shared" si="10"/>
        <v>0</v>
      </c>
      <c r="CQ26" s="38">
        <f t="shared" si="10"/>
        <v>0</v>
      </c>
      <c r="CR26" s="38">
        <f t="shared" si="10"/>
        <v>0</v>
      </c>
      <c r="CS26" s="38">
        <f t="shared" si="10"/>
        <v>0</v>
      </c>
      <c r="CT26" s="38">
        <f t="shared" si="10"/>
        <v>0</v>
      </c>
      <c r="CU26" s="38">
        <f t="shared" si="10"/>
        <v>0</v>
      </c>
      <c r="CV26" s="38">
        <f t="shared" si="10"/>
        <v>0</v>
      </c>
      <c r="CW26" s="40"/>
    </row>
    <row r="27" spans="1:101" customFormat="1" ht="15" x14ac:dyDescent="0.25"/>
    <row r="28" spans="1:101" customFormat="1" ht="15" x14ac:dyDescent="0.25">
      <c r="A28" s="41" t="str">
        <f>E5</f>
        <v>SAVEMORE MARKET</v>
      </c>
      <c r="B28" s="42"/>
      <c r="C28" s="43"/>
      <c r="D28" s="44"/>
      <c r="E28" s="44"/>
      <c r="F28" s="45"/>
      <c r="G28" s="46"/>
      <c r="H28" s="47"/>
      <c r="I28" s="48"/>
      <c r="J28" s="49"/>
      <c r="K28" s="50"/>
      <c r="L28" s="51"/>
      <c r="M28" s="52"/>
      <c r="N28" s="53"/>
      <c r="O28" s="54"/>
      <c r="P28" s="55"/>
    </row>
    <row r="29" spans="1:101" customFormat="1" ht="15" x14ac:dyDescent="0.25">
      <c r="A29" s="56"/>
      <c r="B29" s="57"/>
      <c r="C29" s="58"/>
      <c r="D29" s="59" t="s">
        <v>112</v>
      </c>
      <c r="E29" s="59" t="s">
        <v>113</v>
      </c>
      <c r="F29" s="60" t="s">
        <v>114</v>
      </c>
      <c r="G29" s="61"/>
      <c r="H29" s="62"/>
      <c r="I29" s="63"/>
      <c r="J29" s="64"/>
      <c r="K29" s="1"/>
      <c r="L29" s="65"/>
      <c r="M29" s="66"/>
      <c r="N29" s="67"/>
      <c r="O29" s="68"/>
      <c r="P29" s="69"/>
    </row>
    <row r="30" spans="1:101" customFormat="1" ht="13.5" customHeight="1" x14ac:dyDescent="0.25">
      <c r="A30" s="70" t="s">
        <v>151</v>
      </c>
      <c r="B30" s="71"/>
      <c r="C30" s="72"/>
      <c r="D30" s="73">
        <f>R26</f>
        <v>4164.1309071428577</v>
      </c>
      <c r="E30" s="74"/>
      <c r="F30" s="75" t="str">
        <f>"In payment for inventory food for ala carte using housefund received on " &amp; TEXT(A5, "mmmm dd, yyyy") &amp; " with SI#20-00008278 PR#30090 RR#" &amp; " CPO#" &amp;B5</f>
        <v>In payment for inventory food for ala carte using housefund received on August 10, 2025 with SI#20-00008278 PR#30090 RR# CPO#18994</v>
      </c>
      <c r="G30" s="76"/>
      <c r="H30" s="77"/>
      <c r="I30" s="77"/>
      <c r="J30" s="76"/>
      <c r="K30" s="1"/>
      <c r="L30" s="65"/>
      <c r="M30" s="78"/>
      <c r="N30" s="79"/>
      <c r="O30" s="80"/>
      <c r="P30" s="81"/>
    </row>
    <row r="31" spans="1:101" customFormat="1" ht="15" x14ac:dyDescent="0.25">
      <c r="A31" s="70" t="s">
        <v>115</v>
      </c>
      <c r="B31" s="71"/>
      <c r="C31" s="72"/>
      <c r="D31" s="73">
        <f>Q26</f>
        <v>177.34821428571428</v>
      </c>
      <c r="E31" s="74"/>
      <c r="F31" s="64" t="str">
        <f>"Recording input VAT for expenses and purchases made using house fund for " &amp; TEXT(A5, "mmmm dd, yyyy")</f>
        <v>Recording input VAT for expenses and purchases made using house fund for August 10, 2025</v>
      </c>
      <c r="G31" s="82"/>
      <c r="H31" s="83"/>
      <c r="I31" s="84"/>
      <c r="J31" s="82"/>
      <c r="K31" s="1"/>
      <c r="L31" s="65"/>
      <c r="M31" s="66"/>
      <c r="N31" s="67"/>
      <c r="O31" s="68"/>
      <c r="P31" s="69"/>
    </row>
    <row r="32" spans="1:101" customFormat="1" ht="15" x14ac:dyDescent="0.25">
      <c r="A32" s="85" t="s">
        <v>116</v>
      </c>
      <c r="B32" s="86"/>
      <c r="C32" s="87"/>
      <c r="D32" s="88"/>
      <c r="E32" s="74">
        <f>P26</f>
        <v>41.174121428571432</v>
      </c>
      <c r="F32" s="89" t="str">
        <f>"Recording the tax withheld for expenses and purchases using the house fund received on " &amp; TEXT(A5, "mmmm dd, yyyy")</f>
        <v>Recording the tax withheld for expenses and purchases using the house fund received on August 10, 2025</v>
      </c>
      <c r="G32" s="82"/>
      <c r="H32" s="83"/>
      <c r="I32" s="84"/>
      <c r="J32" s="82"/>
      <c r="K32" s="1"/>
      <c r="L32" s="65"/>
      <c r="M32" s="66"/>
      <c r="N32" s="67"/>
      <c r="O32" s="68"/>
      <c r="P32" s="69"/>
    </row>
    <row r="33" spans="1:16" customFormat="1" ht="15" x14ac:dyDescent="0.25">
      <c r="A33" s="70" t="s">
        <v>117</v>
      </c>
      <c r="B33" s="86"/>
      <c r="C33" s="87"/>
      <c r="D33" s="90"/>
      <c r="E33" s="91">
        <f>M26</f>
        <v>4300.3050000000003</v>
      </c>
      <c r="F33" s="89" t="str">
        <f>"Recording house fund expenses for replenishment on " &amp; TEXT(A5, "mmmm dd, yyyy")</f>
        <v>Recording house fund expenses for replenishment on August 10, 2025</v>
      </c>
      <c r="G33" s="82"/>
      <c r="H33" s="83"/>
      <c r="I33" s="84"/>
      <c r="J33" s="82"/>
      <c r="K33" s="1"/>
      <c r="L33" s="65"/>
      <c r="M33" s="66"/>
      <c r="N33" s="67"/>
      <c r="O33" s="68"/>
      <c r="P33" s="69"/>
    </row>
    <row r="34" spans="1:16" customFormat="1" ht="15" x14ac:dyDescent="0.25">
      <c r="A34" s="85"/>
      <c r="B34" s="86"/>
      <c r="C34" s="87"/>
      <c r="D34" s="88">
        <f>SUM(D30:D31)</f>
        <v>4341.4791214285724</v>
      </c>
      <c r="E34" s="88">
        <f>SUM(E30:E33)</f>
        <v>4341.4791214285715</v>
      </c>
      <c r="F34" s="92"/>
      <c r="G34" s="92"/>
      <c r="H34" s="93"/>
      <c r="I34" s="94"/>
      <c r="J34" s="92"/>
      <c r="K34" s="1"/>
      <c r="L34" s="65"/>
      <c r="M34" s="66"/>
      <c r="N34" s="67"/>
      <c r="O34" s="68"/>
      <c r="P34" s="69"/>
    </row>
    <row r="35" spans="1:16" customFormat="1" ht="15" x14ac:dyDescent="0.25">
      <c r="A35" s="95" t="s">
        <v>118</v>
      </c>
      <c r="B35" s="96" t="str">
        <f>"To record house fund expenses on " &amp; TEXT(A5, "mmmm dd, yyyy") &amp; " with PCV#" &amp; C5</f>
        <v>To record house fund expenses on August 10, 2025 with PCV#20987</v>
      </c>
      <c r="C35" s="97"/>
      <c r="D35" s="98"/>
      <c r="E35" s="98"/>
      <c r="F35" s="98"/>
      <c r="G35" s="92"/>
      <c r="H35" s="93"/>
      <c r="I35" s="94"/>
      <c r="J35" s="92"/>
      <c r="K35" s="1"/>
      <c r="L35" s="65"/>
      <c r="M35" s="66"/>
      <c r="N35" s="67"/>
      <c r="O35" s="68"/>
      <c r="P3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04956-BAD8-4F29-97D5-E70CD3367AE9}">
  <sheetPr>
    <tabColor rgb="FF50456B"/>
  </sheetPr>
  <dimension ref="A1:CY15"/>
  <sheetViews>
    <sheetView workbookViewId="0">
      <selection activeCell="B12" sqref="B12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45890</v>
      </c>
      <c r="B5" s="3" t="s">
        <v>761</v>
      </c>
      <c r="C5" s="4" t="s">
        <v>872</v>
      </c>
      <c r="D5" s="5" t="s">
        <v>122</v>
      </c>
      <c r="E5" s="6" t="s">
        <v>370</v>
      </c>
      <c r="F5" s="7" t="s">
        <v>336</v>
      </c>
      <c r="G5" s="8" t="s">
        <v>762</v>
      </c>
      <c r="H5" s="9" t="s">
        <v>763</v>
      </c>
      <c r="I5" s="10"/>
      <c r="J5" s="11" t="s">
        <v>764</v>
      </c>
      <c r="K5" s="12">
        <v>2</v>
      </c>
      <c r="L5" s="13">
        <v>217.5</v>
      </c>
      <c r="M5" s="14">
        <f t="shared" ref="M5" si="0">L5*K5</f>
        <v>435</v>
      </c>
      <c r="N5" s="15"/>
      <c r="O5" s="16" t="s">
        <v>111</v>
      </c>
      <c r="P5" s="17">
        <f>M5/1.12*0.01</f>
        <v>3.8839285714285712</v>
      </c>
      <c r="Q5" s="18">
        <f>M5/1.12*0.12</f>
        <v>46.607142857142854</v>
      </c>
      <c r="R5" s="17">
        <f>M5+P5-Q5</f>
        <v>392.27678571428572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435</v>
      </c>
      <c r="N6" s="38">
        <f>M6</f>
        <v>435</v>
      </c>
      <c r="O6" s="39" t="s">
        <v>111</v>
      </c>
      <c r="P6" s="38">
        <f>SUM(P5:P5)</f>
        <v>3.8839285714285712</v>
      </c>
      <c r="Q6" s="38">
        <f>SUM(Q5:Q5)</f>
        <v>46.607142857142854</v>
      </c>
      <c r="R6" s="38">
        <f>SUM(R5:R5)</f>
        <v>392.27678571428572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SAVEMORE MARKET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392.27678571428572</v>
      </c>
      <c r="E10" s="74"/>
      <c r="F10" s="75" t="str">
        <f>"In payment for 2 pcs of sweet bagoong using housefund received on " &amp; TEXT(A5, "mmmm dd, yyyy") &amp; " with SI#03-00311205 RR#" &amp; " CPO#" &amp;B5</f>
        <v>In payment for 2 pcs of sweet bagoong using housefund received on August 21, 2025 with SI#03-00311205 RR# CPO#18999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46.607142857142854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21,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3.8839285714285712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21,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435</v>
      </c>
      <c r="F13" s="89" t="str">
        <f>"Recording house fund expenses for replenishment on " &amp; TEXT(A5, "mmmm dd, yyyy")</f>
        <v>Recording house fund expenses for replenishment on August 21,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438.88392857142856</v>
      </c>
      <c r="E14" s="88">
        <f>SUM(E10:E13)</f>
        <v>438.88392857142856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21, 2025 with PCV#20988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ED9C0-0C06-4257-A381-FAE5006396FD}">
  <sheetPr>
    <tabColor rgb="FF50456B"/>
  </sheetPr>
  <dimension ref="A1:CY15"/>
  <sheetViews>
    <sheetView workbookViewId="0">
      <selection activeCell="C12" sqref="C12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45888</v>
      </c>
      <c r="B5" s="3" t="s">
        <v>761</v>
      </c>
      <c r="C5" s="4" t="s">
        <v>873</v>
      </c>
      <c r="D5" s="5" t="s">
        <v>122</v>
      </c>
      <c r="E5" s="6" t="s">
        <v>765</v>
      </c>
      <c r="F5" s="7"/>
      <c r="G5" s="8"/>
      <c r="H5" s="9"/>
      <c r="I5" s="10" t="s">
        <v>766</v>
      </c>
      <c r="J5" s="11"/>
      <c r="K5" s="12">
        <v>3</v>
      </c>
      <c r="L5" s="13">
        <v>120</v>
      </c>
      <c r="M5" s="14">
        <f t="shared" ref="M5" si="0">L5*K5</f>
        <v>360</v>
      </c>
      <c r="N5" s="15"/>
      <c r="O5" s="16" t="s">
        <v>137</v>
      </c>
      <c r="P5" s="17"/>
      <c r="Q5" s="18"/>
      <c r="R5" s="17">
        <f>M5+P5-Q5</f>
        <v>360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360</v>
      </c>
      <c r="N6" s="38">
        <f>M6</f>
        <v>360</v>
      </c>
      <c r="O6" s="39" t="s">
        <v>137</v>
      </c>
      <c r="P6" s="38"/>
      <c r="Q6" s="38"/>
      <c r="R6" s="38">
        <f>SUM(R5:R5)</f>
        <v>360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LITA STORE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360</v>
      </c>
      <c r="E10" s="74"/>
      <c r="F10" s="75" t="str">
        <f>"In payment for 3 kilo of potato using housefund received on " &amp; TEXT(A5, "mmmm dd, yyyy") &amp; " with RR#5251" &amp; " CPO#" &amp;B5</f>
        <v>In payment for 3 kilo of potato using housefund received on August 19, 2025 with RR#5251 CPO#18999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19,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19,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360</v>
      </c>
      <c r="F13" s="89" t="str">
        <f>"Recording house fund expenses for replenishment on " &amp; TEXT(A5, "mmmm dd, yyyy")</f>
        <v>Recording house fund expenses for replenishment on August 19,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360</v>
      </c>
      <c r="E14" s="88">
        <f>SUM(E10:E13)</f>
        <v>360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19, 2025 with PCV#20989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D62EE-2765-46FE-AF36-55E04F491C2D}">
  <sheetPr>
    <tabColor rgb="FF50456B"/>
  </sheetPr>
  <dimension ref="A1:CY15"/>
  <sheetViews>
    <sheetView workbookViewId="0">
      <selection activeCell="C11" sqref="C11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45888</v>
      </c>
      <c r="B5" s="3" t="s">
        <v>761</v>
      </c>
      <c r="C5" s="4" t="s">
        <v>874</v>
      </c>
      <c r="D5" s="5" t="s">
        <v>122</v>
      </c>
      <c r="E5" s="6" t="s">
        <v>767</v>
      </c>
      <c r="F5" s="7" t="s">
        <v>229</v>
      </c>
      <c r="G5" s="8"/>
      <c r="H5" s="9">
        <v>451</v>
      </c>
      <c r="I5" s="10" t="s">
        <v>768</v>
      </c>
      <c r="J5" s="11" t="s">
        <v>769</v>
      </c>
      <c r="K5" s="12">
        <v>3</v>
      </c>
      <c r="L5" s="13">
        <v>190</v>
      </c>
      <c r="M5" s="14">
        <f t="shared" ref="M5" si="0">L5*K5</f>
        <v>570</v>
      </c>
      <c r="N5" s="15"/>
      <c r="O5" s="16" t="s">
        <v>137</v>
      </c>
      <c r="P5" s="17"/>
      <c r="Q5" s="18"/>
      <c r="R5" s="17">
        <f>M5+P5-Q5</f>
        <v>570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570</v>
      </c>
      <c r="N6" s="38">
        <f>M6</f>
        <v>570</v>
      </c>
      <c r="O6" s="39" t="s">
        <v>137</v>
      </c>
      <c r="P6" s="38"/>
      <c r="Q6" s="38"/>
      <c r="R6" s="38">
        <f>SUM(R5:R5)</f>
        <v>570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JIGA FARMS WHOLESALE/RETAIL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570</v>
      </c>
      <c r="E10" s="74"/>
      <c r="F10" s="75" t="str">
        <f>"In payment for 3 kilo of bellpepper using housefund received on " &amp; TEXT(A5, "mmmm dd, yyyy") &amp; " with SI#451 PR#30486 RR#5250" &amp; " CPO#" &amp;B5</f>
        <v>In payment for 3 kilo of bellpepper using housefund received on August 19, 2025 with SI#451 PR#30486 RR#5250 CPO#18999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19,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19,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570</v>
      </c>
      <c r="F13" s="89" t="str">
        <f>"Recording house fund expenses for replenishment on " &amp; TEXT(A5, "mmmm dd, yyyy")</f>
        <v>Recording house fund expenses for replenishment on August 19,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570</v>
      </c>
      <c r="E14" s="88">
        <f>SUM(E10:E13)</f>
        <v>570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19, 2025 with PCV#20990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9EC3A-2FED-4039-A7FF-91FE41EB195A}">
  <sheetPr>
    <tabColor rgb="FF50456B"/>
  </sheetPr>
  <dimension ref="A1:CY17"/>
  <sheetViews>
    <sheetView workbookViewId="0">
      <selection activeCell="C16" sqref="C1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45888</v>
      </c>
      <c r="B5" s="3" t="s">
        <v>761</v>
      </c>
      <c r="C5" s="4" t="s">
        <v>875</v>
      </c>
      <c r="D5" s="5" t="s">
        <v>122</v>
      </c>
      <c r="E5" s="6" t="s">
        <v>770</v>
      </c>
      <c r="F5" s="7" t="s">
        <v>229</v>
      </c>
      <c r="G5" s="8" t="s">
        <v>440</v>
      </c>
      <c r="H5" s="9">
        <v>141643</v>
      </c>
      <c r="I5" s="10" t="s">
        <v>771</v>
      </c>
      <c r="J5" s="11" t="s">
        <v>772</v>
      </c>
      <c r="K5" s="12">
        <v>1</v>
      </c>
      <c r="L5" s="13">
        <v>1125</v>
      </c>
      <c r="M5" s="14">
        <f t="shared" ref="M5:M7" si="0">L5*K5</f>
        <v>1125</v>
      </c>
      <c r="N5" s="15"/>
      <c r="O5" s="16" t="s">
        <v>111</v>
      </c>
      <c r="P5" s="17">
        <f>M5/1.12*0.01</f>
        <v>10.044642857142858</v>
      </c>
      <c r="Q5" s="18">
        <f>M5/1.12*0.12</f>
        <v>120.53571428571428</v>
      </c>
      <c r="R5" s="17">
        <f>M5+P5-Q5</f>
        <v>1014.5089285714287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773</v>
      </c>
      <c r="K6" s="12">
        <v>1</v>
      </c>
      <c r="L6" s="13">
        <v>1125</v>
      </c>
      <c r="M6" s="14">
        <f t="shared" si="0"/>
        <v>1125</v>
      </c>
      <c r="N6" s="15"/>
      <c r="O6" s="16" t="s">
        <v>111</v>
      </c>
      <c r="P6" s="17">
        <f t="shared" ref="P6:P7" si="1">M6/1.12*0.01</f>
        <v>10.044642857142858</v>
      </c>
      <c r="Q6" s="18">
        <f t="shared" ref="Q6:Q7" si="2">M6/1.12*0.12</f>
        <v>120.53571428571428</v>
      </c>
      <c r="R6" s="17">
        <f t="shared" ref="R6:R7" si="3">M6+P6-Q6</f>
        <v>1014.5089285714287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5" customFormat="1" x14ac:dyDescent="0.2">
      <c r="A7" s="2"/>
      <c r="B7" s="3"/>
      <c r="C7" s="4"/>
      <c r="E7" s="6"/>
      <c r="F7" s="7"/>
      <c r="G7" s="8"/>
      <c r="H7" s="9"/>
      <c r="I7" s="10"/>
      <c r="J7" s="11" t="s">
        <v>774</v>
      </c>
      <c r="K7" s="12">
        <v>1</v>
      </c>
      <c r="L7" s="13">
        <v>215</v>
      </c>
      <c r="M7" s="14">
        <f t="shared" si="0"/>
        <v>215</v>
      </c>
      <c r="N7" s="15"/>
      <c r="O7" s="16" t="s">
        <v>111</v>
      </c>
      <c r="P7" s="17">
        <f t="shared" si="1"/>
        <v>1.919642857142857</v>
      </c>
      <c r="Q7" s="18">
        <f t="shared" si="2"/>
        <v>23.035714285714281</v>
      </c>
      <c r="R7" s="17">
        <f t="shared" si="3"/>
        <v>193.88392857142858</v>
      </c>
      <c r="S7" s="19"/>
      <c r="T7" s="19"/>
      <c r="U7" s="19"/>
      <c r="V7" s="19"/>
      <c r="W7" s="17"/>
      <c r="X7" s="20"/>
      <c r="Y7" s="19"/>
      <c r="Z7" s="19"/>
      <c r="AA7" s="19"/>
      <c r="AB7" s="19"/>
      <c r="AC7" s="19"/>
      <c r="AD7" s="19"/>
      <c r="AF7" s="19"/>
      <c r="AH7" s="17"/>
      <c r="AI7" s="19"/>
      <c r="AJ7" s="19"/>
      <c r="AK7" s="19"/>
      <c r="AL7" s="19"/>
      <c r="AM7" s="17"/>
      <c r="AN7" s="19"/>
      <c r="AO7" s="19"/>
      <c r="AP7" s="19"/>
      <c r="AQ7" s="19"/>
      <c r="AR7" s="19"/>
      <c r="AS7" s="21"/>
      <c r="AU7" s="19"/>
      <c r="AW7" s="22"/>
      <c r="AX7" s="19"/>
      <c r="AZ7" s="19"/>
      <c r="BC7" s="19"/>
      <c r="BD7" s="19"/>
      <c r="BE7" s="19"/>
      <c r="BF7" s="19"/>
      <c r="BG7" s="19"/>
      <c r="BH7" s="19"/>
      <c r="BI7" s="19"/>
      <c r="BJ7" s="19"/>
      <c r="BK7" s="13"/>
      <c r="BN7" s="19"/>
      <c r="BO7" s="17"/>
      <c r="BP7" s="19"/>
      <c r="BQ7" s="17"/>
      <c r="BR7" s="19"/>
      <c r="BS7" s="13"/>
      <c r="BU7" s="23"/>
      <c r="BV7" s="23"/>
      <c r="BW7" s="24"/>
      <c r="CA7" s="24"/>
      <c r="CB7" s="24"/>
      <c r="CC7" s="24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25"/>
      <c r="CW7" s="26"/>
    </row>
    <row r="8" spans="1:103" s="30" customFormat="1" ht="11.25" x14ac:dyDescent="0.2">
      <c r="A8" s="27"/>
      <c r="B8" s="28"/>
      <c r="C8" s="29"/>
      <c r="E8" s="31"/>
      <c r="F8" s="32"/>
      <c r="G8" s="33"/>
      <c r="H8" s="34"/>
      <c r="I8" s="34"/>
      <c r="J8" s="35"/>
      <c r="K8" s="36"/>
      <c r="L8" s="37"/>
      <c r="M8" s="38">
        <f>SUM(M5:M7)</f>
        <v>2465</v>
      </c>
      <c r="N8" s="38">
        <f>M8</f>
        <v>2465</v>
      </c>
      <c r="O8" s="39" t="s">
        <v>111</v>
      </c>
      <c r="P8" s="38">
        <f>SUM(P5:P7)</f>
        <v>22.008928571428573</v>
      </c>
      <c r="Q8" s="38">
        <f>SUM(Q5:Q7)</f>
        <v>264.10714285714283</v>
      </c>
      <c r="R8" s="38">
        <f>SUM(R5:R7)</f>
        <v>2222.9017857142858</v>
      </c>
      <c r="S8" s="38">
        <f t="shared" ref="S8:AD8" si="4">SUM(S5:S5)</f>
        <v>0</v>
      </c>
      <c r="T8" s="38">
        <f t="shared" si="4"/>
        <v>0</v>
      </c>
      <c r="U8" s="38">
        <f t="shared" si="4"/>
        <v>0</v>
      </c>
      <c r="V8" s="38">
        <f t="shared" si="4"/>
        <v>0</v>
      </c>
      <c r="W8" s="38">
        <f t="shared" si="4"/>
        <v>0</v>
      </c>
      <c r="X8" s="38">
        <f t="shared" si="4"/>
        <v>0</v>
      </c>
      <c r="Y8" s="38">
        <f t="shared" si="4"/>
        <v>0</v>
      </c>
      <c r="Z8" s="38">
        <f t="shared" si="4"/>
        <v>0</v>
      </c>
      <c r="AA8" s="38">
        <f t="shared" si="4"/>
        <v>0</v>
      </c>
      <c r="AB8" s="38">
        <f t="shared" si="4"/>
        <v>0</v>
      </c>
      <c r="AC8" s="38">
        <f t="shared" si="4"/>
        <v>0</v>
      </c>
      <c r="AD8" s="38">
        <f t="shared" si="4"/>
        <v>0</v>
      </c>
      <c r="AF8" s="38">
        <f>SUM(AF5:AF5)</f>
        <v>0</v>
      </c>
      <c r="AH8" s="38">
        <f t="shared" ref="AH8:AZ8" si="5">SUM(AH5:AH5)</f>
        <v>0</v>
      </c>
      <c r="AI8" s="38">
        <f t="shared" si="5"/>
        <v>0</v>
      </c>
      <c r="AJ8" s="38">
        <f t="shared" si="5"/>
        <v>0</v>
      </c>
      <c r="AK8" s="38">
        <f t="shared" si="5"/>
        <v>0</v>
      </c>
      <c r="AL8" s="38">
        <f t="shared" si="5"/>
        <v>0</v>
      </c>
      <c r="AM8" s="38">
        <f t="shared" si="5"/>
        <v>0</v>
      </c>
      <c r="AN8" s="38">
        <f t="shared" si="5"/>
        <v>0</v>
      </c>
      <c r="AO8" s="38">
        <f t="shared" si="5"/>
        <v>0</v>
      </c>
      <c r="AP8" s="38">
        <f t="shared" si="5"/>
        <v>0</v>
      </c>
      <c r="AQ8" s="38">
        <f t="shared" si="5"/>
        <v>0</v>
      </c>
      <c r="AR8" s="38">
        <f t="shared" si="5"/>
        <v>0</v>
      </c>
      <c r="AS8" s="38">
        <f t="shared" si="5"/>
        <v>0</v>
      </c>
      <c r="AT8" s="38">
        <f t="shared" si="5"/>
        <v>0</v>
      </c>
      <c r="AU8" s="38">
        <f t="shared" si="5"/>
        <v>0</v>
      </c>
      <c r="AV8" s="38">
        <f t="shared" si="5"/>
        <v>0</v>
      </c>
      <c r="AW8" s="38">
        <f t="shared" si="5"/>
        <v>0</v>
      </c>
      <c r="AX8" s="38">
        <f t="shared" si="5"/>
        <v>0</v>
      </c>
      <c r="AY8" s="38">
        <f t="shared" si="5"/>
        <v>0</v>
      </c>
      <c r="AZ8" s="38">
        <f t="shared" si="5"/>
        <v>0</v>
      </c>
      <c r="BB8" s="38">
        <f t="shared" ref="BB8:CV8" si="6">SUM(BB5:BB5)</f>
        <v>0</v>
      </c>
      <c r="BC8" s="38">
        <f t="shared" si="6"/>
        <v>0</v>
      </c>
      <c r="BD8" s="38">
        <f t="shared" si="6"/>
        <v>0</v>
      </c>
      <c r="BE8" s="38">
        <f t="shared" si="6"/>
        <v>0</v>
      </c>
      <c r="BF8" s="38">
        <f t="shared" si="6"/>
        <v>0</v>
      </c>
      <c r="BG8" s="38">
        <f t="shared" si="6"/>
        <v>0</v>
      </c>
      <c r="BH8" s="38">
        <f t="shared" si="6"/>
        <v>0</v>
      </c>
      <c r="BI8" s="38">
        <f t="shared" si="6"/>
        <v>0</v>
      </c>
      <c r="BJ8" s="38">
        <f t="shared" si="6"/>
        <v>0</v>
      </c>
      <c r="BK8" s="38">
        <f t="shared" si="6"/>
        <v>0</v>
      </c>
      <c r="BL8" s="38">
        <f t="shared" si="6"/>
        <v>0</v>
      </c>
      <c r="BM8" s="38">
        <f t="shared" si="6"/>
        <v>0</v>
      </c>
      <c r="BN8" s="38">
        <f t="shared" si="6"/>
        <v>0</v>
      </c>
      <c r="BO8" s="38">
        <f t="shared" si="6"/>
        <v>0</v>
      </c>
      <c r="BP8" s="38">
        <f t="shared" si="6"/>
        <v>0</v>
      </c>
      <c r="BQ8" s="38">
        <f t="shared" si="6"/>
        <v>0</v>
      </c>
      <c r="BR8" s="38">
        <f t="shared" si="6"/>
        <v>0</v>
      </c>
      <c r="BS8" s="38">
        <f t="shared" si="6"/>
        <v>0</v>
      </c>
      <c r="BT8" s="38">
        <f t="shared" si="6"/>
        <v>0</v>
      </c>
      <c r="BU8" s="38">
        <f t="shared" si="6"/>
        <v>0</v>
      </c>
      <c r="BV8" s="38">
        <f t="shared" si="6"/>
        <v>0</v>
      </c>
      <c r="BW8" s="38">
        <f t="shared" si="6"/>
        <v>0</v>
      </c>
      <c r="BX8" s="38">
        <f t="shared" si="6"/>
        <v>0</v>
      </c>
      <c r="BY8" s="38">
        <f t="shared" si="6"/>
        <v>0</v>
      </c>
      <c r="BZ8" s="38">
        <f t="shared" si="6"/>
        <v>0</v>
      </c>
      <c r="CA8" s="38">
        <f t="shared" si="6"/>
        <v>0</v>
      </c>
      <c r="CB8" s="38">
        <f t="shared" si="6"/>
        <v>0</v>
      </c>
      <c r="CC8" s="38">
        <f t="shared" si="6"/>
        <v>0</v>
      </c>
      <c r="CD8" s="38">
        <f t="shared" si="6"/>
        <v>0</v>
      </c>
      <c r="CE8" s="38">
        <f t="shared" si="6"/>
        <v>0</v>
      </c>
      <c r="CF8" s="38">
        <f t="shared" si="6"/>
        <v>0</v>
      </c>
      <c r="CG8" s="38">
        <f t="shared" si="6"/>
        <v>0</v>
      </c>
      <c r="CH8" s="38">
        <f t="shared" si="6"/>
        <v>0</v>
      </c>
      <c r="CI8" s="38">
        <f t="shared" si="6"/>
        <v>0</v>
      </c>
      <c r="CJ8" s="38">
        <f t="shared" si="6"/>
        <v>0</v>
      </c>
      <c r="CK8" s="38">
        <f t="shared" si="6"/>
        <v>0</v>
      </c>
      <c r="CL8" s="38">
        <f t="shared" si="6"/>
        <v>0</v>
      </c>
      <c r="CM8" s="38">
        <f t="shared" si="6"/>
        <v>0</v>
      </c>
      <c r="CN8" s="38">
        <f t="shared" si="6"/>
        <v>0</v>
      </c>
      <c r="CO8" s="38">
        <f t="shared" si="6"/>
        <v>0</v>
      </c>
      <c r="CP8" s="38">
        <f t="shared" si="6"/>
        <v>0</v>
      </c>
      <c r="CQ8" s="38">
        <f t="shared" si="6"/>
        <v>0</v>
      </c>
      <c r="CR8" s="38">
        <f t="shared" si="6"/>
        <v>0</v>
      </c>
      <c r="CS8" s="38">
        <f t="shared" si="6"/>
        <v>0</v>
      </c>
      <c r="CT8" s="38">
        <f t="shared" si="6"/>
        <v>0</v>
      </c>
      <c r="CU8" s="38">
        <f t="shared" si="6"/>
        <v>0</v>
      </c>
      <c r="CV8" s="38">
        <f t="shared" si="6"/>
        <v>0</v>
      </c>
      <c r="CW8" s="40"/>
    </row>
    <row r="9" spans="1:103" customFormat="1" ht="15" x14ac:dyDescent="0.25"/>
    <row r="10" spans="1:103" customFormat="1" ht="15" x14ac:dyDescent="0.25">
      <c r="A10" s="41" t="str">
        <f>E5</f>
        <v>MADILOUS MARKETING</v>
      </c>
      <c r="B10" s="42"/>
      <c r="C10" s="43"/>
      <c r="D10" s="44"/>
      <c r="E10" s="44"/>
      <c r="F10" s="45"/>
      <c r="G10" s="46"/>
      <c r="H10" s="47"/>
      <c r="I10" s="48"/>
      <c r="J10" s="49"/>
      <c r="K10" s="50"/>
      <c r="L10" s="51"/>
      <c r="M10" s="52"/>
      <c r="N10" s="53"/>
      <c r="O10" s="54"/>
      <c r="P10" s="55"/>
    </row>
    <row r="11" spans="1:103" customFormat="1" ht="15" x14ac:dyDescent="0.25">
      <c r="A11" s="56"/>
      <c r="B11" s="57"/>
      <c r="C11" s="58"/>
      <c r="D11" s="59" t="s">
        <v>112</v>
      </c>
      <c r="E11" s="59" t="s">
        <v>113</v>
      </c>
      <c r="F11" s="60" t="s">
        <v>114</v>
      </c>
      <c r="G11" s="61"/>
      <c r="H11" s="62"/>
      <c r="I11" s="63"/>
      <c r="J11" s="64"/>
      <c r="K11" s="1"/>
      <c r="L11" s="65"/>
      <c r="M11" s="66"/>
      <c r="N11" s="67"/>
      <c r="O11" s="68"/>
      <c r="P11" s="69"/>
    </row>
    <row r="12" spans="1:103" customFormat="1" ht="13.5" customHeight="1" x14ac:dyDescent="0.25">
      <c r="A12" s="70" t="s">
        <v>151</v>
      </c>
      <c r="B12" s="71"/>
      <c r="C12" s="72"/>
      <c r="D12" s="73">
        <f>R8</f>
        <v>2222.9017857142858</v>
      </c>
      <c r="E12" s="74"/>
      <c r="F12" s="75" t="str">
        <f>"In payment for 1 kilo of all purpose flour, cake flour, and baking powder calumet using housefund received on " &amp; TEXT(A5, "mmmm dd, yyyy") &amp; " with SI#141643 RR#5247" &amp; " CPO#" &amp;B5</f>
        <v>In payment for 1 kilo of all purpose flour, cake flour, and baking powder calumet using housefund received on August 19, 2025 with SI#141643 RR#5247 CPO#18999</v>
      </c>
      <c r="G12" s="76"/>
      <c r="H12" s="77"/>
      <c r="I12" s="77"/>
      <c r="J12" s="76"/>
      <c r="K12" s="1"/>
      <c r="L12" s="65"/>
      <c r="M12" s="78"/>
      <c r="N12" s="79"/>
      <c r="O12" s="80"/>
      <c r="P12" s="81"/>
    </row>
    <row r="13" spans="1:103" customFormat="1" ht="15" x14ac:dyDescent="0.25">
      <c r="A13" s="70" t="s">
        <v>115</v>
      </c>
      <c r="B13" s="71"/>
      <c r="C13" s="72"/>
      <c r="D13" s="73">
        <f>Q8</f>
        <v>264.10714285714283</v>
      </c>
      <c r="E13" s="74"/>
      <c r="F13" s="64" t="str">
        <f>"Recording input VAT for expenses and purchases made using house fund for " &amp; TEXT(A5, "mmmm dd, yyyy")</f>
        <v>Recording input VAT for expenses and purchases made using house fund for August 19,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 t="s">
        <v>116</v>
      </c>
      <c r="B14" s="86"/>
      <c r="C14" s="87"/>
      <c r="D14" s="88"/>
      <c r="E14" s="74">
        <f>P8</f>
        <v>22.008928571428573</v>
      </c>
      <c r="F14" s="89" t="str">
        <f>"Recording the tax withheld for expenses and purchases using the house fund received on " &amp; TEXT(A5, "mmmm dd, yyyy")</f>
        <v>Recording the tax withheld for expenses and purchases using the house fund received on August 19,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70" t="s">
        <v>117</v>
      </c>
      <c r="B15" s="86"/>
      <c r="C15" s="87"/>
      <c r="D15" s="90"/>
      <c r="E15" s="91">
        <f>M8</f>
        <v>2465</v>
      </c>
      <c r="F15" s="89" t="str">
        <f>"Recording house fund expenses for replenishment on " &amp; TEXT(A5, "mmmm dd, yyyy")</f>
        <v>Recording house fund expenses for replenishment on August 19, 2025</v>
      </c>
      <c r="G15" s="82"/>
      <c r="H15" s="83"/>
      <c r="I15" s="84"/>
      <c r="J15" s="82"/>
      <c r="K15" s="1"/>
      <c r="L15" s="65"/>
      <c r="M15" s="66"/>
      <c r="N15" s="67"/>
      <c r="O15" s="68"/>
      <c r="P15" s="69"/>
    </row>
    <row r="16" spans="1:103" customFormat="1" ht="15" x14ac:dyDescent="0.25">
      <c r="A16" s="85"/>
      <c r="B16" s="86"/>
      <c r="C16" s="87"/>
      <c r="D16" s="88">
        <f>SUM(D12:D13)</f>
        <v>2487.0089285714284</v>
      </c>
      <c r="E16" s="88">
        <f>SUM(E12:E15)</f>
        <v>2487.0089285714284</v>
      </c>
      <c r="F16" s="92"/>
      <c r="G16" s="92"/>
      <c r="H16" s="93"/>
      <c r="I16" s="94"/>
      <c r="J16" s="92"/>
      <c r="K16" s="1"/>
      <c r="L16" s="65"/>
      <c r="M16" s="66"/>
      <c r="N16" s="67"/>
      <c r="O16" s="68"/>
      <c r="P16" s="69"/>
    </row>
    <row r="17" spans="1:16" customFormat="1" ht="15" x14ac:dyDescent="0.25">
      <c r="A17" s="95" t="s">
        <v>118</v>
      </c>
      <c r="B17" s="96" t="str">
        <f>"To record house fund expenses on " &amp; TEXT(A5, "mmmm dd, yyyy") &amp; " with PCV#" &amp; C5</f>
        <v>To record house fund expenses on August 19, 2025 with PCV#20991</v>
      </c>
      <c r="C17" s="97"/>
      <c r="D17" s="98"/>
      <c r="E17" s="98"/>
      <c r="F17" s="98"/>
      <c r="G17" s="92"/>
      <c r="H17" s="93"/>
      <c r="I17" s="94"/>
      <c r="J17" s="92"/>
      <c r="K17" s="1"/>
      <c r="L17" s="65"/>
      <c r="M17" s="66"/>
      <c r="N17" s="67"/>
      <c r="O17" s="68"/>
      <c r="P17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DBEE2-D1FA-4BA2-B3E7-DE697DFC0D33}">
  <sheetPr>
    <tabColor rgb="FF50456B"/>
  </sheetPr>
  <dimension ref="A1:CY20"/>
  <sheetViews>
    <sheetView workbookViewId="0">
      <selection activeCell="E17" sqref="E17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45888</v>
      </c>
      <c r="B5" s="3" t="s">
        <v>761</v>
      </c>
      <c r="C5" s="4" t="s">
        <v>876</v>
      </c>
      <c r="D5" s="5" t="s">
        <v>122</v>
      </c>
      <c r="E5" s="6" t="s">
        <v>316</v>
      </c>
      <c r="F5" s="7" t="s">
        <v>296</v>
      </c>
      <c r="G5" s="8" t="s">
        <v>164</v>
      </c>
      <c r="H5" s="9">
        <v>433856</v>
      </c>
      <c r="I5" s="10" t="s">
        <v>775</v>
      </c>
      <c r="J5" s="11" t="s">
        <v>776</v>
      </c>
      <c r="K5" s="12">
        <v>4.82</v>
      </c>
      <c r="L5" s="13">
        <v>395</v>
      </c>
      <c r="M5" s="14">
        <f t="shared" ref="M5:M10" si="0">L5*K5</f>
        <v>1903.9</v>
      </c>
      <c r="N5" s="15"/>
      <c r="O5" s="16" t="s">
        <v>111</v>
      </c>
      <c r="P5" s="17">
        <f>M5/1.12*0.01</f>
        <v>16.999107142857142</v>
      </c>
      <c r="Q5" s="18">
        <f>M5/1.12*0.12</f>
        <v>203.9892857142857</v>
      </c>
      <c r="R5" s="17">
        <f>M5+P5-Q5</f>
        <v>1716.9098214285716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777</v>
      </c>
      <c r="K6" s="12">
        <v>1</v>
      </c>
      <c r="L6" s="13">
        <v>454</v>
      </c>
      <c r="M6" s="14">
        <f t="shared" si="0"/>
        <v>454</v>
      </c>
      <c r="N6" s="15"/>
      <c r="O6" s="16" t="s">
        <v>111</v>
      </c>
      <c r="P6" s="17">
        <f t="shared" ref="P6:P10" si="1">M6/1.12*0.01</f>
        <v>4.0535714285714288</v>
      </c>
      <c r="Q6" s="18">
        <f t="shared" ref="Q6:Q10" si="2">M6/1.12*0.12</f>
        <v>48.642857142857139</v>
      </c>
      <c r="R6" s="17">
        <f t="shared" ref="R6:R10" si="3">M6+P6-Q6</f>
        <v>409.41071428571433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5" customFormat="1" x14ac:dyDescent="0.2">
      <c r="A7" s="2"/>
      <c r="B7" s="3"/>
      <c r="C7" s="4"/>
      <c r="E7" s="6"/>
      <c r="F7" s="7"/>
      <c r="G7" s="8"/>
      <c r="H7" s="9"/>
      <c r="I7" s="10"/>
      <c r="J7" s="11" t="s">
        <v>778</v>
      </c>
      <c r="K7" s="12">
        <v>5</v>
      </c>
      <c r="L7" s="13">
        <v>89</v>
      </c>
      <c r="M7" s="14">
        <f t="shared" si="0"/>
        <v>445</v>
      </c>
      <c r="N7" s="15"/>
      <c r="O7" s="16" t="s">
        <v>111</v>
      </c>
      <c r="P7" s="17">
        <f t="shared" si="1"/>
        <v>3.9732142857142856</v>
      </c>
      <c r="Q7" s="18">
        <f t="shared" si="2"/>
        <v>47.678571428571423</v>
      </c>
      <c r="R7" s="17">
        <f t="shared" si="3"/>
        <v>401.29464285714283</v>
      </c>
      <c r="S7" s="19"/>
      <c r="T7" s="19"/>
      <c r="U7" s="19"/>
      <c r="V7" s="19"/>
      <c r="W7" s="17"/>
      <c r="X7" s="20"/>
      <c r="Y7" s="19"/>
      <c r="Z7" s="19"/>
      <c r="AA7" s="19"/>
      <c r="AB7" s="19"/>
      <c r="AC7" s="19"/>
      <c r="AD7" s="19"/>
      <c r="AF7" s="19"/>
      <c r="AH7" s="17"/>
      <c r="AI7" s="19"/>
      <c r="AJ7" s="19"/>
      <c r="AK7" s="19"/>
      <c r="AL7" s="19"/>
      <c r="AM7" s="17"/>
      <c r="AN7" s="19"/>
      <c r="AO7" s="19"/>
      <c r="AP7" s="19"/>
      <c r="AQ7" s="19"/>
      <c r="AR7" s="19"/>
      <c r="AS7" s="21"/>
      <c r="AU7" s="19"/>
      <c r="AW7" s="22"/>
      <c r="AX7" s="19"/>
      <c r="AZ7" s="19"/>
      <c r="BC7" s="19"/>
      <c r="BD7" s="19"/>
      <c r="BE7" s="19"/>
      <c r="BF7" s="19"/>
      <c r="BG7" s="19"/>
      <c r="BH7" s="19"/>
      <c r="BI7" s="19"/>
      <c r="BJ7" s="19"/>
      <c r="BK7" s="13"/>
      <c r="BN7" s="19"/>
      <c r="BO7" s="17"/>
      <c r="BP7" s="19"/>
      <c r="BQ7" s="17"/>
      <c r="BR7" s="19"/>
      <c r="BS7" s="13"/>
      <c r="BU7" s="23"/>
      <c r="BV7" s="23"/>
      <c r="BW7" s="24"/>
      <c r="CA7" s="24"/>
      <c r="CB7" s="24"/>
      <c r="CC7" s="24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25"/>
      <c r="CW7" s="26"/>
    </row>
    <row r="8" spans="1:103" s="5" customFormat="1" x14ac:dyDescent="0.2">
      <c r="A8" s="2"/>
      <c r="B8" s="3"/>
      <c r="C8" s="4"/>
      <c r="E8" s="6"/>
      <c r="F8" s="7"/>
      <c r="G8" s="8"/>
      <c r="H8" s="9"/>
      <c r="I8" s="10"/>
      <c r="J8" s="11" t="s">
        <v>779</v>
      </c>
      <c r="K8" s="12">
        <v>10</v>
      </c>
      <c r="L8" s="13">
        <v>65.75</v>
      </c>
      <c r="M8" s="14">
        <f t="shared" si="0"/>
        <v>657.5</v>
      </c>
      <c r="N8" s="15"/>
      <c r="O8" s="16" t="s">
        <v>111</v>
      </c>
      <c r="P8" s="17">
        <f t="shared" si="1"/>
        <v>5.8705357142857135</v>
      </c>
      <c r="Q8" s="18">
        <f t="shared" si="2"/>
        <v>70.446428571428555</v>
      </c>
      <c r="R8" s="17">
        <f t="shared" si="3"/>
        <v>592.92410714285711</v>
      </c>
      <c r="S8" s="19"/>
      <c r="T8" s="19"/>
      <c r="U8" s="19"/>
      <c r="V8" s="19"/>
      <c r="W8" s="17"/>
      <c r="X8" s="20"/>
      <c r="Y8" s="19"/>
      <c r="Z8" s="19"/>
      <c r="AA8" s="19"/>
      <c r="AB8" s="19"/>
      <c r="AC8" s="19"/>
      <c r="AD8" s="19"/>
      <c r="AF8" s="19"/>
      <c r="AH8" s="17"/>
      <c r="AI8" s="19"/>
      <c r="AJ8" s="19"/>
      <c r="AK8" s="19"/>
      <c r="AL8" s="19"/>
      <c r="AM8" s="17"/>
      <c r="AN8" s="19"/>
      <c r="AO8" s="19"/>
      <c r="AP8" s="19"/>
      <c r="AQ8" s="19"/>
      <c r="AR8" s="19"/>
      <c r="AS8" s="21"/>
      <c r="AU8" s="19"/>
      <c r="AW8" s="22"/>
      <c r="AX8" s="19"/>
      <c r="AZ8" s="19"/>
      <c r="BC8" s="19"/>
      <c r="BD8" s="19"/>
      <c r="BE8" s="19"/>
      <c r="BF8" s="19"/>
      <c r="BG8" s="19"/>
      <c r="BH8" s="19"/>
      <c r="BI8" s="19"/>
      <c r="BJ8" s="19"/>
      <c r="BK8" s="13"/>
      <c r="BN8" s="19"/>
      <c r="BO8" s="17"/>
      <c r="BP8" s="19"/>
      <c r="BQ8" s="17"/>
      <c r="BR8" s="19"/>
      <c r="BS8" s="13"/>
      <c r="BU8" s="23"/>
      <c r="BV8" s="23"/>
      <c r="BW8" s="24"/>
      <c r="CA8" s="24"/>
      <c r="CB8" s="24"/>
      <c r="CC8" s="24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25"/>
      <c r="CW8" s="26"/>
    </row>
    <row r="9" spans="1:103" s="5" customFormat="1" x14ac:dyDescent="0.2">
      <c r="A9" s="2"/>
      <c r="B9" s="3"/>
      <c r="C9" s="4"/>
      <c r="E9" s="6"/>
      <c r="F9" s="7"/>
      <c r="G9" s="8"/>
      <c r="H9" s="9"/>
      <c r="I9" s="10"/>
      <c r="J9" s="11" t="s">
        <v>780</v>
      </c>
      <c r="K9" s="12">
        <v>5</v>
      </c>
      <c r="L9" s="13">
        <v>166.85</v>
      </c>
      <c r="M9" s="14">
        <f t="shared" si="0"/>
        <v>834.25</v>
      </c>
      <c r="N9" s="15"/>
      <c r="O9" s="16" t="s">
        <v>111</v>
      </c>
      <c r="P9" s="17">
        <f t="shared" si="1"/>
        <v>7.4486607142857135</v>
      </c>
      <c r="Q9" s="18">
        <f t="shared" si="2"/>
        <v>89.383928571428555</v>
      </c>
      <c r="R9" s="17">
        <f t="shared" si="3"/>
        <v>752.31473214285711</v>
      </c>
      <c r="S9" s="19"/>
      <c r="T9" s="19"/>
      <c r="U9" s="19"/>
      <c r="V9" s="19"/>
      <c r="W9" s="17"/>
      <c r="X9" s="20"/>
      <c r="Y9" s="19"/>
      <c r="Z9" s="19"/>
      <c r="AA9" s="19"/>
      <c r="AB9" s="19"/>
      <c r="AC9" s="19"/>
      <c r="AD9" s="19"/>
      <c r="AF9" s="19"/>
      <c r="AH9" s="17"/>
      <c r="AI9" s="19"/>
      <c r="AJ9" s="19"/>
      <c r="AK9" s="19"/>
      <c r="AL9" s="19"/>
      <c r="AM9" s="17"/>
      <c r="AN9" s="19"/>
      <c r="AO9" s="19"/>
      <c r="AP9" s="19"/>
      <c r="AQ9" s="19"/>
      <c r="AR9" s="19"/>
      <c r="AS9" s="21"/>
      <c r="AU9" s="19"/>
      <c r="AW9" s="22"/>
      <c r="AX9" s="19"/>
      <c r="AZ9" s="19"/>
      <c r="BC9" s="19"/>
      <c r="BD9" s="19"/>
      <c r="BE9" s="19"/>
      <c r="BF9" s="19"/>
      <c r="BG9" s="19"/>
      <c r="BH9" s="19"/>
      <c r="BI9" s="19"/>
      <c r="BJ9" s="19"/>
      <c r="BK9" s="13"/>
      <c r="BN9" s="19"/>
      <c r="BO9" s="17"/>
      <c r="BP9" s="19"/>
      <c r="BQ9" s="17"/>
      <c r="BR9" s="19"/>
      <c r="BS9" s="13"/>
      <c r="BU9" s="23"/>
      <c r="BV9" s="23"/>
      <c r="BW9" s="24"/>
      <c r="CA9" s="24"/>
      <c r="CB9" s="24"/>
      <c r="CC9" s="24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25"/>
      <c r="CW9" s="26"/>
    </row>
    <row r="10" spans="1:103" s="5" customFormat="1" x14ac:dyDescent="0.2">
      <c r="A10" s="2"/>
      <c r="B10" s="3"/>
      <c r="C10" s="4"/>
      <c r="E10" s="6"/>
      <c r="F10" s="7"/>
      <c r="G10" s="8"/>
      <c r="H10" s="9"/>
      <c r="I10" s="10"/>
      <c r="J10" s="11" t="s">
        <v>781</v>
      </c>
      <c r="K10" s="12">
        <v>3</v>
      </c>
      <c r="L10" s="13">
        <v>332.55</v>
      </c>
      <c r="M10" s="14">
        <f t="shared" si="0"/>
        <v>997.65000000000009</v>
      </c>
      <c r="N10" s="15"/>
      <c r="O10" s="16" t="s">
        <v>111</v>
      </c>
      <c r="P10" s="17">
        <f t="shared" si="1"/>
        <v>8.9075892857142858</v>
      </c>
      <c r="Q10" s="18">
        <f t="shared" si="2"/>
        <v>106.89107142857142</v>
      </c>
      <c r="R10" s="17">
        <f t="shared" si="3"/>
        <v>899.66651785714294</v>
      </c>
      <c r="S10" s="19"/>
      <c r="T10" s="19"/>
      <c r="U10" s="19"/>
      <c r="V10" s="19"/>
      <c r="W10" s="17"/>
      <c r="X10" s="20"/>
      <c r="Y10" s="19"/>
      <c r="Z10" s="19"/>
      <c r="AA10" s="19"/>
      <c r="AB10" s="19"/>
      <c r="AC10" s="19"/>
      <c r="AD10" s="19"/>
      <c r="AF10" s="19"/>
      <c r="AH10" s="17"/>
      <c r="AI10" s="19"/>
      <c r="AJ10" s="19"/>
      <c r="AK10" s="19"/>
      <c r="AL10" s="19"/>
      <c r="AM10" s="17"/>
      <c r="AN10" s="19"/>
      <c r="AO10" s="19"/>
      <c r="AP10" s="19"/>
      <c r="AQ10" s="19"/>
      <c r="AR10" s="19"/>
      <c r="AS10" s="21"/>
      <c r="AU10" s="19"/>
      <c r="AW10" s="22"/>
      <c r="AX10" s="19"/>
      <c r="AZ10" s="19"/>
      <c r="BC10" s="19"/>
      <c r="BD10" s="19"/>
      <c r="BE10" s="19"/>
      <c r="BF10" s="19"/>
      <c r="BG10" s="19"/>
      <c r="BH10" s="19"/>
      <c r="BI10" s="19"/>
      <c r="BJ10" s="19"/>
      <c r="BK10" s="13"/>
      <c r="BN10" s="19"/>
      <c r="BO10" s="17"/>
      <c r="BP10" s="19"/>
      <c r="BQ10" s="17"/>
      <c r="BR10" s="19"/>
      <c r="BS10" s="13"/>
      <c r="BU10" s="23"/>
      <c r="BV10" s="23"/>
      <c r="BW10" s="24"/>
      <c r="CA10" s="24"/>
      <c r="CB10" s="24"/>
      <c r="CC10" s="24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25"/>
      <c r="CW10" s="26"/>
    </row>
    <row r="11" spans="1:103" s="30" customFormat="1" ht="11.25" x14ac:dyDescent="0.2">
      <c r="A11" s="27"/>
      <c r="B11" s="28"/>
      <c r="C11" s="29"/>
      <c r="E11" s="31"/>
      <c r="F11" s="32"/>
      <c r="G11" s="33"/>
      <c r="H11" s="34"/>
      <c r="I11" s="34"/>
      <c r="J11" s="35"/>
      <c r="K11" s="36"/>
      <c r="L11" s="37"/>
      <c r="M11" s="38">
        <f>SUM(M5:M10)</f>
        <v>5292.2999999999993</v>
      </c>
      <c r="N11" s="38">
        <f>M11</f>
        <v>5292.2999999999993</v>
      </c>
      <c r="O11" s="39" t="s">
        <v>111</v>
      </c>
      <c r="P11" s="38">
        <f>SUM(P5:P10)</f>
        <v>47.252678571428575</v>
      </c>
      <c r="Q11" s="38">
        <f>SUM(Q5:Q10)</f>
        <v>567.03214285714284</v>
      </c>
      <c r="R11" s="38">
        <f>SUM(R5:R10)</f>
        <v>4772.5205357142859</v>
      </c>
      <c r="S11" s="38">
        <f t="shared" ref="S11:AD11" si="4">SUM(S5:S5)</f>
        <v>0</v>
      </c>
      <c r="T11" s="38">
        <f t="shared" si="4"/>
        <v>0</v>
      </c>
      <c r="U11" s="38">
        <f t="shared" si="4"/>
        <v>0</v>
      </c>
      <c r="V11" s="38">
        <f t="shared" si="4"/>
        <v>0</v>
      </c>
      <c r="W11" s="38">
        <f t="shared" si="4"/>
        <v>0</v>
      </c>
      <c r="X11" s="38">
        <f t="shared" si="4"/>
        <v>0</v>
      </c>
      <c r="Y11" s="38">
        <f t="shared" si="4"/>
        <v>0</v>
      </c>
      <c r="Z11" s="38">
        <f t="shared" si="4"/>
        <v>0</v>
      </c>
      <c r="AA11" s="38">
        <f t="shared" si="4"/>
        <v>0</v>
      </c>
      <c r="AB11" s="38">
        <f t="shared" si="4"/>
        <v>0</v>
      </c>
      <c r="AC11" s="38">
        <f t="shared" si="4"/>
        <v>0</v>
      </c>
      <c r="AD11" s="38">
        <f t="shared" si="4"/>
        <v>0</v>
      </c>
      <c r="AF11" s="38">
        <f>SUM(AF5:AF5)</f>
        <v>0</v>
      </c>
      <c r="AH11" s="38">
        <f t="shared" ref="AH11:AZ11" si="5">SUM(AH5:AH5)</f>
        <v>0</v>
      </c>
      <c r="AI11" s="38">
        <f t="shared" si="5"/>
        <v>0</v>
      </c>
      <c r="AJ11" s="38">
        <f t="shared" si="5"/>
        <v>0</v>
      </c>
      <c r="AK11" s="38">
        <f t="shared" si="5"/>
        <v>0</v>
      </c>
      <c r="AL11" s="38">
        <f t="shared" si="5"/>
        <v>0</v>
      </c>
      <c r="AM11" s="38">
        <f t="shared" si="5"/>
        <v>0</v>
      </c>
      <c r="AN11" s="38">
        <f t="shared" si="5"/>
        <v>0</v>
      </c>
      <c r="AO11" s="38">
        <f t="shared" si="5"/>
        <v>0</v>
      </c>
      <c r="AP11" s="38">
        <f t="shared" si="5"/>
        <v>0</v>
      </c>
      <c r="AQ11" s="38">
        <f t="shared" si="5"/>
        <v>0</v>
      </c>
      <c r="AR11" s="38">
        <f t="shared" si="5"/>
        <v>0</v>
      </c>
      <c r="AS11" s="38">
        <f t="shared" si="5"/>
        <v>0</v>
      </c>
      <c r="AT11" s="38">
        <f t="shared" si="5"/>
        <v>0</v>
      </c>
      <c r="AU11" s="38">
        <f t="shared" si="5"/>
        <v>0</v>
      </c>
      <c r="AV11" s="38">
        <f t="shared" si="5"/>
        <v>0</v>
      </c>
      <c r="AW11" s="38">
        <f t="shared" si="5"/>
        <v>0</v>
      </c>
      <c r="AX11" s="38">
        <f t="shared" si="5"/>
        <v>0</v>
      </c>
      <c r="AY11" s="38">
        <f t="shared" si="5"/>
        <v>0</v>
      </c>
      <c r="AZ11" s="38">
        <f t="shared" si="5"/>
        <v>0</v>
      </c>
      <c r="BB11" s="38">
        <f t="shared" ref="BB11:CV11" si="6">SUM(BB5:BB5)</f>
        <v>0</v>
      </c>
      <c r="BC11" s="38">
        <f t="shared" si="6"/>
        <v>0</v>
      </c>
      <c r="BD11" s="38">
        <f t="shared" si="6"/>
        <v>0</v>
      </c>
      <c r="BE11" s="38">
        <f t="shared" si="6"/>
        <v>0</v>
      </c>
      <c r="BF11" s="38">
        <f t="shared" si="6"/>
        <v>0</v>
      </c>
      <c r="BG11" s="38">
        <f t="shared" si="6"/>
        <v>0</v>
      </c>
      <c r="BH11" s="38">
        <f t="shared" si="6"/>
        <v>0</v>
      </c>
      <c r="BI11" s="38">
        <f t="shared" si="6"/>
        <v>0</v>
      </c>
      <c r="BJ11" s="38">
        <f t="shared" si="6"/>
        <v>0</v>
      </c>
      <c r="BK11" s="38">
        <f t="shared" si="6"/>
        <v>0</v>
      </c>
      <c r="BL11" s="38">
        <f t="shared" si="6"/>
        <v>0</v>
      </c>
      <c r="BM11" s="38">
        <f t="shared" si="6"/>
        <v>0</v>
      </c>
      <c r="BN11" s="38">
        <f t="shared" si="6"/>
        <v>0</v>
      </c>
      <c r="BO11" s="38">
        <f t="shared" si="6"/>
        <v>0</v>
      </c>
      <c r="BP11" s="38">
        <f t="shared" si="6"/>
        <v>0</v>
      </c>
      <c r="BQ11" s="38">
        <f t="shared" si="6"/>
        <v>0</v>
      </c>
      <c r="BR11" s="38">
        <f t="shared" si="6"/>
        <v>0</v>
      </c>
      <c r="BS11" s="38">
        <f t="shared" si="6"/>
        <v>0</v>
      </c>
      <c r="BT11" s="38">
        <f t="shared" si="6"/>
        <v>0</v>
      </c>
      <c r="BU11" s="38">
        <f t="shared" si="6"/>
        <v>0</v>
      </c>
      <c r="BV11" s="38">
        <f t="shared" si="6"/>
        <v>0</v>
      </c>
      <c r="BW11" s="38">
        <f t="shared" si="6"/>
        <v>0</v>
      </c>
      <c r="BX11" s="38">
        <f t="shared" si="6"/>
        <v>0</v>
      </c>
      <c r="BY11" s="38">
        <f t="shared" si="6"/>
        <v>0</v>
      </c>
      <c r="BZ11" s="38">
        <f t="shared" si="6"/>
        <v>0</v>
      </c>
      <c r="CA11" s="38">
        <f t="shared" si="6"/>
        <v>0</v>
      </c>
      <c r="CB11" s="38">
        <f t="shared" si="6"/>
        <v>0</v>
      </c>
      <c r="CC11" s="38">
        <f t="shared" si="6"/>
        <v>0</v>
      </c>
      <c r="CD11" s="38">
        <f t="shared" si="6"/>
        <v>0</v>
      </c>
      <c r="CE11" s="38">
        <f t="shared" si="6"/>
        <v>0</v>
      </c>
      <c r="CF11" s="38">
        <f t="shared" si="6"/>
        <v>0</v>
      </c>
      <c r="CG11" s="38">
        <f t="shared" si="6"/>
        <v>0</v>
      </c>
      <c r="CH11" s="38">
        <f t="shared" si="6"/>
        <v>0</v>
      </c>
      <c r="CI11" s="38">
        <f t="shared" si="6"/>
        <v>0</v>
      </c>
      <c r="CJ11" s="38">
        <f t="shared" si="6"/>
        <v>0</v>
      </c>
      <c r="CK11" s="38">
        <f t="shared" si="6"/>
        <v>0</v>
      </c>
      <c r="CL11" s="38">
        <f t="shared" si="6"/>
        <v>0</v>
      </c>
      <c r="CM11" s="38">
        <f t="shared" si="6"/>
        <v>0</v>
      </c>
      <c r="CN11" s="38">
        <f t="shared" si="6"/>
        <v>0</v>
      </c>
      <c r="CO11" s="38">
        <f t="shared" si="6"/>
        <v>0</v>
      </c>
      <c r="CP11" s="38">
        <f t="shared" si="6"/>
        <v>0</v>
      </c>
      <c r="CQ11" s="38">
        <f t="shared" si="6"/>
        <v>0</v>
      </c>
      <c r="CR11" s="38">
        <f t="shared" si="6"/>
        <v>0</v>
      </c>
      <c r="CS11" s="38">
        <f t="shared" si="6"/>
        <v>0</v>
      </c>
      <c r="CT11" s="38">
        <f t="shared" si="6"/>
        <v>0</v>
      </c>
      <c r="CU11" s="38">
        <f t="shared" si="6"/>
        <v>0</v>
      </c>
      <c r="CV11" s="38">
        <f t="shared" si="6"/>
        <v>0</v>
      </c>
      <c r="CW11" s="40"/>
    </row>
    <row r="12" spans="1:103" customFormat="1" ht="15" x14ac:dyDescent="0.25"/>
    <row r="13" spans="1:103" customFormat="1" ht="15" x14ac:dyDescent="0.25">
      <c r="A13" s="41" t="str">
        <f>E5</f>
        <v>METRO</v>
      </c>
      <c r="B13" s="42"/>
      <c r="C13" s="43"/>
      <c r="D13" s="44"/>
      <c r="E13" s="44"/>
      <c r="F13" s="45"/>
      <c r="G13" s="46"/>
      <c r="H13" s="47"/>
      <c r="I13" s="48"/>
      <c r="J13" s="49"/>
      <c r="K13" s="50"/>
      <c r="L13" s="51"/>
      <c r="M13" s="52"/>
      <c r="N13" s="53"/>
      <c r="O13" s="54"/>
      <c r="P13" s="55"/>
    </row>
    <row r="14" spans="1:103" customFormat="1" ht="15" x14ac:dyDescent="0.25">
      <c r="A14" s="56"/>
      <c r="B14" s="57"/>
      <c r="C14" s="58"/>
      <c r="D14" s="59" t="s">
        <v>112</v>
      </c>
      <c r="E14" s="59" t="s">
        <v>113</v>
      </c>
      <c r="F14" s="60" t="s">
        <v>114</v>
      </c>
      <c r="G14" s="61"/>
      <c r="H14" s="62"/>
      <c r="I14" s="63"/>
      <c r="J14" s="64"/>
      <c r="K14" s="1"/>
      <c r="L14" s="65"/>
      <c r="M14" s="66"/>
      <c r="N14" s="67"/>
      <c r="O14" s="68"/>
      <c r="P14" s="69"/>
    </row>
    <row r="15" spans="1:103" customFormat="1" ht="13.5" customHeight="1" x14ac:dyDescent="0.25">
      <c r="A15" s="70" t="s">
        <v>151</v>
      </c>
      <c r="B15" s="71"/>
      <c r="C15" s="72"/>
      <c r="D15" s="73">
        <f>R11</f>
        <v>4772.5205357142859</v>
      </c>
      <c r="E15" s="74"/>
      <c r="F15" s="75" t="str">
        <f>"In payment for inventory food using housefund received on " &amp; TEXT(A5, "mmmm dd, yyyy") &amp; " with SI#433856 PR#30485 RR#5248" &amp; " CPO#" &amp;B5</f>
        <v>In payment for inventory food using housefund received on August 19, 2025 with SI#433856 PR#30485 RR#5248 CPO#18999</v>
      </c>
      <c r="G15" s="76"/>
      <c r="H15" s="77"/>
      <c r="I15" s="77"/>
      <c r="J15" s="76"/>
      <c r="K15" s="1"/>
      <c r="L15" s="65"/>
      <c r="M15" s="78"/>
      <c r="N15" s="79"/>
      <c r="O15" s="80"/>
      <c r="P15" s="81"/>
    </row>
    <row r="16" spans="1:103" customFormat="1" ht="15" x14ac:dyDescent="0.25">
      <c r="A16" s="70" t="s">
        <v>115</v>
      </c>
      <c r="B16" s="71"/>
      <c r="C16" s="72"/>
      <c r="D16" s="73">
        <f>Q11</f>
        <v>567.03214285714284</v>
      </c>
      <c r="E16" s="74"/>
      <c r="F16" s="64" t="str">
        <f>"Recording input VAT for expenses and purchases made using house fund for " &amp; TEXT(A5, "mmmm dd, yyyy")</f>
        <v>Recording input VAT for expenses and purchases made using house fund for August 19, 2025</v>
      </c>
      <c r="G16" s="82"/>
      <c r="H16" s="83"/>
      <c r="I16" s="84"/>
      <c r="J16" s="82"/>
      <c r="K16" s="1"/>
      <c r="L16" s="65"/>
      <c r="M16" s="66"/>
      <c r="N16" s="67"/>
      <c r="O16" s="68"/>
      <c r="P16" s="69"/>
    </row>
    <row r="17" spans="1:16" customFormat="1" ht="15" x14ac:dyDescent="0.25">
      <c r="A17" s="85" t="s">
        <v>116</v>
      </c>
      <c r="B17" s="86"/>
      <c r="C17" s="87"/>
      <c r="D17" s="88"/>
      <c r="E17" s="74">
        <f>P11</f>
        <v>47.252678571428575</v>
      </c>
      <c r="F17" s="89" t="str">
        <f>"Recording the tax withheld for expenses and purchases using the house fund received on " &amp; TEXT(A5, "mmmm dd, yyyy")</f>
        <v>Recording the tax withheld for expenses and purchases using the house fund received on August 19, 2025</v>
      </c>
      <c r="G17" s="82"/>
      <c r="H17" s="83"/>
      <c r="I17" s="84"/>
      <c r="J17" s="82"/>
      <c r="K17" s="1"/>
      <c r="L17" s="65"/>
      <c r="M17" s="66"/>
      <c r="N17" s="67"/>
      <c r="O17" s="68"/>
      <c r="P17" s="69"/>
    </row>
    <row r="18" spans="1:16" customFormat="1" ht="15" x14ac:dyDescent="0.25">
      <c r="A18" s="70" t="s">
        <v>117</v>
      </c>
      <c r="B18" s="86"/>
      <c r="C18" s="87"/>
      <c r="D18" s="90"/>
      <c r="E18" s="91">
        <f>M11</f>
        <v>5292.2999999999993</v>
      </c>
      <c r="F18" s="89" t="str">
        <f>"Recording house fund expenses for replenishment on " &amp; TEXT(A5, "mmmm dd, yyyy")</f>
        <v>Recording house fund expenses for replenishment on August 19, 2025</v>
      </c>
      <c r="G18" s="82"/>
      <c r="H18" s="83"/>
      <c r="I18" s="84"/>
      <c r="J18" s="82"/>
      <c r="K18" s="1"/>
      <c r="L18" s="65"/>
      <c r="M18" s="66"/>
      <c r="N18" s="67"/>
      <c r="O18" s="68"/>
      <c r="P18" s="69"/>
    </row>
    <row r="19" spans="1:16" customFormat="1" ht="15" x14ac:dyDescent="0.25">
      <c r="A19" s="85"/>
      <c r="B19" s="86"/>
      <c r="C19" s="87"/>
      <c r="D19" s="88">
        <f>SUM(D15:D16)</f>
        <v>5339.5526785714283</v>
      </c>
      <c r="E19" s="88">
        <f>SUM(E15:E18)</f>
        <v>5339.5526785714283</v>
      </c>
      <c r="F19" s="92"/>
      <c r="G19" s="92"/>
      <c r="H19" s="93"/>
      <c r="I19" s="94"/>
      <c r="J19" s="92"/>
      <c r="K19" s="1"/>
      <c r="L19" s="65"/>
      <c r="M19" s="66"/>
      <c r="N19" s="67"/>
      <c r="O19" s="68"/>
      <c r="P19" s="69"/>
    </row>
    <row r="20" spans="1:16" customFormat="1" ht="15" x14ac:dyDescent="0.25">
      <c r="A20" s="95" t="s">
        <v>118</v>
      </c>
      <c r="B20" s="96" t="str">
        <f>"To record house fund expenses on " &amp; TEXT(A5, "mmmm dd, yyyy") &amp; " with PCV#" &amp; C5</f>
        <v>To record house fund expenses on August 19, 2025 with PCV#20992</v>
      </c>
      <c r="C20" s="97"/>
      <c r="D20" s="98"/>
      <c r="E20" s="98"/>
      <c r="F20" s="98"/>
      <c r="G20" s="92"/>
      <c r="H20" s="93"/>
      <c r="I20" s="94"/>
      <c r="J20" s="92"/>
      <c r="K20" s="1"/>
      <c r="L20" s="65"/>
      <c r="M20" s="66"/>
      <c r="N20" s="67"/>
      <c r="O20" s="68"/>
      <c r="P20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2192B-0495-40BD-9A66-F035BE379948}">
  <sheetPr>
    <tabColor rgb="FF50456B"/>
  </sheetPr>
  <dimension ref="A1:CY15"/>
  <sheetViews>
    <sheetView workbookViewId="0">
      <selection activeCell="D5" sqref="D5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45888</v>
      </c>
      <c r="B5" s="3" t="s">
        <v>761</v>
      </c>
      <c r="C5" s="4" t="s">
        <v>877</v>
      </c>
      <c r="D5" s="5" t="s">
        <v>122</v>
      </c>
      <c r="E5" s="6"/>
      <c r="F5" s="7"/>
      <c r="G5" s="8"/>
      <c r="H5" s="9"/>
      <c r="I5" s="10"/>
      <c r="J5" s="11" t="s">
        <v>226</v>
      </c>
      <c r="K5" s="12">
        <v>1</v>
      </c>
      <c r="L5" s="13">
        <v>117</v>
      </c>
      <c r="M5" s="14">
        <f t="shared" ref="M5" si="0">L5*K5</f>
        <v>117</v>
      </c>
      <c r="N5" s="15"/>
      <c r="O5" s="16" t="s">
        <v>137</v>
      </c>
      <c r="P5" s="17"/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7">
        <f>M5+P5-Q5</f>
        <v>117</v>
      </c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117</v>
      </c>
      <c r="N6" s="38">
        <f>M6</f>
        <v>117</v>
      </c>
      <c r="O6" s="39" t="s">
        <v>137</v>
      </c>
      <c r="P6" s="38"/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>SUM(BC5:BC5)</f>
        <v>117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>
        <f>E5</f>
        <v>0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392</v>
      </c>
      <c r="B10" s="71"/>
      <c r="C10" s="72"/>
      <c r="D10" s="73">
        <f>BC6</f>
        <v>117</v>
      </c>
      <c r="E10" s="74"/>
      <c r="F10" s="75" t="str">
        <f>"In payment for employees meal during purchasing trip using housefund received on " &amp; TEXT(A5, "mmmm dd, yyyy") &amp; " with" &amp; " CPO#" &amp;B5</f>
        <v>In payment for employees meal during purchasing trip using housefund received on August 19, 2025 with CPO#18999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19,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19,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117</v>
      </c>
      <c r="F13" s="89" t="str">
        <f>"Recording house fund expenses for replenishment on " &amp; TEXT(A5, "mmmm dd, yyyy")</f>
        <v>Recording house fund expenses for replenishment on August 19,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117</v>
      </c>
      <c r="E14" s="88">
        <f>SUM(E10:E13)</f>
        <v>117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19, 2025 with PCV#20993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0686D-BB4B-405F-B01D-CC1D20794901}">
  <sheetPr>
    <tabColor rgb="FF50456B"/>
  </sheetPr>
  <dimension ref="A1:CY16"/>
  <sheetViews>
    <sheetView workbookViewId="0">
      <selection activeCell="F8" sqref="F8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82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45889</v>
      </c>
      <c r="B5" s="3" t="s">
        <v>782</v>
      </c>
      <c r="C5" s="4" t="s">
        <v>878</v>
      </c>
      <c r="D5" s="5" t="s">
        <v>122</v>
      </c>
      <c r="E5" s="6" t="s">
        <v>783</v>
      </c>
      <c r="F5" s="7" t="s">
        <v>229</v>
      </c>
      <c r="G5" s="8" t="s">
        <v>784</v>
      </c>
      <c r="H5" s="9">
        <v>170296</v>
      </c>
      <c r="I5" s="10"/>
      <c r="J5" s="11" t="s">
        <v>785</v>
      </c>
      <c r="K5" s="12">
        <v>1</v>
      </c>
      <c r="L5" s="13">
        <v>2100</v>
      </c>
      <c r="M5" s="14">
        <f t="shared" ref="M5:M6" si="0">L5*K5</f>
        <v>2100</v>
      </c>
      <c r="N5" s="15"/>
      <c r="O5" s="16" t="s">
        <v>111</v>
      </c>
      <c r="P5" s="17">
        <f>M5/1.12*0.01</f>
        <v>18.749999999999996</v>
      </c>
      <c r="Q5" s="18">
        <f>M5/1.12*0.12</f>
        <v>224.99999999999997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>
        <f>M5+P5-Q5</f>
        <v>1893.75</v>
      </c>
      <c r="AI5" s="19"/>
      <c r="AJ5" s="19"/>
      <c r="AK5" s="19"/>
      <c r="AL5" s="19"/>
      <c r="AM5" s="17"/>
      <c r="AN5" s="19"/>
      <c r="AO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786</v>
      </c>
      <c r="K6" s="12">
        <v>40</v>
      </c>
      <c r="L6" s="13">
        <v>100</v>
      </c>
      <c r="M6" s="14">
        <f t="shared" si="0"/>
        <v>4000</v>
      </c>
      <c r="N6" s="15"/>
      <c r="O6" s="16" t="s">
        <v>111</v>
      </c>
      <c r="P6" s="17">
        <f t="shared" ref="P6" si="1">M6/1.12*0.01</f>
        <v>35.714285714285715</v>
      </c>
      <c r="Q6" s="18">
        <f t="shared" ref="Q6" si="2">M6/1.12*0.12</f>
        <v>428.5714285714285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>
        <f>M6+P6-Q6</f>
        <v>3607.1428571428573</v>
      </c>
      <c r="AI6" s="19"/>
      <c r="AJ6" s="19"/>
      <c r="AK6" s="19"/>
      <c r="AL6" s="19"/>
      <c r="AM6" s="17"/>
      <c r="AN6" s="19"/>
      <c r="AO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30" customFormat="1" ht="11.25" x14ac:dyDescent="0.2">
      <c r="A7" s="27"/>
      <c r="B7" s="28"/>
      <c r="C7" s="29"/>
      <c r="E7" s="31"/>
      <c r="F7" s="32"/>
      <c r="G7" s="33"/>
      <c r="H7" s="34"/>
      <c r="I7" s="34"/>
      <c r="J7" s="35"/>
      <c r="K7" s="36"/>
      <c r="L7" s="37"/>
      <c r="M7" s="38">
        <f>SUM(M5:M6)</f>
        <v>6100</v>
      </c>
      <c r="N7" s="38">
        <f>M7</f>
        <v>6100</v>
      </c>
      <c r="O7" s="39" t="s">
        <v>111</v>
      </c>
      <c r="P7" s="38">
        <f>SUM(P5:P6)</f>
        <v>54.464285714285708</v>
      </c>
      <c r="Q7" s="38">
        <f>SUM(Q5:Q6)</f>
        <v>653.57142857142844</v>
      </c>
      <c r="S7" s="38">
        <f t="shared" ref="S7:AD7" si="3">SUM(S5:S5)</f>
        <v>0</v>
      </c>
      <c r="T7" s="38">
        <f t="shared" si="3"/>
        <v>0</v>
      </c>
      <c r="U7" s="38">
        <f t="shared" si="3"/>
        <v>0</v>
      </c>
      <c r="V7" s="38">
        <f t="shared" si="3"/>
        <v>0</v>
      </c>
      <c r="W7" s="38">
        <f t="shared" si="3"/>
        <v>0</v>
      </c>
      <c r="X7" s="38">
        <f t="shared" si="3"/>
        <v>0</v>
      </c>
      <c r="Y7" s="38">
        <f t="shared" si="3"/>
        <v>0</v>
      </c>
      <c r="Z7" s="38">
        <f t="shared" si="3"/>
        <v>0</v>
      </c>
      <c r="AA7" s="38">
        <f t="shared" si="3"/>
        <v>0</v>
      </c>
      <c r="AB7" s="38">
        <f t="shared" si="3"/>
        <v>0</v>
      </c>
      <c r="AC7" s="38">
        <f t="shared" si="3"/>
        <v>0</v>
      </c>
      <c r="AD7" s="38">
        <f t="shared" si="3"/>
        <v>0</v>
      </c>
      <c r="AF7" s="38">
        <f>SUM(AF5:AF5)</f>
        <v>0</v>
      </c>
      <c r="AH7" s="38">
        <f>SUM(AH5:AH6)</f>
        <v>5500.8928571428569</v>
      </c>
      <c r="AI7" s="38">
        <f t="shared" ref="AI7:AZ7" si="4">SUM(AI5:AI5)</f>
        <v>0</v>
      </c>
      <c r="AJ7" s="38">
        <f t="shared" si="4"/>
        <v>0</v>
      </c>
      <c r="AK7" s="38">
        <f t="shared" si="4"/>
        <v>0</v>
      </c>
      <c r="AL7" s="38">
        <f t="shared" si="4"/>
        <v>0</v>
      </c>
      <c r="AM7" s="38">
        <f t="shared" si="4"/>
        <v>0</v>
      </c>
      <c r="AN7" s="38">
        <f t="shared" si="4"/>
        <v>0</v>
      </c>
      <c r="AO7" s="38">
        <f t="shared" si="4"/>
        <v>0</v>
      </c>
      <c r="AQ7" s="38">
        <f t="shared" si="4"/>
        <v>0</v>
      </c>
      <c r="AR7" s="38">
        <f t="shared" si="4"/>
        <v>0</v>
      </c>
      <c r="AS7" s="38">
        <f t="shared" si="4"/>
        <v>0</v>
      </c>
      <c r="AT7" s="38">
        <f t="shared" si="4"/>
        <v>0</v>
      </c>
      <c r="AU7" s="38">
        <f t="shared" si="4"/>
        <v>0</v>
      </c>
      <c r="AV7" s="38">
        <f t="shared" si="4"/>
        <v>0</v>
      </c>
      <c r="AW7" s="38">
        <f t="shared" si="4"/>
        <v>0</v>
      </c>
      <c r="AX7" s="38">
        <f t="shared" si="4"/>
        <v>0</v>
      </c>
      <c r="AY7" s="38">
        <f t="shared" si="4"/>
        <v>0</v>
      </c>
      <c r="AZ7" s="38">
        <f t="shared" si="4"/>
        <v>0</v>
      </c>
      <c r="BB7" s="38">
        <f t="shared" ref="BB7:CV7" si="5">SUM(BB5:BB5)</f>
        <v>0</v>
      </c>
      <c r="BC7" s="38">
        <f t="shared" si="5"/>
        <v>0</v>
      </c>
      <c r="BD7" s="38">
        <f t="shared" si="5"/>
        <v>0</v>
      </c>
      <c r="BE7" s="38">
        <f t="shared" si="5"/>
        <v>0</v>
      </c>
      <c r="BF7" s="38">
        <f t="shared" si="5"/>
        <v>0</v>
      </c>
      <c r="BG7" s="38">
        <f t="shared" si="5"/>
        <v>0</v>
      </c>
      <c r="BH7" s="38">
        <f t="shared" si="5"/>
        <v>0</v>
      </c>
      <c r="BI7" s="38">
        <f t="shared" si="5"/>
        <v>0</v>
      </c>
      <c r="BJ7" s="38">
        <f t="shared" si="5"/>
        <v>0</v>
      </c>
      <c r="BK7" s="38">
        <f t="shared" si="5"/>
        <v>0</v>
      </c>
      <c r="BL7" s="38">
        <f t="shared" si="5"/>
        <v>0</v>
      </c>
      <c r="BM7" s="38">
        <f t="shared" si="5"/>
        <v>0</v>
      </c>
      <c r="BN7" s="38">
        <f t="shared" si="5"/>
        <v>0</v>
      </c>
      <c r="BO7" s="38">
        <f t="shared" si="5"/>
        <v>0</v>
      </c>
      <c r="BP7" s="38">
        <f t="shared" si="5"/>
        <v>0</v>
      </c>
      <c r="BQ7" s="38">
        <f t="shared" si="5"/>
        <v>0</v>
      </c>
      <c r="BR7" s="38">
        <f t="shared" si="5"/>
        <v>0</v>
      </c>
      <c r="BS7" s="38">
        <f t="shared" si="5"/>
        <v>0</v>
      </c>
      <c r="BT7" s="38">
        <f t="shared" si="5"/>
        <v>0</v>
      </c>
      <c r="BU7" s="38">
        <f t="shared" si="5"/>
        <v>0</v>
      </c>
      <c r="BV7" s="38">
        <f t="shared" si="5"/>
        <v>0</v>
      </c>
      <c r="BW7" s="38">
        <f t="shared" si="5"/>
        <v>0</v>
      </c>
      <c r="BX7" s="38">
        <f t="shared" si="5"/>
        <v>0</v>
      </c>
      <c r="BY7" s="38">
        <f t="shared" si="5"/>
        <v>0</v>
      </c>
      <c r="BZ7" s="38">
        <f t="shared" si="5"/>
        <v>0</v>
      </c>
      <c r="CA7" s="38">
        <f t="shared" si="5"/>
        <v>0</v>
      </c>
      <c r="CB7" s="38">
        <f t="shared" si="5"/>
        <v>0</v>
      </c>
      <c r="CC7" s="38">
        <f t="shared" si="5"/>
        <v>0</v>
      </c>
      <c r="CD7" s="38">
        <f t="shared" si="5"/>
        <v>0</v>
      </c>
      <c r="CE7" s="38">
        <f t="shared" si="5"/>
        <v>0</v>
      </c>
      <c r="CF7" s="38">
        <f t="shared" si="5"/>
        <v>0</v>
      </c>
      <c r="CG7" s="38">
        <f t="shared" si="5"/>
        <v>0</v>
      </c>
      <c r="CH7" s="38">
        <f t="shared" si="5"/>
        <v>0</v>
      </c>
      <c r="CI7" s="38">
        <f t="shared" si="5"/>
        <v>0</v>
      </c>
      <c r="CJ7" s="38">
        <f t="shared" si="5"/>
        <v>0</v>
      </c>
      <c r="CK7" s="38">
        <f t="shared" si="5"/>
        <v>0</v>
      </c>
      <c r="CL7" s="38">
        <f t="shared" si="5"/>
        <v>0</v>
      </c>
      <c r="CM7" s="38">
        <f t="shared" si="5"/>
        <v>0</v>
      </c>
      <c r="CN7" s="38">
        <f t="shared" si="5"/>
        <v>0</v>
      </c>
      <c r="CO7" s="38">
        <f t="shared" si="5"/>
        <v>0</v>
      </c>
      <c r="CP7" s="38">
        <f t="shared" si="5"/>
        <v>0</v>
      </c>
      <c r="CQ7" s="38">
        <f t="shared" si="5"/>
        <v>0</v>
      </c>
      <c r="CR7" s="38">
        <f t="shared" si="5"/>
        <v>0</v>
      </c>
      <c r="CS7" s="38">
        <f t="shared" si="5"/>
        <v>0</v>
      </c>
      <c r="CT7" s="38">
        <f t="shared" si="5"/>
        <v>0</v>
      </c>
      <c r="CU7" s="38">
        <f t="shared" si="5"/>
        <v>0</v>
      </c>
      <c r="CV7" s="38">
        <f t="shared" si="5"/>
        <v>0</v>
      </c>
      <c r="CW7" s="40"/>
    </row>
    <row r="8" spans="1:103" customFormat="1" ht="15" x14ac:dyDescent="0.25"/>
    <row r="9" spans="1:103" customFormat="1" ht="15" x14ac:dyDescent="0.25">
      <c r="A9" s="41" t="str">
        <f>E5</f>
        <v>EMLORE ENTERPRISES</v>
      </c>
      <c r="B9" s="42"/>
      <c r="C9" s="43"/>
      <c r="D9" s="44"/>
      <c r="E9" s="44"/>
      <c r="F9" s="45"/>
      <c r="G9" s="46"/>
      <c r="H9" s="47"/>
      <c r="I9" s="48"/>
      <c r="J9" s="49"/>
      <c r="K9" s="50"/>
      <c r="L9" s="51"/>
      <c r="M9" s="52"/>
      <c r="N9" s="53"/>
      <c r="O9" s="54"/>
      <c r="P9" s="55"/>
    </row>
    <row r="10" spans="1:103" customFormat="1" ht="15" x14ac:dyDescent="0.25">
      <c r="A10" s="56"/>
      <c r="B10" s="57"/>
      <c r="C10" s="58"/>
      <c r="D10" s="59" t="s">
        <v>112</v>
      </c>
      <c r="E10" s="59" t="s">
        <v>113</v>
      </c>
      <c r="F10" s="60" t="s">
        <v>114</v>
      </c>
      <c r="G10" s="61"/>
      <c r="H10" s="62"/>
      <c r="I10" s="63"/>
      <c r="J10" s="64"/>
      <c r="K10" s="1"/>
      <c r="L10" s="65"/>
      <c r="M10" s="66"/>
      <c r="N10" s="67"/>
      <c r="O10" s="68"/>
      <c r="P10" s="69"/>
    </row>
    <row r="11" spans="1:103" customFormat="1" ht="13.5" customHeight="1" x14ac:dyDescent="0.25">
      <c r="A11" s="70" t="s">
        <v>346</v>
      </c>
      <c r="B11" s="71"/>
      <c r="C11" s="72"/>
      <c r="D11" s="73">
        <f>AH7</f>
        <v>5500.8928571428569</v>
      </c>
      <c r="E11" s="74"/>
      <c r="F11" s="75" t="str">
        <f>"In payment for repair and maintenace for room 214 aircon installation using housefund received on " &amp; TEXT(A5, "mmmm dd, yyyy") &amp; " with SI#170296 PR#29997,29999,30000 RR#" &amp; " CPO#" &amp;B5</f>
        <v>In payment for repair and maintenace for room 214 aircon installation using housefund received on August 20, 2025 with SI#170296 PR#29997,29999,30000 RR# CPO#19000</v>
      </c>
      <c r="G11" s="76"/>
      <c r="H11" s="77"/>
      <c r="I11" s="77"/>
      <c r="J11" s="76"/>
      <c r="K11" s="1"/>
      <c r="L11" s="65"/>
      <c r="M11" s="78"/>
      <c r="N11" s="79"/>
      <c r="O11" s="80"/>
      <c r="P11" s="81"/>
    </row>
    <row r="12" spans="1:103" customFormat="1" ht="15" x14ac:dyDescent="0.25">
      <c r="A12" s="70" t="s">
        <v>115</v>
      </c>
      <c r="B12" s="71"/>
      <c r="C12" s="72"/>
      <c r="D12" s="73">
        <f>Q7</f>
        <v>653.57142857142844</v>
      </c>
      <c r="E12" s="74"/>
      <c r="F12" s="64" t="str">
        <f>"Recording input VAT for expenses and purchases made using house fund for " &amp; TEXT(A5, "mmmm dd, yyyy")</f>
        <v>Recording input VAT for expenses and purchases made using house fund for August 20,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85" t="s">
        <v>116</v>
      </c>
      <c r="B13" s="86"/>
      <c r="C13" s="87"/>
      <c r="D13" s="88"/>
      <c r="E13" s="74">
        <f>P7</f>
        <v>54.464285714285708</v>
      </c>
      <c r="F13" s="89" t="str">
        <f>"Recording the tax withheld for expenses and purchases using the house fund received on " &amp; TEXT(A5, "mmmm dd, yyyy")</f>
        <v>Recording the tax withheld for expenses and purchases using the house fund received on August 20,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70" t="s">
        <v>117</v>
      </c>
      <c r="B14" s="86"/>
      <c r="C14" s="87"/>
      <c r="D14" s="90"/>
      <c r="E14" s="91">
        <f>M7</f>
        <v>6100</v>
      </c>
      <c r="F14" s="89" t="str">
        <f>"Recording house fund expenses for replenishment on " &amp; TEXT(A5, "mmmm dd, yyyy")</f>
        <v>Recording house fund expenses for replenishment on August 20,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85"/>
      <c r="B15" s="86"/>
      <c r="C15" s="87"/>
      <c r="D15" s="88">
        <f>SUM(D11:D12)</f>
        <v>6154.4642857142853</v>
      </c>
      <c r="E15" s="88">
        <f>SUM(E11:E14)</f>
        <v>6154.4642857142853</v>
      </c>
      <c r="F15" s="92"/>
      <c r="G15" s="92"/>
      <c r="H15" s="93"/>
      <c r="I15" s="94"/>
      <c r="J15" s="92"/>
      <c r="K15" s="1"/>
      <c r="L15" s="65"/>
      <c r="M15" s="66"/>
      <c r="N15" s="67"/>
      <c r="O15" s="68"/>
      <c r="P15" s="69"/>
    </row>
    <row r="16" spans="1:103" customFormat="1" ht="15" x14ac:dyDescent="0.25">
      <c r="A16" s="95" t="s">
        <v>118</v>
      </c>
      <c r="B16" s="96" t="str">
        <f>"To record house fund expenses on " &amp; TEXT(A5, "mmmm dd, yyyy") &amp; " with PCV#" &amp; C5</f>
        <v>To record house fund expenses on August 20, 2025 with PCV#20994</v>
      </c>
      <c r="C16" s="97"/>
      <c r="D16" s="98"/>
      <c r="E16" s="98"/>
      <c r="F16" s="98"/>
      <c r="G16" s="92"/>
      <c r="H16" s="93"/>
      <c r="I16" s="94"/>
      <c r="J16" s="92"/>
      <c r="K16" s="1"/>
      <c r="L16" s="65"/>
      <c r="M16" s="66"/>
      <c r="N16" s="67"/>
      <c r="O16" s="68"/>
      <c r="P16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D89DF-A66A-4AE1-9847-7EE73B790B62}">
  <sheetPr>
    <tabColor rgb="FF50456B"/>
  </sheetPr>
  <dimension ref="A1:CY17"/>
  <sheetViews>
    <sheetView topLeftCell="A4" workbookViewId="0">
      <selection activeCell="C10" sqref="C10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45889</v>
      </c>
      <c r="B5" s="3" t="s">
        <v>782</v>
      </c>
      <c r="C5" s="4" t="s">
        <v>879</v>
      </c>
      <c r="D5" s="5" t="s">
        <v>122</v>
      </c>
      <c r="E5" s="6" t="s">
        <v>787</v>
      </c>
      <c r="F5" s="7" t="s">
        <v>296</v>
      </c>
      <c r="G5" s="8" t="s">
        <v>788</v>
      </c>
      <c r="H5" s="9">
        <v>9745</v>
      </c>
      <c r="I5" s="10" t="s">
        <v>789</v>
      </c>
      <c r="J5" s="11" t="s">
        <v>790</v>
      </c>
      <c r="K5" s="12">
        <v>4</v>
      </c>
      <c r="L5" s="13">
        <v>1470</v>
      </c>
      <c r="M5" s="14">
        <f t="shared" ref="M5:M7" si="0">L5*K5</f>
        <v>5880</v>
      </c>
      <c r="N5" s="15"/>
      <c r="O5" s="16" t="s">
        <v>111</v>
      </c>
      <c r="P5" s="17">
        <f>M5/1.12*0.01</f>
        <v>52.499999999999993</v>
      </c>
      <c r="Q5" s="18">
        <f>M5/1.12*0.12</f>
        <v>629.99999999999989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>
        <f>M5+P5-Q5</f>
        <v>5302.5</v>
      </c>
      <c r="AI5" s="19"/>
      <c r="AJ5" s="19"/>
      <c r="AK5" s="19"/>
      <c r="AL5" s="19"/>
      <c r="AM5" s="17"/>
      <c r="AN5" s="19"/>
      <c r="AO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791</v>
      </c>
      <c r="K6" s="12">
        <v>4</v>
      </c>
      <c r="L6" s="13">
        <v>2780</v>
      </c>
      <c r="M6" s="14">
        <f t="shared" si="0"/>
        <v>11120</v>
      </c>
      <c r="N6" s="15"/>
      <c r="O6" s="16" t="s">
        <v>111</v>
      </c>
      <c r="P6" s="17">
        <f t="shared" ref="P6:P7" si="1">M6/1.12*0.01</f>
        <v>99.285714285714278</v>
      </c>
      <c r="Q6" s="18">
        <f t="shared" ref="Q6:Q7" si="2">M6/1.12*0.12</f>
        <v>1191.4285714285713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>
        <f>M6+P6-Q6</f>
        <v>10027.857142857143</v>
      </c>
      <c r="AI6" s="19"/>
      <c r="AJ6" s="19"/>
      <c r="AK6" s="19"/>
      <c r="AL6" s="19"/>
      <c r="AM6" s="17"/>
      <c r="AN6" s="19"/>
      <c r="AO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5" customFormat="1" x14ac:dyDescent="0.2">
      <c r="A7" s="2"/>
      <c r="B7" s="3"/>
      <c r="C7" s="4"/>
      <c r="E7" s="6"/>
      <c r="F7" s="7"/>
      <c r="G7" s="8"/>
      <c r="H7" s="9"/>
      <c r="I7" s="10"/>
      <c r="J7" s="11" t="s">
        <v>792</v>
      </c>
      <c r="K7" s="12">
        <v>4</v>
      </c>
      <c r="L7" s="13">
        <v>83</v>
      </c>
      <c r="M7" s="14">
        <f t="shared" si="0"/>
        <v>332</v>
      </c>
      <c r="N7" s="15"/>
      <c r="O7" s="16" t="s">
        <v>111</v>
      </c>
      <c r="P7" s="17">
        <f t="shared" si="1"/>
        <v>2.964285714285714</v>
      </c>
      <c r="Q7" s="18">
        <f t="shared" si="2"/>
        <v>35.571428571428562</v>
      </c>
      <c r="S7" s="19"/>
      <c r="T7" s="19"/>
      <c r="U7" s="19"/>
      <c r="V7" s="19"/>
      <c r="W7" s="17"/>
      <c r="X7" s="20"/>
      <c r="Y7" s="19"/>
      <c r="Z7" s="19"/>
      <c r="AA7" s="19"/>
      <c r="AB7" s="19"/>
      <c r="AC7" s="19"/>
      <c r="AD7" s="19"/>
      <c r="AF7" s="19"/>
      <c r="AH7" s="17">
        <f>M7+P7-Q7</f>
        <v>299.39285714285717</v>
      </c>
      <c r="AI7" s="19"/>
      <c r="AJ7" s="19"/>
      <c r="AK7" s="19"/>
      <c r="AL7" s="19"/>
      <c r="AM7" s="17"/>
      <c r="AN7" s="19"/>
      <c r="AO7" s="19"/>
      <c r="AQ7" s="19"/>
      <c r="AR7" s="19"/>
      <c r="AS7" s="21"/>
      <c r="AU7" s="19"/>
      <c r="AW7" s="22"/>
      <c r="AX7" s="19"/>
      <c r="AZ7" s="19"/>
      <c r="BC7" s="19"/>
      <c r="BD7" s="19"/>
      <c r="BE7" s="19"/>
      <c r="BF7" s="19"/>
      <c r="BG7" s="19"/>
      <c r="BH7" s="19"/>
      <c r="BI7" s="19"/>
      <c r="BJ7" s="19"/>
      <c r="BK7" s="13"/>
      <c r="BN7" s="19"/>
      <c r="BO7" s="17"/>
      <c r="BP7" s="19"/>
      <c r="BQ7" s="17"/>
      <c r="BR7" s="19"/>
      <c r="BS7" s="13"/>
      <c r="BU7" s="23"/>
      <c r="BV7" s="23"/>
      <c r="BW7" s="24"/>
      <c r="CA7" s="24"/>
      <c r="CB7" s="24"/>
      <c r="CC7" s="24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25"/>
      <c r="CW7" s="26"/>
    </row>
    <row r="8" spans="1:103" s="30" customFormat="1" ht="11.25" x14ac:dyDescent="0.2">
      <c r="A8" s="27"/>
      <c r="B8" s="28"/>
      <c r="C8" s="29"/>
      <c r="E8" s="31"/>
      <c r="F8" s="32"/>
      <c r="G8" s="33"/>
      <c r="H8" s="34"/>
      <c r="I8" s="34"/>
      <c r="J8" s="35"/>
      <c r="K8" s="36"/>
      <c r="L8" s="37"/>
      <c r="M8" s="38">
        <f>SUM(M5:M7)</f>
        <v>17332</v>
      </c>
      <c r="N8" s="38">
        <f>M8</f>
        <v>17332</v>
      </c>
      <c r="O8" s="39" t="s">
        <v>111</v>
      </c>
      <c r="P8" s="38">
        <f>SUM(P5:P7)</f>
        <v>154.75</v>
      </c>
      <c r="Q8" s="38">
        <f>SUM(Q5:Q7)</f>
        <v>1856.9999999999998</v>
      </c>
      <c r="S8" s="38">
        <f t="shared" ref="S8:AD8" si="3">SUM(S5:S5)</f>
        <v>0</v>
      </c>
      <c r="T8" s="38">
        <f t="shared" si="3"/>
        <v>0</v>
      </c>
      <c r="U8" s="38">
        <f t="shared" si="3"/>
        <v>0</v>
      </c>
      <c r="V8" s="38">
        <f t="shared" si="3"/>
        <v>0</v>
      </c>
      <c r="W8" s="38">
        <f t="shared" si="3"/>
        <v>0</v>
      </c>
      <c r="X8" s="38">
        <f t="shared" si="3"/>
        <v>0</v>
      </c>
      <c r="Y8" s="38">
        <f t="shared" si="3"/>
        <v>0</v>
      </c>
      <c r="Z8" s="38">
        <f t="shared" si="3"/>
        <v>0</v>
      </c>
      <c r="AA8" s="38">
        <f t="shared" si="3"/>
        <v>0</v>
      </c>
      <c r="AB8" s="38">
        <f t="shared" si="3"/>
        <v>0</v>
      </c>
      <c r="AC8" s="38">
        <f t="shared" si="3"/>
        <v>0</v>
      </c>
      <c r="AD8" s="38">
        <f t="shared" si="3"/>
        <v>0</v>
      </c>
      <c r="AF8" s="38">
        <f>SUM(AF5:AF5)</f>
        <v>0</v>
      </c>
      <c r="AH8" s="38">
        <f>SUM(AH5:AH7)</f>
        <v>15629.75</v>
      </c>
      <c r="AI8" s="38">
        <f t="shared" ref="AI8:AZ8" si="4">SUM(AI5:AI5)</f>
        <v>0</v>
      </c>
      <c r="AJ8" s="38">
        <f t="shared" si="4"/>
        <v>0</v>
      </c>
      <c r="AK8" s="38">
        <f t="shared" si="4"/>
        <v>0</v>
      </c>
      <c r="AL8" s="38">
        <f t="shared" si="4"/>
        <v>0</v>
      </c>
      <c r="AM8" s="38">
        <f t="shared" si="4"/>
        <v>0</v>
      </c>
      <c r="AN8" s="38">
        <f t="shared" si="4"/>
        <v>0</v>
      </c>
      <c r="AO8" s="38">
        <f t="shared" si="4"/>
        <v>0</v>
      </c>
      <c r="AQ8" s="38">
        <f t="shared" si="4"/>
        <v>0</v>
      </c>
      <c r="AR8" s="38">
        <f t="shared" si="4"/>
        <v>0</v>
      </c>
      <c r="AS8" s="38">
        <f t="shared" si="4"/>
        <v>0</v>
      </c>
      <c r="AT8" s="38">
        <f t="shared" si="4"/>
        <v>0</v>
      </c>
      <c r="AU8" s="38">
        <f t="shared" si="4"/>
        <v>0</v>
      </c>
      <c r="AV8" s="38">
        <f t="shared" si="4"/>
        <v>0</v>
      </c>
      <c r="AW8" s="38">
        <f t="shared" si="4"/>
        <v>0</v>
      </c>
      <c r="AX8" s="38">
        <f t="shared" si="4"/>
        <v>0</v>
      </c>
      <c r="AY8" s="38">
        <f t="shared" si="4"/>
        <v>0</v>
      </c>
      <c r="AZ8" s="38">
        <f t="shared" si="4"/>
        <v>0</v>
      </c>
      <c r="BB8" s="38">
        <f t="shared" ref="BB8:CV8" si="5">SUM(BB5:BB5)</f>
        <v>0</v>
      </c>
      <c r="BC8" s="38">
        <f t="shared" si="5"/>
        <v>0</v>
      </c>
      <c r="BD8" s="38">
        <f t="shared" si="5"/>
        <v>0</v>
      </c>
      <c r="BE8" s="38">
        <f t="shared" si="5"/>
        <v>0</v>
      </c>
      <c r="BF8" s="38">
        <f t="shared" si="5"/>
        <v>0</v>
      </c>
      <c r="BG8" s="38">
        <f t="shared" si="5"/>
        <v>0</v>
      </c>
      <c r="BH8" s="38">
        <f t="shared" si="5"/>
        <v>0</v>
      </c>
      <c r="BI8" s="38">
        <f t="shared" si="5"/>
        <v>0</v>
      </c>
      <c r="BJ8" s="38">
        <f t="shared" si="5"/>
        <v>0</v>
      </c>
      <c r="BK8" s="38">
        <f t="shared" si="5"/>
        <v>0</v>
      </c>
      <c r="BL8" s="38">
        <f t="shared" si="5"/>
        <v>0</v>
      </c>
      <c r="BM8" s="38">
        <f t="shared" si="5"/>
        <v>0</v>
      </c>
      <c r="BN8" s="38">
        <f t="shared" si="5"/>
        <v>0</v>
      </c>
      <c r="BO8" s="38">
        <f t="shared" si="5"/>
        <v>0</v>
      </c>
      <c r="BP8" s="38">
        <f t="shared" si="5"/>
        <v>0</v>
      </c>
      <c r="BQ8" s="38">
        <f t="shared" si="5"/>
        <v>0</v>
      </c>
      <c r="BR8" s="38">
        <f t="shared" si="5"/>
        <v>0</v>
      </c>
      <c r="BS8" s="38">
        <f t="shared" si="5"/>
        <v>0</v>
      </c>
      <c r="BT8" s="38">
        <f t="shared" si="5"/>
        <v>0</v>
      </c>
      <c r="BU8" s="38">
        <f t="shared" si="5"/>
        <v>0</v>
      </c>
      <c r="BV8" s="38">
        <f t="shared" si="5"/>
        <v>0</v>
      </c>
      <c r="BW8" s="38">
        <f t="shared" si="5"/>
        <v>0</v>
      </c>
      <c r="BX8" s="38">
        <f t="shared" si="5"/>
        <v>0</v>
      </c>
      <c r="BY8" s="38">
        <f t="shared" si="5"/>
        <v>0</v>
      </c>
      <c r="BZ8" s="38">
        <f t="shared" si="5"/>
        <v>0</v>
      </c>
      <c r="CA8" s="38">
        <f t="shared" si="5"/>
        <v>0</v>
      </c>
      <c r="CB8" s="38">
        <f t="shared" si="5"/>
        <v>0</v>
      </c>
      <c r="CC8" s="38">
        <f t="shared" si="5"/>
        <v>0</v>
      </c>
      <c r="CD8" s="38">
        <f t="shared" si="5"/>
        <v>0</v>
      </c>
      <c r="CE8" s="38">
        <f t="shared" si="5"/>
        <v>0</v>
      </c>
      <c r="CF8" s="38">
        <f t="shared" si="5"/>
        <v>0</v>
      </c>
      <c r="CG8" s="38">
        <f t="shared" si="5"/>
        <v>0</v>
      </c>
      <c r="CH8" s="38">
        <f t="shared" si="5"/>
        <v>0</v>
      </c>
      <c r="CI8" s="38">
        <f t="shared" si="5"/>
        <v>0</v>
      </c>
      <c r="CJ8" s="38">
        <f t="shared" si="5"/>
        <v>0</v>
      </c>
      <c r="CK8" s="38">
        <f t="shared" si="5"/>
        <v>0</v>
      </c>
      <c r="CL8" s="38">
        <f t="shared" si="5"/>
        <v>0</v>
      </c>
      <c r="CM8" s="38">
        <f t="shared" si="5"/>
        <v>0</v>
      </c>
      <c r="CN8" s="38">
        <f t="shared" si="5"/>
        <v>0</v>
      </c>
      <c r="CO8" s="38">
        <f t="shared" si="5"/>
        <v>0</v>
      </c>
      <c r="CP8" s="38">
        <f t="shared" si="5"/>
        <v>0</v>
      </c>
      <c r="CQ8" s="38">
        <f t="shared" si="5"/>
        <v>0</v>
      </c>
      <c r="CR8" s="38">
        <f t="shared" si="5"/>
        <v>0</v>
      </c>
      <c r="CS8" s="38">
        <f t="shared" si="5"/>
        <v>0</v>
      </c>
      <c r="CT8" s="38">
        <f t="shared" si="5"/>
        <v>0</v>
      </c>
      <c r="CU8" s="38">
        <f t="shared" si="5"/>
        <v>0</v>
      </c>
      <c r="CV8" s="38">
        <f t="shared" si="5"/>
        <v>0</v>
      </c>
      <c r="CW8" s="40"/>
    </row>
    <row r="9" spans="1:103" customFormat="1" ht="15" x14ac:dyDescent="0.25"/>
    <row r="10" spans="1:103" customFormat="1" ht="15" x14ac:dyDescent="0.25">
      <c r="A10" s="41" t="str">
        <f>E5</f>
        <v>1ROTARY TRADING CORP</v>
      </c>
      <c r="B10" s="42"/>
      <c r="C10" s="43"/>
      <c r="D10" s="44"/>
      <c r="E10" s="44"/>
      <c r="F10" s="45"/>
      <c r="G10" s="46"/>
      <c r="H10" s="47"/>
      <c r="I10" s="48"/>
      <c r="J10" s="49"/>
      <c r="K10" s="50"/>
      <c r="L10" s="51"/>
      <c r="M10" s="52"/>
      <c r="N10" s="53"/>
      <c r="O10" s="54"/>
      <c r="P10" s="55"/>
    </row>
    <row r="11" spans="1:103" customFormat="1" ht="15" x14ac:dyDescent="0.25">
      <c r="A11" s="56"/>
      <c r="B11" s="57"/>
      <c r="C11" s="58"/>
      <c r="D11" s="59" t="s">
        <v>112</v>
      </c>
      <c r="E11" s="59" t="s">
        <v>113</v>
      </c>
      <c r="F11" s="60" t="s">
        <v>114</v>
      </c>
      <c r="G11" s="61"/>
      <c r="H11" s="62"/>
      <c r="I11" s="63"/>
      <c r="J11" s="64"/>
      <c r="K11" s="1"/>
      <c r="L11" s="65"/>
      <c r="M11" s="66"/>
      <c r="N11" s="67"/>
      <c r="O11" s="68"/>
      <c r="P11" s="69"/>
    </row>
    <row r="12" spans="1:103" customFormat="1" ht="13.5" customHeight="1" x14ac:dyDescent="0.25">
      <c r="A12" s="70" t="s">
        <v>346</v>
      </c>
      <c r="B12" s="71"/>
      <c r="C12" s="72"/>
      <c r="D12" s="73">
        <f>AH8</f>
        <v>15629.75</v>
      </c>
      <c r="E12" s="74"/>
      <c r="F12" s="75" t="str">
        <f>"In payment for repair and maintenance of room 505, 214, 412, and 514 for aircon installation using housefund received on " &amp; TEXT(A5, "mmmm dd, yyyy") &amp; " with SI#9745 PR#29998,29997,29999, &amp; 30000 RR#50253" &amp; " CPO#" &amp;B5</f>
        <v>In payment for repair and maintenance of room 505, 214, 412, and 514 for aircon installation using housefund received on August 20, 2025 with SI#9745 PR#29998,29997,29999, &amp; 30000 RR#50253 CPO#19000</v>
      </c>
      <c r="G12" s="76"/>
      <c r="H12" s="77"/>
      <c r="I12" s="77"/>
      <c r="J12" s="76"/>
      <c r="K12" s="1"/>
      <c r="L12" s="65"/>
      <c r="M12" s="78"/>
      <c r="N12" s="79"/>
      <c r="O12" s="80"/>
      <c r="P12" s="81"/>
    </row>
    <row r="13" spans="1:103" customFormat="1" ht="15" x14ac:dyDescent="0.25">
      <c r="A13" s="70" t="s">
        <v>115</v>
      </c>
      <c r="B13" s="71"/>
      <c r="C13" s="72"/>
      <c r="D13" s="73">
        <f>Q8</f>
        <v>1856.9999999999998</v>
      </c>
      <c r="E13" s="74"/>
      <c r="F13" s="64" t="str">
        <f>"Recording input VAT for expenses and purchases made using house fund for " &amp; TEXT(A5, "mmmm dd, yyyy")</f>
        <v>Recording input VAT for expenses and purchases made using house fund for August 20,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 t="s">
        <v>116</v>
      </c>
      <c r="B14" s="86"/>
      <c r="C14" s="87"/>
      <c r="D14" s="88"/>
      <c r="E14" s="74">
        <f>P8</f>
        <v>154.75</v>
      </c>
      <c r="F14" s="89" t="str">
        <f>"Recording the tax withheld for expenses and purchases using the house fund received on " &amp; TEXT(A5, "mmmm dd, yyyy")</f>
        <v>Recording the tax withheld for expenses and purchases using the house fund received on August 20,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70" t="s">
        <v>117</v>
      </c>
      <c r="B15" s="86"/>
      <c r="C15" s="87"/>
      <c r="D15" s="90"/>
      <c r="E15" s="91">
        <f>M8</f>
        <v>17332</v>
      </c>
      <c r="F15" s="89" t="str">
        <f>"Recording house fund expenses for replenishment on " &amp; TEXT(A5, "mmmm dd, yyyy")</f>
        <v>Recording house fund expenses for replenishment on August 20, 2025</v>
      </c>
      <c r="G15" s="82"/>
      <c r="H15" s="83"/>
      <c r="I15" s="84"/>
      <c r="J15" s="82"/>
      <c r="K15" s="1"/>
      <c r="L15" s="65"/>
      <c r="M15" s="66"/>
      <c r="N15" s="67"/>
      <c r="O15" s="68"/>
      <c r="P15" s="69"/>
    </row>
    <row r="16" spans="1:103" customFormat="1" ht="15" x14ac:dyDescent="0.25">
      <c r="A16" s="85"/>
      <c r="B16" s="86"/>
      <c r="C16" s="87"/>
      <c r="D16" s="88">
        <f>SUM(D12:D13)</f>
        <v>17486.75</v>
      </c>
      <c r="E16" s="88">
        <f>SUM(E12:E15)</f>
        <v>17486.75</v>
      </c>
      <c r="F16" s="92"/>
      <c r="G16" s="92"/>
      <c r="H16" s="93"/>
      <c r="I16" s="94"/>
      <c r="J16" s="92"/>
      <c r="K16" s="1"/>
      <c r="L16" s="65"/>
      <c r="M16" s="66"/>
      <c r="N16" s="67"/>
      <c r="O16" s="68"/>
      <c r="P16" s="69"/>
    </row>
    <row r="17" spans="1:16" customFormat="1" ht="15" x14ac:dyDescent="0.25">
      <c r="A17" s="95" t="s">
        <v>118</v>
      </c>
      <c r="B17" s="96" t="str">
        <f>"To record house fund expenses on " &amp; TEXT(A5, "mmmm dd, yyyy") &amp; " with PCV#" &amp; C5</f>
        <v>To record house fund expenses on August 20, 2025 with PCV#20995</v>
      </c>
      <c r="C17" s="97"/>
      <c r="D17" s="98"/>
      <c r="E17" s="98"/>
      <c r="F17" s="98"/>
      <c r="G17" s="92"/>
      <c r="H17" s="93"/>
      <c r="I17" s="94"/>
      <c r="J17" s="92"/>
      <c r="K17" s="1"/>
      <c r="L17" s="65"/>
      <c r="M17" s="66"/>
      <c r="N17" s="67"/>
      <c r="O17" s="68"/>
      <c r="P17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ECA65-CCA4-47BE-BCC5-C01D88E8C368}">
  <sheetPr>
    <tabColor rgb="FF50456B"/>
  </sheetPr>
  <dimension ref="A1:CY15"/>
  <sheetViews>
    <sheetView workbookViewId="0">
      <selection activeCell="C8" sqref="C8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10.140625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45889</v>
      </c>
      <c r="B5" s="3" t="s">
        <v>782</v>
      </c>
      <c r="C5" s="4" t="s">
        <v>880</v>
      </c>
      <c r="D5" s="5" t="s">
        <v>122</v>
      </c>
      <c r="E5" s="6" t="s">
        <v>793</v>
      </c>
      <c r="F5" s="7" t="s">
        <v>258</v>
      </c>
      <c r="G5" s="8" t="s">
        <v>259</v>
      </c>
      <c r="H5" s="9">
        <v>100288842</v>
      </c>
      <c r="I5" s="10" t="s">
        <v>794</v>
      </c>
      <c r="J5" s="11" t="s">
        <v>795</v>
      </c>
      <c r="K5" s="12">
        <v>4</v>
      </c>
      <c r="L5" s="13">
        <v>67</v>
      </c>
      <c r="M5" s="14">
        <f t="shared" ref="M5" si="0">L5*K5</f>
        <v>268</v>
      </c>
      <c r="N5" s="15"/>
      <c r="O5" s="16" t="s">
        <v>111</v>
      </c>
      <c r="P5" s="17">
        <f>M5/1.12*0.01</f>
        <v>2.3928571428571423</v>
      </c>
      <c r="Q5" s="18">
        <f>M5/1.12*0.12</f>
        <v>28.714285714285708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>
        <f>M5+P5-Q5</f>
        <v>241.67857142857144</v>
      </c>
      <c r="AI5" s="19"/>
      <c r="AJ5" s="19"/>
      <c r="AK5" s="19"/>
      <c r="AL5" s="19"/>
      <c r="AM5" s="17"/>
      <c r="AN5" s="19"/>
      <c r="AO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268</v>
      </c>
      <c r="N6" s="38">
        <f>M6</f>
        <v>268</v>
      </c>
      <c r="O6" s="39" t="s">
        <v>111</v>
      </c>
      <c r="P6" s="38">
        <f>SUM(P5:P5)</f>
        <v>2.3928571428571423</v>
      </c>
      <c r="Q6" s="38">
        <f>SUM(Q5:Q5)</f>
        <v>28.714285714285708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>SUM(AH5:AH5)</f>
        <v>241.67857142857144</v>
      </c>
      <c r="AI6" s="38">
        <f t="shared" ref="AI6:AZ6" si="2">SUM(AI5:AI5)</f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WILCON DEPOT INC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346</v>
      </c>
      <c r="B10" s="71"/>
      <c r="C10" s="72"/>
      <c r="D10" s="73">
        <f>AH6</f>
        <v>241.67857142857144</v>
      </c>
      <c r="E10" s="74"/>
      <c r="F10" s="75" t="str">
        <f>"In payment for repair and maintenance for room using housefund received on " &amp; TEXT(A5, "mmmm dd, yyyy") &amp; " with SI#100288842 RR#50254" &amp; " CPO#" &amp;B5</f>
        <v>In payment for repair and maintenance for room using housefund received on August 20, 2025 with SI#100288842 RR#50254 CPO#19000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28.714285714285708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20,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2.3928571428571423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20,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268</v>
      </c>
      <c r="F13" s="89" t="str">
        <f>"Recording house fund expenses for replenishment on " &amp; TEXT(A5, "mmmm dd, yyyy")</f>
        <v>Recording house fund expenses for replenishment on August 20,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270.39285714285717</v>
      </c>
      <c r="E14" s="88">
        <f>SUM(E10:E13)</f>
        <v>270.39285714285717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20, 2025 with PCV#20996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53634-6387-49E4-9D40-377B5B1BBB7C}">
  <sheetPr>
    <tabColor rgb="FF50456B"/>
  </sheetPr>
  <dimension ref="A1:CY15"/>
  <sheetViews>
    <sheetView workbookViewId="0">
      <selection activeCell="C13" sqref="C13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45889</v>
      </c>
      <c r="B5" s="3" t="s">
        <v>796</v>
      </c>
      <c r="C5" s="4" t="s">
        <v>881</v>
      </c>
      <c r="D5" s="5" t="s">
        <v>797</v>
      </c>
      <c r="E5" s="6" t="s">
        <v>798</v>
      </c>
      <c r="F5" s="7" t="s">
        <v>467</v>
      </c>
      <c r="G5" s="8"/>
      <c r="H5" s="9">
        <v>2366</v>
      </c>
      <c r="I5" s="10"/>
      <c r="J5" s="11" t="s">
        <v>799</v>
      </c>
      <c r="K5" s="12">
        <v>1</v>
      </c>
      <c r="L5" s="13">
        <v>125</v>
      </c>
      <c r="M5" s="14">
        <f t="shared" ref="M5" si="0">L5*K5</f>
        <v>125</v>
      </c>
      <c r="N5" s="15"/>
      <c r="O5" s="16" t="s">
        <v>137</v>
      </c>
      <c r="P5" s="17"/>
      <c r="Q5" s="18"/>
      <c r="S5" s="19"/>
      <c r="T5" s="19"/>
      <c r="U5" s="19"/>
      <c r="V5" s="17">
        <f>M5+P5-Q5</f>
        <v>125</v>
      </c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125</v>
      </c>
      <c r="N6" s="38">
        <f>M6</f>
        <v>125</v>
      </c>
      <c r="O6" s="39" t="s">
        <v>137</v>
      </c>
      <c r="P6" s="38"/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>SUM(V5:V5)</f>
        <v>125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SPARK CLEAN LAUNDRY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303</v>
      </c>
      <c r="B10" s="71"/>
      <c r="C10" s="72"/>
      <c r="D10" s="73">
        <f>V6</f>
        <v>125</v>
      </c>
      <c r="E10" s="74"/>
      <c r="F10" s="75" t="str">
        <f>"In payment for 1 pc of fabric cologne for cleaning using housefund received on " &amp; TEXT(A5, "mmmm dd, yyyy") &amp; " with SI#2366 PR#30355 RR#" &amp; " CPO#" &amp;B5</f>
        <v>In payment for 1 pc of fabric cologne for cleaning using housefund received on August 20, 2025 with SI#2366 PR#30355 RR# CPO#19005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20,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20,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125</v>
      </c>
      <c r="F13" s="89" t="str">
        <f>"Recording house fund expenses for replenishment on " &amp; TEXT(A5, "mmmm dd, yyyy")</f>
        <v>Recording house fund expenses for replenishment on August 20,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125</v>
      </c>
      <c r="E14" s="88">
        <f>SUM(E10:E13)</f>
        <v>125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20, 2025 with PCV#20997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EC49A-9860-4623-AFBD-7CEAB5988A44}">
  <sheetPr>
    <tabColor rgb="FF50456B"/>
  </sheetPr>
  <dimension ref="A1:CY15"/>
  <sheetViews>
    <sheetView workbookViewId="0">
      <selection activeCell="C14" sqref="C14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45891</v>
      </c>
      <c r="B5" s="3" t="s">
        <v>800</v>
      </c>
      <c r="C5" s="4" t="s">
        <v>882</v>
      </c>
      <c r="D5" s="5" t="s">
        <v>189</v>
      </c>
      <c r="E5" s="6" t="s">
        <v>272</v>
      </c>
      <c r="F5" s="7"/>
      <c r="G5" s="8" t="s">
        <v>273</v>
      </c>
      <c r="H5" s="9">
        <v>30586</v>
      </c>
      <c r="I5" s="10"/>
      <c r="J5" s="11" t="s">
        <v>339</v>
      </c>
      <c r="K5" s="12">
        <v>6</v>
      </c>
      <c r="L5" s="13">
        <v>90</v>
      </c>
      <c r="M5" s="14">
        <f t="shared" ref="M5" si="0">L5*K5</f>
        <v>540</v>
      </c>
      <c r="N5" s="15"/>
      <c r="O5" s="16" t="s">
        <v>111</v>
      </c>
      <c r="P5" s="17">
        <f>M5/1.12*0.01</f>
        <v>4.8214285714285712</v>
      </c>
      <c r="Q5" s="18">
        <f>M5/1.12*0.12</f>
        <v>57.857142857142854</v>
      </c>
      <c r="R5" s="17">
        <f>M5+P5-Q5</f>
        <v>486.96428571428572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540</v>
      </c>
      <c r="N6" s="38">
        <f>M6</f>
        <v>540</v>
      </c>
      <c r="O6" s="39" t="s">
        <v>111</v>
      </c>
      <c r="P6" s="38">
        <f>SUM(P5:P5)</f>
        <v>4.8214285714285712</v>
      </c>
      <c r="Q6" s="38">
        <f>SUM(Q5:Q5)</f>
        <v>57.857142857142854</v>
      </c>
      <c r="R6" s="38">
        <f>SUM(R5:R5)</f>
        <v>486.96428571428572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CEBU CUBE ICE CORPORATION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486.96428571428572</v>
      </c>
      <c r="E10" s="74"/>
      <c r="F10" s="75" t="str">
        <f>"In payment for 6 packs of tube ice using housefund received on " &amp; TEXT(A5, "mmmm dd, yyyy") &amp; " with SI#30586 RR#" &amp; " CPO#" &amp;B5</f>
        <v>In payment for 6 packs of tube ice using housefund received on August 22, 2025 with SI#30586 RR# CPO#19006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57.857142857142854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22,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4.8214285714285712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22,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540</v>
      </c>
      <c r="F13" s="89" t="str">
        <f>"Recording house fund expenses for replenishment on " &amp; TEXT(A5, "mmmm dd, yyyy")</f>
        <v>Recording house fund expenses for replenishment on August 22,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544.82142857142856</v>
      </c>
      <c r="E14" s="88">
        <f>SUM(E10:E13)</f>
        <v>544.82142857142856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22, 2025 with PCV#20998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67C44-3862-424F-A007-3B6E9F8D81AD}">
  <sheetPr>
    <tabColor rgb="FF50456B"/>
  </sheetPr>
  <dimension ref="A1:CY17"/>
  <sheetViews>
    <sheetView workbookViewId="0">
      <selection activeCell="D13" sqref="D13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45891</v>
      </c>
      <c r="B5" s="3" t="s">
        <v>801</v>
      </c>
      <c r="C5" s="4" t="s">
        <v>898</v>
      </c>
      <c r="D5" s="5" t="s">
        <v>122</v>
      </c>
      <c r="E5" s="6" t="s">
        <v>316</v>
      </c>
      <c r="F5" s="7" t="s">
        <v>229</v>
      </c>
      <c r="G5" s="8" t="s">
        <v>149</v>
      </c>
      <c r="H5" s="9">
        <v>226545</v>
      </c>
      <c r="I5" s="10"/>
      <c r="J5" s="11" t="s">
        <v>802</v>
      </c>
      <c r="K5" s="12">
        <v>1</v>
      </c>
      <c r="L5" s="13">
        <v>12</v>
      </c>
      <c r="M5" s="14">
        <f t="shared" ref="M5:M6" si="0">L5*K5</f>
        <v>12</v>
      </c>
      <c r="N5" s="15"/>
      <c r="O5" s="16" t="s">
        <v>111</v>
      </c>
      <c r="P5" s="17">
        <f>M5/1.12*0.01</f>
        <v>0.10714285714285714</v>
      </c>
      <c r="Q5" s="18">
        <f>M5/1.12*0.12</f>
        <v>1.2857142857142856</v>
      </c>
      <c r="S5" s="19"/>
      <c r="T5" s="19"/>
      <c r="U5" s="19"/>
      <c r="V5" s="19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T5" s="17">
        <f>M5+P5-Q5</f>
        <v>10.821428571428573</v>
      </c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>
        <v>45891</v>
      </c>
      <c r="B6" s="3"/>
      <c r="C6" s="4"/>
      <c r="E6" s="6"/>
      <c r="F6" s="7"/>
      <c r="G6" s="8"/>
      <c r="H6" s="9"/>
      <c r="I6" s="10"/>
      <c r="J6" s="11" t="s">
        <v>803</v>
      </c>
      <c r="K6" s="12">
        <v>5</v>
      </c>
      <c r="L6" s="13">
        <v>182.5</v>
      </c>
      <c r="M6" s="14">
        <f t="shared" si="0"/>
        <v>912.5</v>
      </c>
      <c r="N6" s="15"/>
      <c r="O6" s="16" t="s">
        <v>111</v>
      </c>
      <c r="P6" s="17">
        <f t="shared" ref="P6" si="1">M6/1.12*0.01</f>
        <v>8.147321428571427</v>
      </c>
      <c r="Q6" s="18">
        <f t="shared" ref="Q6" si="2">M6/1.12*0.12</f>
        <v>97.767857142857125</v>
      </c>
      <c r="R6" s="17">
        <f t="shared" ref="R6" si="3">M6+P6-Q6</f>
        <v>822.87946428571433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30" customFormat="1" ht="11.25" x14ac:dyDescent="0.2">
      <c r="A7" s="27"/>
      <c r="B7" s="28"/>
      <c r="C7" s="29"/>
      <c r="E7" s="31"/>
      <c r="F7" s="32"/>
      <c r="G7" s="33"/>
      <c r="H7" s="34"/>
      <c r="I7" s="34"/>
      <c r="J7" s="35"/>
      <c r="K7" s="36"/>
      <c r="L7" s="37"/>
      <c r="M7" s="38">
        <f>SUM(M5:M6)</f>
        <v>924.5</v>
      </c>
      <c r="N7" s="38">
        <f>M7</f>
        <v>924.5</v>
      </c>
      <c r="O7" s="39" t="s">
        <v>111</v>
      </c>
      <c r="P7" s="38">
        <f>SUM(P5:P6)</f>
        <v>8.2544642857142847</v>
      </c>
      <c r="Q7" s="38">
        <f>SUM(Q5:Q6)</f>
        <v>99.053571428571416</v>
      </c>
      <c r="R7" s="38">
        <f>SUM(R5:R6)</f>
        <v>822.87946428571433</v>
      </c>
      <c r="S7" s="38">
        <f t="shared" ref="S7:AT7" si="4">SUM(S5:S6)</f>
        <v>0</v>
      </c>
      <c r="T7" s="38">
        <f t="shared" si="4"/>
        <v>0</v>
      </c>
      <c r="U7" s="38">
        <f t="shared" si="4"/>
        <v>0</v>
      </c>
      <c r="V7" s="38">
        <f t="shared" si="4"/>
        <v>0</v>
      </c>
      <c r="W7" s="38">
        <f t="shared" si="4"/>
        <v>0</v>
      </c>
      <c r="X7" s="38">
        <f t="shared" si="4"/>
        <v>0</v>
      </c>
      <c r="Y7" s="38">
        <f t="shared" si="4"/>
        <v>0</v>
      </c>
      <c r="Z7" s="38">
        <f t="shared" si="4"/>
        <v>0</v>
      </c>
      <c r="AA7" s="38">
        <f t="shared" si="4"/>
        <v>0</v>
      </c>
      <c r="AB7" s="38">
        <f t="shared" si="4"/>
        <v>0</v>
      </c>
      <c r="AC7" s="38">
        <f t="shared" si="4"/>
        <v>0</v>
      </c>
      <c r="AD7" s="38">
        <f t="shared" si="4"/>
        <v>0</v>
      </c>
      <c r="AE7" s="38">
        <f t="shared" si="4"/>
        <v>0</v>
      </c>
      <c r="AF7" s="38">
        <f t="shared" si="4"/>
        <v>0</v>
      </c>
      <c r="AG7" s="38">
        <f t="shared" si="4"/>
        <v>0</v>
      </c>
      <c r="AH7" s="38">
        <f t="shared" si="4"/>
        <v>0</v>
      </c>
      <c r="AI7" s="38">
        <f t="shared" si="4"/>
        <v>0</v>
      </c>
      <c r="AJ7" s="38">
        <f t="shared" si="4"/>
        <v>0</v>
      </c>
      <c r="AK7" s="38">
        <f t="shared" si="4"/>
        <v>0</v>
      </c>
      <c r="AL7" s="38">
        <f t="shared" si="4"/>
        <v>0</v>
      </c>
      <c r="AM7" s="38">
        <f t="shared" si="4"/>
        <v>0</v>
      </c>
      <c r="AN7" s="38">
        <f t="shared" si="4"/>
        <v>0</v>
      </c>
      <c r="AO7" s="38">
        <f t="shared" si="4"/>
        <v>0</v>
      </c>
      <c r="AP7" s="38">
        <f t="shared" si="4"/>
        <v>0</v>
      </c>
      <c r="AQ7" s="38">
        <f t="shared" si="4"/>
        <v>0</v>
      </c>
      <c r="AR7" s="38">
        <f t="shared" si="4"/>
        <v>0</v>
      </c>
      <c r="AS7" s="38">
        <f t="shared" si="4"/>
        <v>0</v>
      </c>
      <c r="AT7" s="38">
        <f t="shared" si="4"/>
        <v>10.821428571428573</v>
      </c>
      <c r="AU7" s="38">
        <f t="shared" ref="AH7:AZ7" si="5">SUM(AU5:AU5)</f>
        <v>0</v>
      </c>
      <c r="AV7" s="38">
        <f t="shared" si="5"/>
        <v>0</v>
      </c>
      <c r="AW7" s="38">
        <f t="shared" si="5"/>
        <v>0</v>
      </c>
      <c r="AX7" s="38">
        <f t="shared" si="5"/>
        <v>0</v>
      </c>
      <c r="AY7" s="38">
        <f t="shared" si="5"/>
        <v>0</v>
      </c>
      <c r="AZ7" s="38">
        <f t="shared" si="5"/>
        <v>0</v>
      </c>
      <c r="BB7" s="38">
        <f t="shared" ref="BB7:CV7" si="6">SUM(BB5:BB5)</f>
        <v>0</v>
      </c>
      <c r="BC7" s="38">
        <f t="shared" si="6"/>
        <v>0</v>
      </c>
      <c r="BD7" s="38">
        <f t="shared" si="6"/>
        <v>0</v>
      </c>
      <c r="BE7" s="38">
        <f t="shared" si="6"/>
        <v>0</v>
      </c>
      <c r="BF7" s="38">
        <f t="shared" si="6"/>
        <v>0</v>
      </c>
      <c r="BG7" s="38">
        <f t="shared" si="6"/>
        <v>0</v>
      </c>
      <c r="BH7" s="38">
        <f t="shared" si="6"/>
        <v>0</v>
      </c>
      <c r="BI7" s="38">
        <f t="shared" si="6"/>
        <v>0</v>
      </c>
      <c r="BJ7" s="38">
        <f t="shared" si="6"/>
        <v>0</v>
      </c>
      <c r="BK7" s="38">
        <f t="shared" si="6"/>
        <v>0</v>
      </c>
      <c r="BL7" s="38">
        <f t="shared" si="6"/>
        <v>0</v>
      </c>
      <c r="BM7" s="38">
        <f t="shared" si="6"/>
        <v>0</v>
      </c>
      <c r="BN7" s="38">
        <f t="shared" si="6"/>
        <v>0</v>
      </c>
      <c r="BO7" s="38">
        <f t="shared" si="6"/>
        <v>0</v>
      </c>
      <c r="BP7" s="38">
        <f t="shared" si="6"/>
        <v>0</v>
      </c>
      <c r="BQ7" s="38">
        <f t="shared" si="6"/>
        <v>0</v>
      </c>
      <c r="BR7" s="38">
        <f t="shared" si="6"/>
        <v>0</v>
      </c>
      <c r="BS7" s="38">
        <f t="shared" si="6"/>
        <v>0</v>
      </c>
      <c r="BT7" s="38">
        <f t="shared" si="6"/>
        <v>0</v>
      </c>
      <c r="BU7" s="38">
        <f t="shared" si="6"/>
        <v>0</v>
      </c>
      <c r="BV7" s="38">
        <f t="shared" si="6"/>
        <v>0</v>
      </c>
      <c r="BW7" s="38">
        <f t="shared" si="6"/>
        <v>0</v>
      </c>
      <c r="BX7" s="38">
        <f t="shared" si="6"/>
        <v>0</v>
      </c>
      <c r="BY7" s="38">
        <f t="shared" si="6"/>
        <v>0</v>
      </c>
      <c r="BZ7" s="38">
        <f t="shared" si="6"/>
        <v>0</v>
      </c>
      <c r="CA7" s="38">
        <f t="shared" si="6"/>
        <v>0</v>
      </c>
      <c r="CB7" s="38">
        <f t="shared" si="6"/>
        <v>0</v>
      </c>
      <c r="CC7" s="38">
        <f t="shared" si="6"/>
        <v>0</v>
      </c>
      <c r="CD7" s="38">
        <f t="shared" si="6"/>
        <v>0</v>
      </c>
      <c r="CE7" s="38">
        <f t="shared" si="6"/>
        <v>0</v>
      </c>
      <c r="CF7" s="38">
        <f t="shared" si="6"/>
        <v>0</v>
      </c>
      <c r="CG7" s="38">
        <f t="shared" si="6"/>
        <v>0</v>
      </c>
      <c r="CH7" s="38">
        <f t="shared" si="6"/>
        <v>0</v>
      </c>
      <c r="CI7" s="38">
        <f t="shared" si="6"/>
        <v>0</v>
      </c>
      <c r="CJ7" s="38">
        <f t="shared" si="6"/>
        <v>0</v>
      </c>
      <c r="CK7" s="38">
        <f t="shared" si="6"/>
        <v>0</v>
      </c>
      <c r="CL7" s="38">
        <f t="shared" si="6"/>
        <v>0</v>
      </c>
      <c r="CM7" s="38">
        <f t="shared" si="6"/>
        <v>0</v>
      </c>
      <c r="CN7" s="38">
        <f t="shared" si="6"/>
        <v>0</v>
      </c>
      <c r="CO7" s="38">
        <f t="shared" si="6"/>
        <v>0</v>
      </c>
      <c r="CP7" s="38">
        <f t="shared" si="6"/>
        <v>0</v>
      </c>
      <c r="CQ7" s="38">
        <f t="shared" si="6"/>
        <v>0</v>
      </c>
      <c r="CR7" s="38">
        <f t="shared" si="6"/>
        <v>0</v>
      </c>
      <c r="CS7" s="38">
        <f t="shared" si="6"/>
        <v>0</v>
      </c>
      <c r="CT7" s="38">
        <f t="shared" si="6"/>
        <v>0</v>
      </c>
      <c r="CU7" s="38">
        <f t="shared" si="6"/>
        <v>0</v>
      </c>
      <c r="CV7" s="38">
        <f t="shared" si="6"/>
        <v>0</v>
      </c>
      <c r="CW7" s="40"/>
    </row>
    <row r="8" spans="1:103" customFormat="1" ht="15" x14ac:dyDescent="0.25"/>
    <row r="9" spans="1:103" customFormat="1" ht="15" x14ac:dyDescent="0.25">
      <c r="A9" s="41" t="str">
        <f>E5</f>
        <v>METRO</v>
      </c>
      <c r="B9" s="42"/>
      <c r="C9" s="43"/>
      <c r="D9" s="44"/>
      <c r="E9" s="44"/>
      <c r="F9" s="45"/>
      <c r="G9" s="46"/>
      <c r="H9" s="47"/>
      <c r="I9" s="48"/>
      <c r="J9" s="49"/>
      <c r="K9" s="50"/>
      <c r="L9" s="51"/>
      <c r="M9" s="52"/>
      <c r="N9" s="53"/>
      <c r="O9" s="54"/>
      <c r="P9" s="55"/>
    </row>
    <row r="10" spans="1:103" customFormat="1" ht="15" x14ac:dyDescent="0.25">
      <c r="A10" s="56"/>
      <c r="B10" s="57"/>
      <c r="C10" s="58"/>
      <c r="D10" s="59" t="s">
        <v>112</v>
      </c>
      <c r="E10" s="59" t="s">
        <v>113</v>
      </c>
      <c r="F10" s="60" t="s">
        <v>114</v>
      </c>
      <c r="G10" s="61"/>
      <c r="H10" s="62"/>
      <c r="I10" s="63"/>
      <c r="J10" s="64"/>
      <c r="K10" s="1"/>
      <c r="L10" s="65"/>
      <c r="M10" s="66"/>
      <c r="N10" s="67"/>
      <c r="O10" s="68"/>
      <c r="P10" s="69"/>
    </row>
    <row r="11" spans="1:103" customFormat="1" ht="13.5" customHeight="1" x14ac:dyDescent="0.25">
      <c r="A11" s="70" t="s">
        <v>901</v>
      </c>
      <c r="B11" s="71"/>
      <c r="C11" s="72"/>
      <c r="D11" s="73">
        <f>R7</f>
        <v>822.87946428571433</v>
      </c>
      <c r="E11" s="74"/>
      <c r="F11" s="75" t="str">
        <f>"In payment for 5 selecta farm fresh savers pack using housefund received on " &amp; TEXT(A5, "mmmm dd, yyyy") &amp; " with SI#226545 RR#" &amp; " CPO#" &amp;B5</f>
        <v>In payment for 5 selecta farm fresh savers pack using housefund received on August 22, 2025 with SI#226545 RR# CPO#19008</v>
      </c>
      <c r="G11" s="76"/>
      <c r="H11" s="77"/>
      <c r="I11" s="77"/>
      <c r="J11" s="76"/>
      <c r="K11" s="1"/>
      <c r="L11" s="65"/>
      <c r="M11" s="78"/>
      <c r="N11" s="79"/>
      <c r="O11" s="80"/>
      <c r="P11" s="81"/>
    </row>
    <row r="12" spans="1:103" customFormat="1" ht="13.5" customHeight="1" x14ac:dyDescent="0.25">
      <c r="A12" s="70" t="s">
        <v>902</v>
      </c>
      <c r="B12" s="71"/>
      <c r="C12" s="72"/>
      <c r="D12" s="73">
        <f>AT7</f>
        <v>10.821428571428573</v>
      </c>
      <c r="E12" s="74"/>
      <c r="F12" s="75" t="str">
        <f>"In payment for 1pc of sando bag non woven using housefund received on " &amp; TEXT(A6, "mmmm dd, yyyy") &amp; " with SI#226545 RR#" &amp; " CPO#19008" &amp;B6</f>
        <v>In payment for 1pc of sando bag non woven using housefund received on August 22, 2025 with SI#226545 RR# CPO#19008</v>
      </c>
      <c r="G12" s="76"/>
      <c r="H12" s="77"/>
      <c r="I12" s="77"/>
      <c r="J12" s="76"/>
      <c r="K12" s="1"/>
      <c r="L12" s="65"/>
      <c r="M12" s="78"/>
      <c r="N12" s="79"/>
      <c r="O12" s="80"/>
      <c r="P12" s="81"/>
    </row>
    <row r="13" spans="1:103" customFormat="1" ht="15" x14ac:dyDescent="0.25">
      <c r="A13" s="70" t="s">
        <v>115</v>
      </c>
      <c r="B13" s="71"/>
      <c r="C13" s="72"/>
      <c r="D13" s="73">
        <f>Q7</f>
        <v>99.053571428571416</v>
      </c>
      <c r="E13" s="74"/>
      <c r="F13" s="64" t="str">
        <f>"Recording input VAT for expenses and purchases made using house fund for " &amp; TEXT(A5, "mmmm dd, yyyy")</f>
        <v>Recording input VAT for expenses and purchases made using house fund for August 22,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 t="s">
        <v>116</v>
      </c>
      <c r="B14" s="86"/>
      <c r="C14" s="87"/>
      <c r="D14" s="88"/>
      <c r="E14" s="74">
        <f>P7</f>
        <v>8.2544642857142847</v>
      </c>
      <c r="F14" s="89" t="str">
        <f>"Recording the tax withheld for expenses and purchases using the house fund received on " &amp; TEXT(A5, "mmmm dd, yyyy")</f>
        <v>Recording the tax withheld for expenses and purchases using the house fund received on August 22,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70" t="s">
        <v>117</v>
      </c>
      <c r="B15" s="86"/>
      <c r="C15" s="87"/>
      <c r="D15" s="90"/>
      <c r="E15" s="91">
        <f>M7</f>
        <v>924.5</v>
      </c>
      <c r="F15" s="89" t="str">
        <f>"Recording house fund expenses for replenishment on " &amp; TEXT(A5, "mmmm dd, yyyy")</f>
        <v>Recording house fund expenses for replenishment on August 22, 2025</v>
      </c>
      <c r="G15" s="82"/>
      <c r="H15" s="83"/>
      <c r="I15" s="84"/>
      <c r="J15" s="82"/>
      <c r="K15" s="1"/>
      <c r="L15" s="65"/>
      <c r="M15" s="66"/>
      <c r="N15" s="67"/>
      <c r="O15" s="68"/>
      <c r="P15" s="69"/>
    </row>
    <row r="16" spans="1:103" customFormat="1" ht="15" x14ac:dyDescent="0.25">
      <c r="A16" s="85"/>
      <c r="B16" s="86"/>
      <c r="C16" s="87"/>
      <c r="D16" s="88">
        <f>SUM(D11:D13)</f>
        <v>932.75446428571433</v>
      </c>
      <c r="E16" s="88">
        <f>SUM(E11:E15)</f>
        <v>932.75446428571433</v>
      </c>
      <c r="F16" s="92"/>
      <c r="G16" s="92"/>
      <c r="H16" s="93"/>
      <c r="I16" s="94"/>
      <c r="J16" s="92"/>
      <c r="K16" s="1"/>
      <c r="L16" s="65"/>
      <c r="M16" s="66"/>
      <c r="N16" s="67"/>
      <c r="O16" s="68"/>
      <c r="P16" s="69"/>
    </row>
    <row r="17" spans="1:16" customFormat="1" ht="15" x14ac:dyDescent="0.25">
      <c r="A17" s="95" t="s">
        <v>118</v>
      </c>
      <c r="B17" s="96" t="str">
        <f>"To record house fund expenses on " &amp; TEXT(A5, "mmmm dd, yyyy") &amp; " with PCV#" &amp; C5</f>
        <v>To record house fund expenses on August 22, 2025 with PCV#20999</v>
      </c>
      <c r="C17" s="97"/>
      <c r="D17" s="98"/>
      <c r="E17" s="98"/>
      <c r="F17" s="98"/>
      <c r="G17" s="92"/>
      <c r="H17" s="93"/>
      <c r="I17" s="94"/>
      <c r="J17" s="92"/>
      <c r="K17" s="1"/>
      <c r="L17" s="65"/>
      <c r="M17" s="66"/>
      <c r="N17" s="67"/>
      <c r="O17" s="68"/>
      <c r="P17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74448-6900-4383-9736-B5A9613DEAB8}">
  <sheetPr>
    <tabColor rgb="FF50456B"/>
  </sheetPr>
  <dimension ref="A1:CY17"/>
  <sheetViews>
    <sheetView workbookViewId="0">
      <selection activeCell="B10" sqref="B10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45890</v>
      </c>
      <c r="B5" s="3" t="s">
        <v>801</v>
      </c>
      <c r="C5" s="4" t="s">
        <v>897</v>
      </c>
      <c r="D5" s="5" t="s">
        <v>122</v>
      </c>
      <c r="E5" s="6" t="s">
        <v>804</v>
      </c>
      <c r="F5" s="7" t="s">
        <v>296</v>
      </c>
      <c r="G5" s="8" t="s">
        <v>164</v>
      </c>
      <c r="H5" s="9">
        <v>95134</v>
      </c>
      <c r="I5" s="10"/>
      <c r="J5" s="11" t="s">
        <v>805</v>
      </c>
      <c r="K5" s="12">
        <v>50</v>
      </c>
      <c r="L5" s="13">
        <v>34</v>
      </c>
      <c r="M5" s="14">
        <f t="shared" ref="M5:M7" si="0">L5*K5</f>
        <v>1700</v>
      </c>
      <c r="N5" s="15"/>
      <c r="O5" s="16" t="s">
        <v>111</v>
      </c>
      <c r="P5" s="17">
        <f>M5/1.12*0.01</f>
        <v>15.178571428571427</v>
      </c>
      <c r="Q5" s="18">
        <f>M5/1.12*0.12</f>
        <v>182.14285714285711</v>
      </c>
      <c r="R5" s="17">
        <f>M5+P5-Q5</f>
        <v>1533.0357142857142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806</v>
      </c>
      <c r="K6" s="12">
        <v>30</v>
      </c>
      <c r="L6" s="13">
        <v>55.5</v>
      </c>
      <c r="M6" s="14">
        <f t="shared" si="0"/>
        <v>1665</v>
      </c>
      <c r="N6" s="15"/>
      <c r="O6" s="16" t="s">
        <v>111</v>
      </c>
      <c r="P6" s="17">
        <f t="shared" ref="P6:P7" si="1">M6/1.12*0.01</f>
        <v>14.866071428571427</v>
      </c>
      <c r="Q6" s="18">
        <f t="shared" ref="Q6:Q7" si="2">M6/1.12*0.12</f>
        <v>178.39285714285711</v>
      </c>
      <c r="R6" s="17">
        <f t="shared" ref="R6:R7" si="3">M6+P6-Q6</f>
        <v>1501.4732142857142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5" customFormat="1" x14ac:dyDescent="0.2">
      <c r="A7" s="2"/>
      <c r="B7" s="3"/>
      <c r="C7" s="4"/>
      <c r="E7" s="6"/>
      <c r="F7" s="7"/>
      <c r="G7" s="8"/>
      <c r="H7" s="9"/>
      <c r="I7" s="10"/>
      <c r="J7" s="11" t="s">
        <v>807</v>
      </c>
      <c r="K7" s="12">
        <v>15</v>
      </c>
      <c r="L7" s="13">
        <v>86</v>
      </c>
      <c r="M7" s="14">
        <f t="shared" si="0"/>
        <v>1290</v>
      </c>
      <c r="N7" s="15"/>
      <c r="O7" s="16" t="s">
        <v>111</v>
      </c>
      <c r="P7" s="17">
        <f t="shared" si="1"/>
        <v>11.517857142857142</v>
      </c>
      <c r="Q7" s="18">
        <f t="shared" si="2"/>
        <v>138.21428571428569</v>
      </c>
      <c r="R7" s="17">
        <f t="shared" si="3"/>
        <v>1163.3035714285713</v>
      </c>
      <c r="S7" s="19"/>
      <c r="T7" s="19"/>
      <c r="U7" s="19"/>
      <c r="V7" s="19"/>
      <c r="W7" s="17"/>
      <c r="X7" s="20"/>
      <c r="Y7" s="19"/>
      <c r="Z7" s="19"/>
      <c r="AA7" s="19"/>
      <c r="AB7" s="19"/>
      <c r="AC7" s="19"/>
      <c r="AD7" s="19"/>
      <c r="AF7" s="19"/>
      <c r="AH7" s="17"/>
      <c r="AI7" s="19"/>
      <c r="AJ7" s="19"/>
      <c r="AK7" s="19"/>
      <c r="AL7" s="19"/>
      <c r="AM7" s="17"/>
      <c r="AN7" s="19"/>
      <c r="AO7" s="19"/>
      <c r="AP7" s="19"/>
      <c r="AQ7" s="19"/>
      <c r="AR7" s="19"/>
      <c r="AS7" s="21"/>
      <c r="AU7" s="19"/>
      <c r="AW7" s="22"/>
      <c r="AX7" s="19"/>
      <c r="AZ7" s="19"/>
      <c r="BC7" s="19"/>
      <c r="BD7" s="19"/>
      <c r="BE7" s="19"/>
      <c r="BF7" s="19"/>
      <c r="BG7" s="19"/>
      <c r="BH7" s="19"/>
      <c r="BI7" s="19"/>
      <c r="BJ7" s="19"/>
      <c r="BK7" s="13"/>
      <c r="BN7" s="19"/>
      <c r="BO7" s="17"/>
      <c r="BP7" s="19"/>
      <c r="BQ7" s="17"/>
      <c r="BR7" s="19"/>
      <c r="BS7" s="13"/>
      <c r="BU7" s="23"/>
      <c r="BV7" s="23"/>
      <c r="BW7" s="24"/>
      <c r="CA7" s="24"/>
      <c r="CB7" s="24"/>
      <c r="CC7" s="24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25"/>
      <c r="CW7" s="26"/>
    </row>
    <row r="8" spans="1:103" s="30" customFormat="1" ht="11.25" x14ac:dyDescent="0.2">
      <c r="A8" s="27"/>
      <c r="B8" s="28"/>
      <c r="C8" s="29"/>
      <c r="E8" s="31"/>
      <c r="F8" s="32"/>
      <c r="G8" s="33"/>
      <c r="H8" s="34"/>
      <c r="I8" s="34"/>
      <c r="J8" s="35"/>
      <c r="K8" s="36"/>
      <c r="L8" s="37"/>
      <c r="M8" s="38">
        <f>SUM(M5:M7)</f>
        <v>4655</v>
      </c>
      <c r="N8" s="38">
        <f>M8</f>
        <v>4655</v>
      </c>
      <c r="O8" s="39" t="s">
        <v>111</v>
      </c>
      <c r="P8" s="38">
        <f>SUM(P5:P7)</f>
        <v>41.5625</v>
      </c>
      <c r="Q8" s="38">
        <f>SUM(Q5:Q7)</f>
        <v>498.74999999999989</v>
      </c>
      <c r="R8" s="38">
        <f>SUM(R5:R7)</f>
        <v>4197.8125</v>
      </c>
      <c r="S8" s="38">
        <f t="shared" ref="S8:AD8" si="4">SUM(S5:S5)</f>
        <v>0</v>
      </c>
      <c r="T8" s="38">
        <f t="shared" si="4"/>
        <v>0</v>
      </c>
      <c r="U8" s="38">
        <f t="shared" si="4"/>
        <v>0</v>
      </c>
      <c r="V8" s="38">
        <f t="shared" si="4"/>
        <v>0</v>
      </c>
      <c r="W8" s="38">
        <f t="shared" si="4"/>
        <v>0</v>
      </c>
      <c r="X8" s="38">
        <f t="shared" si="4"/>
        <v>0</v>
      </c>
      <c r="Y8" s="38">
        <f t="shared" si="4"/>
        <v>0</v>
      </c>
      <c r="Z8" s="38">
        <f t="shared" si="4"/>
        <v>0</v>
      </c>
      <c r="AA8" s="38">
        <f t="shared" si="4"/>
        <v>0</v>
      </c>
      <c r="AB8" s="38">
        <f t="shared" si="4"/>
        <v>0</v>
      </c>
      <c r="AC8" s="38">
        <f t="shared" si="4"/>
        <v>0</v>
      </c>
      <c r="AD8" s="38">
        <f t="shared" si="4"/>
        <v>0</v>
      </c>
      <c r="AF8" s="38">
        <f>SUM(AF5:AF5)</f>
        <v>0</v>
      </c>
      <c r="AH8" s="38">
        <f t="shared" ref="AH8:AZ8" si="5">SUM(AH5:AH5)</f>
        <v>0</v>
      </c>
      <c r="AI8" s="38">
        <f t="shared" si="5"/>
        <v>0</v>
      </c>
      <c r="AJ8" s="38">
        <f t="shared" si="5"/>
        <v>0</v>
      </c>
      <c r="AK8" s="38">
        <f t="shared" si="5"/>
        <v>0</v>
      </c>
      <c r="AL8" s="38">
        <f t="shared" si="5"/>
        <v>0</v>
      </c>
      <c r="AM8" s="38">
        <f t="shared" si="5"/>
        <v>0</v>
      </c>
      <c r="AN8" s="38">
        <f t="shared" si="5"/>
        <v>0</v>
      </c>
      <c r="AO8" s="38">
        <f t="shared" si="5"/>
        <v>0</v>
      </c>
      <c r="AP8" s="38">
        <f t="shared" si="5"/>
        <v>0</v>
      </c>
      <c r="AQ8" s="38">
        <f t="shared" si="5"/>
        <v>0</v>
      </c>
      <c r="AR8" s="38">
        <f t="shared" si="5"/>
        <v>0</v>
      </c>
      <c r="AS8" s="38">
        <f t="shared" si="5"/>
        <v>0</v>
      </c>
      <c r="AT8" s="38">
        <f t="shared" si="5"/>
        <v>0</v>
      </c>
      <c r="AU8" s="38">
        <f t="shared" si="5"/>
        <v>0</v>
      </c>
      <c r="AV8" s="38">
        <f t="shared" si="5"/>
        <v>0</v>
      </c>
      <c r="AW8" s="38">
        <f t="shared" si="5"/>
        <v>0</v>
      </c>
      <c r="AX8" s="38">
        <f t="shared" si="5"/>
        <v>0</v>
      </c>
      <c r="AY8" s="38">
        <f t="shared" si="5"/>
        <v>0</v>
      </c>
      <c r="AZ8" s="38">
        <f t="shared" si="5"/>
        <v>0</v>
      </c>
      <c r="BB8" s="38">
        <f t="shared" ref="BB8:CV8" si="6">SUM(BB5:BB5)</f>
        <v>0</v>
      </c>
      <c r="BC8" s="38">
        <f t="shared" si="6"/>
        <v>0</v>
      </c>
      <c r="BD8" s="38">
        <f t="shared" si="6"/>
        <v>0</v>
      </c>
      <c r="BE8" s="38">
        <f t="shared" si="6"/>
        <v>0</v>
      </c>
      <c r="BF8" s="38">
        <f t="shared" si="6"/>
        <v>0</v>
      </c>
      <c r="BG8" s="38">
        <f t="shared" si="6"/>
        <v>0</v>
      </c>
      <c r="BH8" s="38">
        <f t="shared" si="6"/>
        <v>0</v>
      </c>
      <c r="BI8" s="38">
        <f t="shared" si="6"/>
        <v>0</v>
      </c>
      <c r="BJ8" s="38">
        <f t="shared" si="6"/>
        <v>0</v>
      </c>
      <c r="BK8" s="38">
        <f t="shared" si="6"/>
        <v>0</v>
      </c>
      <c r="BL8" s="38">
        <f t="shared" si="6"/>
        <v>0</v>
      </c>
      <c r="BM8" s="38">
        <f t="shared" si="6"/>
        <v>0</v>
      </c>
      <c r="BN8" s="38">
        <f t="shared" si="6"/>
        <v>0</v>
      </c>
      <c r="BO8" s="38">
        <f t="shared" si="6"/>
        <v>0</v>
      </c>
      <c r="BP8" s="38">
        <f t="shared" si="6"/>
        <v>0</v>
      </c>
      <c r="BQ8" s="38">
        <f t="shared" si="6"/>
        <v>0</v>
      </c>
      <c r="BR8" s="38">
        <f t="shared" si="6"/>
        <v>0</v>
      </c>
      <c r="BS8" s="38">
        <f t="shared" si="6"/>
        <v>0</v>
      </c>
      <c r="BT8" s="38">
        <f t="shared" si="6"/>
        <v>0</v>
      </c>
      <c r="BU8" s="38">
        <f t="shared" si="6"/>
        <v>0</v>
      </c>
      <c r="BV8" s="38">
        <f t="shared" si="6"/>
        <v>0</v>
      </c>
      <c r="BW8" s="38">
        <f t="shared" si="6"/>
        <v>0</v>
      </c>
      <c r="BX8" s="38">
        <f t="shared" si="6"/>
        <v>0</v>
      </c>
      <c r="BY8" s="38">
        <f t="shared" si="6"/>
        <v>0</v>
      </c>
      <c r="BZ8" s="38">
        <f t="shared" si="6"/>
        <v>0</v>
      </c>
      <c r="CA8" s="38">
        <f t="shared" si="6"/>
        <v>0</v>
      </c>
      <c r="CB8" s="38">
        <f t="shared" si="6"/>
        <v>0</v>
      </c>
      <c r="CC8" s="38">
        <f t="shared" si="6"/>
        <v>0</v>
      </c>
      <c r="CD8" s="38">
        <f t="shared" si="6"/>
        <v>0</v>
      </c>
      <c r="CE8" s="38">
        <f t="shared" si="6"/>
        <v>0</v>
      </c>
      <c r="CF8" s="38">
        <f t="shared" si="6"/>
        <v>0</v>
      </c>
      <c r="CG8" s="38">
        <f t="shared" si="6"/>
        <v>0</v>
      </c>
      <c r="CH8" s="38">
        <f t="shared" si="6"/>
        <v>0</v>
      </c>
      <c r="CI8" s="38">
        <f t="shared" si="6"/>
        <v>0</v>
      </c>
      <c r="CJ8" s="38">
        <f t="shared" si="6"/>
        <v>0</v>
      </c>
      <c r="CK8" s="38">
        <f t="shared" si="6"/>
        <v>0</v>
      </c>
      <c r="CL8" s="38">
        <f t="shared" si="6"/>
        <v>0</v>
      </c>
      <c r="CM8" s="38">
        <f t="shared" si="6"/>
        <v>0</v>
      </c>
      <c r="CN8" s="38">
        <f t="shared" si="6"/>
        <v>0</v>
      </c>
      <c r="CO8" s="38">
        <f t="shared" si="6"/>
        <v>0</v>
      </c>
      <c r="CP8" s="38">
        <f t="shared" si="6"/>
        <v>0</v>
      </c>
      <c r="CQ8" s="38">
        <f t="shared" si="6"/>
        <v>0</v>
      </c>
      <c r="CR8" s="38">
        <f t="shared" si="6"/>
        <v>0</v>
      </c>
      <c r="CS8" s="38">
        <f t="shared" si="6"/>
        <v>0</v>
      </c>
      <c r="CT8" s="38">
        <f t="shared" si="6"/>
        <v>0</v>
      </c>
      <c r="CU8" s="38">
        <f t="shared" si="6"/>
        <v>0</v>
      </c>
      <c r="CV8" s="38">
        <f t="shared" si="6"/>
        <v>0</v>
      </c>
      <c r="CW8" s="40"/>
    </row>
    <row r="9" spans="1:103" customFormat="1" ht="15" x14ac:dyDescent="0.25"/>
    <row r="10" spans="1:103" customFormat="1" ht="15" x14ac:dyDescent="0.25">
      <c r="A10" s="41" t="str">
        <f>E5</f>
        <v xml:space="preserve">METRO </v>
      </c>
      <c r="B10" s="42"/>
      <c r="C10" s="43"/>
      <c r="D10" s="44"/>
      <c r="E10" s="44"/>
      <c r="F10" s="45"/>
      <c r="G10" s="46"/>
      <c r="H10" s="47"/>
      <c r="I10" s="48"/>
      <c r="J10" s="49"/>
      <c r="K10" s="50"/>
      <c r="L10" s="51"/>
      <c r="M10" s="52"/>
      <c r="N10" s="53"/>
      <c r="O10" s="54"/>
      <c r="P10" s="55"/>
    </row>
    <row r="11" spans="1:103" customFormat="1" ht="15" x14ac:dyDescent="0.25">
      <c r="A11" s="56"/>
      <c r="B11" s="57"/>
      <c r="C11" s="58"/>
      <c r="D11" s="59" t="s">
        <v>112</v>
      </c>
      <c r="E11" s="59" t="s">
        <v>113</v>
      </c>
      <c r="F11" s="60" t="s">
        <v>114</v>
      </c>
      <c r="G11" s="61"/>
      <c r="H11" s="62"/>
      <c r="I11" s="63"/>
      <c r="J11" s="64"/>
      <c r="K11" s="1"/>
      <c r="L11" s="65"/>
      <c r="M11" s="66"/>
      <c r="N11" s="67"/>
      <c r="O11" s="68"/>
      <c r="P11" s="69"/>
    </row>
    <row r="12" spans="1:103" customFormat="1" ht="13.5" customHeight="1" x14ac:dyDescent="0.25">
      <c r="A12" s="70" t="s">
        <v>151</v>
      </c>
      <c r="B12" s="71"/>
      <c r="C12" s="72"/>
      <c r="D12" s="73">
        <f>R8</f>
        <v>4197.8125</v>
      </c>
      <c r="E12" s="74"/>
      <c r="F12" s="75" t="str">
        <f>"In payment for 34pcs of holiday corned beef, 30pcs of alaska condensada, and 15pcs of buttercup savers pack using housefund received on " &amp; TEXT(A5, "mmmm dd, yyyy") &amp; " with SI#95134 PR#30544 RR#" &amp; " CPO#" &amp;B5</f>
        <v>In payment for 34pcs of holiday corned beef, 30pcs of alaska condensada, and 15pcs of buttercup savers pack using housefund received on August 21, 2025 with SI#95134 PR#30544 RR# CPO#19008</v>
      </c>
      <c r="G12" s="76"/>
      <c r="H12" s="77"/>
      <c r="I12" s="77"/>
      <c r="J12" s="76"/>
      <c r="K12" s="1"/>
      <c r="L12" s="65"/>
      <c r="M12" s="78"/>
      <c r="N12" s="79"/>
      <c r="O12" s="80"/>
      <c r="P12" s="81"/>
    </row>
    <row r="13" spans="1:103" customFormat="1" ht="15" x14ac:dyDescent="0.25">
      <c r="A13" s="70" t="s">
        <v>115</v>
      </c>
      <c r="B13" s="71"/>
      <c r="C13" s="72"/>
      <c r="D13" s="73">
        <f>Q8</f>
        <v>498.74999999999989</v>
      </c>
      <c r="E13" s="74"/>
      <c r="F13" s="64" t="str">
        <f>"Recording input VAT for expenses and purchases made using house fund for " &amp; TEXT(A5, "mmmm dd, yyyy")</f>
        <v>Recording input VAT for expenses and purchases made using house fund for August 21,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 t="s">
        <v>116</v>
      </c>
      <c r="B14" s="86"/>
      <c r="C14" s="87"/>
      <c r="D14" s="88"/>
      <c r="E14" s="74">
        <f>P8</f>
        <v>41.5625</v>
      </c>
      <c r="F14" s="89" t="str">
        <f>"Recording the tax withheld for expenses and purchases using the house fund received on " &amp; TEXT(A5, "mmmm dd, yyyy")</f>
        <v>Recording the tax withheld for expenses and purchases using the house fund received on August 21,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70" t="s">
        <v>117</v>
      </c>
      <c r="B15" s="86"/>
      <c r="C15" s="87"/>
      <c r="D15" s="90"/>
      <c r="E15" s="91">
        <f>M8</f>
        <v>4655</v>
      </c>
      <c r="F15" s="89" t="str">
        <f>"Recording house fund expenses for replenishment on " &amp; TEXT(A5, "mmmm dd, yyyy")</f>
        <v>Recording house fund expenses for replenishment on August 21, 2025</v>
      </c>
      <c r="G15" s="82"/>
      <c r="H15" s="83"/>
      <c r="I15" s="84"/>
      <c r="J15" s="82"/>
      <c r="K15" s="1"/>
      <c r="L15" s="65"/>
      <c r="M15" s="66"/>
      <c r="N15" s="67"/>
      <c r="O15" s="68"/>
      <c r="P15" s="69"/>
    </row>
    <row r="16" spans="1:103" customFormat="1" ht="15" x14ac:dyDescent="0.25">
      <c r="A16" s="85"/>
      <c r="B16" s="86"/>
      <c r="C16" s="87"/>
      <c r="D16" s="88">
        <f>SUM(D12:D13)</f>
        <v>4696.5625</v>
      </c>
      <c r="E16" s="88">
        <f>SUM(E12:E15)</f>
        <v>4696.5625</v>
      </c>
      <c r="F16" s="92"/>
      <c r="G16" s="92"/>
      <c r="H16" s="93"/>
      <c r="I16" s="94"/>
      <c r="J16" s="92"/>
      <c r="K16" s="1"/>
      <c r="L16" s="65"/>
      <c r="M16" s="66"/>
      <c r="N16" s="67"/>
      <c r="O16" s="68"/>
      <c r="P16" s="69"/>
    </row>
    <row r="17" spans="1:16" customFormat="1" ht="15" x14ac:dyDescent="0.25">
      <c r="A17" s="95" t="s">
        <v>118</v>
      </c>
      <c r="B17" s="96" t="str">
        <f>"To record house fund expenses on " &amp; TEXT(A5, "mmmm dd, yyyy") &amp; " with PCV#" &amp; C5</f>
        <v>To record house fund expenses on August 21, 2025 with PCV#21000</v>
      </c>
      <c r="C17" s="97"/>
      <c r="D17" s="98"/>
      <c r="E17" s="98"/>
      <c r="F17" s="98"/>
      <c r="G17" s="92"/>
      <c r="H17" s="93"/>
      <c r="I17" s="94"/>
      <c r="J17" s="92"/>
      <c r="K17" s="1"/>
      <c r="L17" s="65"/>
      <c r="M17" s="66"/>
      <c r="N17" s="67"/>
      <c r="O17" s="68"/>
      <c r="P17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2D440-2CDB-4141-A2E2-632282BD203C}">
  <sheetPr>
    <tabColor rgb="FF50456B"/>
  </sheetPr>
  <dimension ref="A1:CY16"/>
  <sheetViews>
    <sheetView workbookViewId="0">
      <selection activeCell="A12" sqref="A12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45890</v>
      </c>
      <c r="B5" s="3" t="s">
        <v>801</v>
      </c>
      <c r="C5" s="4" t="s">
        <v>896</v>
      </c>
      <c r="D5" s="5" t="s">
        <v>122</v>
      </c>
      <c r="E5" s="6" t="s">
        <v>370</v>
      </c>
      <c r="F5" s="7" t="s">
        <v>229</v>
      </c>
      <c r="G5" s="8" t="s">
        <v>154</v>
      </c>
      <c r="H5" s="9" t="s">
        <v>808</v>
      </c>
      <c r="I5" s="10"/>
      <c r="J5" s="11" t="s">
        <v>809</v>
      </c>
      <c r="K5" s="12">
        <v>5</v>
      </c>
      <c r="L5" s="13">
        <v>32</v>
      </c>
      <c r="M5" s="14">
        <f t="shared" ref="M5:M6" si="0">L5*K5</f>
        <v>160</v>
      </c>
      <c r="N5" s="15"/>
      <c r="O5" s="16" t="s">
        <v>111</v>
      </c>
      <c r="P5" s="17">
        <f>M5/1.12*0.01</f>
        <v>1.4285714285714284</v>
      </c>
      <c r="Q5" s="18">
        <f>M5/1.12*0.12</f>
        <v>17.142857142857139</v>
      </c>
      <c r="R5" s="17">
        <f>M5+P5-Q5</f>
        <v>144.28571428571428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810</v>
      </c>
      <c r="K6" s="12">
        <v>10</v>
      </c>
      <c r="L6" s="13">
        <v>206</v>
      </c>
      <c r="M6" s="14">
        <f t="shared" si="0"/>
        <v>2060</v>
      </c>
      <c r="N6" s="15"/>
      <c r="O6" s="16" t="s">
        <v>111</v>
      </c>
      <c r="P6" s="17">
        <f t="shared" ref="P6" si="1">M6/1.12*0.01</f>
        <v>18.392857142857142</v>
      </c>
      <c r="Q6" s="18">
        <f t="shared" ref="Q6" si="2">M6/1.12*0.12</f>
        <v>220.71428571428569</v>
      </c>
      <c r="R6" s="17">
        <f t="shared" ref="R6" si="3">M6+P6-Q6</f>
        <v>1857.6785714285716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30" customFormat="1" ht="11.25" x14ac:dyDescent="0.2">
      <c r="A7" s="27"/>
      <c r="B7" s="28"/>
      <c r="C7" s="29"/>
      <c r="E7" s="31"/>
      <c r="F7" s="32"/>
      <c r="G7" s="33"/>
      <c r="H7" s="34"/>
      <c r="I7" s="34"/>
      <c r="J7" s="35"/>
      <c r="K7" s="36"/>
      <c r="L7" s="37"/>
      <c r="M7" s="38">
        <f>SUM(M5:M6)</f>
        <v>2220</v>
      </c>
      <c r="N7" s="38">
        <f>M7</f>
        <v>2220</v>
      </c>
      <c r="O7" s="39" t="s">
        <v>111</v>
      </c>
      <c r="P7" s="38">
        <f>SUM(P5:P6)</f>
        <v>19.821428571428569</v>
      </c>
      <c r="Q7" s="38">
        <f>SUM(Q5:Q6)</f>
        <v>237.85714285714283</v>
      </c>
      <c r="R7" s="38">
        <f>SUM(R5:R6)</f>
        <v>2001.9642857142858</v>
      </c>
      <c r="S7" s="38">
        <f t="shared" ref="S7:AD7" si="4">SUM(S5:S5)</f>
        <v>0</v>
      </c>
      <c r="T7" s="38">
        <f t="shared" si="4"/>
        <v>0</v>
      </c>
      <c r="U7" s="38">
        <f t="shared" si="4"/>
        <v>0</v>
      </c>
      <c r="V7" s="38">
        <f t="shared" si="4"/>
        <v>0</v>
      </c>
      <c r="W7" s="38">
        <f t="shared" si="4"/>
        <v>0</v>
      </c>
      <c r="X7" s="38">
        <f t="shared" si="4"/>
        <v>0</v>
      </c>
      <c r="Y7" s="38">
        <f t="shared" si="4"/>
        <v>0</v>
      </c>
      <c r="Z7" s="38">
        <f t="shared" si="4"/>
        <v>0</v>
      </c>
      <c r="AA7" s="38">
        <f t="shared" si="4"/>
        <v>0</v>
      </c>
      <c r="AB7" s="38">
        <f t="shared" si="4"/>
        <v>0</v>
      </c>
      <c r="AC7" s="38">
        <f t="shared" si="4"/>
        <v>0</v>
      </c>
      <c r="AD7" s="38">
        <f t="shared" si="4"/>
        <v>0</v>
      </c>
      <c r="AF7" s="38">
        <f>SUM(AF5:AF5)</f>
        <v>0</v>
      </c>
      <c r="AH7" s="38">
        <f t="shared" ref="AH7:AZ7" si="5">SUM(AH5:AH5)</f>
        <v>0</v>
      </c>
      <c r="AI7" s="38">
        <f t="shared" si="5"/>
        <v>0</v>
      </c>
      <c r="AJ7" s="38">
        <f t="shared" si="5"/>
        <v>0</v>
      </c>
      <c r="AK7" s="38">
        <f t="shared" si="5"/>
        <v>0</v>
      </c>
      <c r="AL7" s="38">
        <f t="shared" si="5"/>
        <v>0</v>
      </c>
      <c r="AM7" s="38">
        <f t="shared" si="5"/>
        <v>0</v>
      </c>
      <c r="AN7" s="38">
        <f t="shared" si="5"/>
        <v>0</v>
      </c>
      <c r="AO7" s="38">
        <f t="shared" si="5"/>
        <v>0</v>
      </c>
      <c r="AP7" s="38">
        <f t="shared" si="5"/>
        <v>0</v>
      </c>
      <c r="AQ7" s="38">
        <f t="shared" si="5"/>
        <v>0</v>
      </c>
      <c r="AR7" s="38">
        <f t="shared" si="5"/>
        <v>0</v>
      </c>
      <c r="AS7" s="38">
        <f t="shared" si="5"/>
        <v>0</v>
      </c>
      <c r="AT7" s="38">
        <f t="shared" si="5"/>
        <v>0</v>
      </c>
      <c r="AU7" s="38">
        <f t="shared" si="5"/>
        <v>0</v>
      </c>
      <c r="AV7" s="38">
        <f t="shared" si="5"/>
        <v>0</v>
      </c>
      <c r="AW7" s="38">
        <f t="shared" si="5"/>
        <v>0</v>
      </c>
      <c r="AX7" s="38">
        <f t="shared" si="5"/>
        <v>0</v>
      </c>
      <c r="AY7" s="38">
        <f t="shared" si="5"/>
        <v>0</v>
      </c>
      <c r="AZ7" s="38">
        <f t="shared" si="5"/>
        <v>0</v>
      </c>
      <c r="BB7" s="38">
        <f t="shared" ref="BB7:CV7" si="6">SUM(BB5:BB5)</f>
        <v>0</v>
      </c>
      <c r="BC7" s="38">
        <f t="shared" si="6"/>
        <v>0</v>
      </c>
      <c r="BD7" s="38">
        <f t="shared" si="6"/>
        <v>0</v>
      </c>
      <c r="BE7" s="38">
        <f t="shared" si="6"/>
        <v>0</v>
      </c>
      <c r="BF7" s="38">
        <f t="shared" si="6"/>
        <v>0</v>
      </c>
      <c r="BG7" s="38">
        <f t="shared" si="6"/>
        <v>0</v>
      </c>
      <c r="BH7" s="38">
        <f t="shared" si="6"/>
        <v>0</v>
      </c>
      <c r="BI7" s="38">
        <f t="shared" si="6"/>
        <v>0</v>
      </c>
      <c r="BJ7" s="38">
        <f t="shared" si="6"/>
        <v>0</v>
      </c>
      <c r="BK7" s="38">
        <f t="shared" si="6"/>
        <v>0</v>
      </c>
      <c r="BL7" s="38">
        <f t="shared" si="6"/>
        <v>0</v>
      </c>
      <c r="BM7" s="38">
        <f t="shared" si="6"/>
        <v>0</v>
      </c>
      <c r="BN7" s="38">
        <f t="shared" si="6"/>
        <v>0</v>
      </c>
      <c r="BO7" s="38">
        <f t="shared" si="6"/>
        <v>0</v>
      </c>
      <c r="BP7" s="38">
        <f t="shared" si="6"/>
        <v>0</v>
      </c>
      <c r="BQ7" s="38">
        <f t="shared" si="6"/>
        <v>0</v>
      </c>
      <c r="BR7" s="38">
        <f t="shared" si="6"/>
        <v>0</v>
      </c>
      <c r="BS7" s="38">
        <f t="shared" si="6"/>
        <v>0</v>
      </c>
      <c r="BT7" s="38">
        <f t="shared" si="6"/>
        <v>0</v>
      </c>
      <c r="BU7" s="38">
        <f t="shared" si="6"/>
        <v>0</v>
      </c>
      <c r="BV7" s="38">
        <f t="shared" si="6"/>
        <v>0</v>
      </c>
      <c r="BW7" s="38">
        <f t="shared" si="6"/>
        <v>0</v>
      </c>
      <c r="BX7" s="38">
        <f t="shared" si="6"/>
        <v>0</v>
      </c>
      <c r="BY7" s="38">
        <f t="shared" si="6"/>
        <v>0</v>
      </c>
      <c r="BZ7" s="38">
        <f t="shared" si="6"/>
        <v>0</v>
      </c>
      <c r="CA7" s="38">
        <f t="shared" si="6"/>
        <v>0</v>
      </c>
      <c r="CB7" s="38">
        <f t="shared" si="6"/>
        <v>0</v>
      </c>
      <c r="CC7" s="38">
        <f t="shared" si="6"/>
        <v>0</v>
      </c>
      <c r="CD7" s="38">
        <f t="shared" si="6"/>
        <v>0</v>
      </c>
      <c r="CE7" s="38">
        <f t="shared" si="6"/>
        <v>0</v>
      </c>
      <c r="CF7" s="38">
        <f t="shared" si="6"/>
        <v>0</v>
      </c>
      <c r="CG7" s="38">
        <f t="shared" si="6"/>
        <v>0</v>
      </c>
      <c r="CH7" s="38">
        <f t="shared" si="6"/>
        <v>0</v>
      </c>
      <c r="CI7" s="38">
        <f t="shared" si="6"/>
        <v>0</v>
      </c>
      <c r="CJ7" s="38">
        <f t="shared" si="6"/>
        <v>0</v>
      </c>
      <c r="CK7" s="38">
        <f t="shared" si="6"/>
        <v>0</v>
      </c>
      <c r="CL7" s="38">
        <f t="shared" si="6"/>
        <v>0</v>
      </c>
      <c r="CM7" s="38">
        <f t="shared" si="6"/>
        <v>0</v>
      </c>
      <c r="CN7" s="38">
        <f t="shared" si="6"/>
        <v>0</v>
      </c>
      <c r="CO7" s="38">
        <f t="shared" si="6"/>
        <v>0</v>
      </c>
      <c r="CP7" s="38">
        <f t="shared" si="6"/>
        <v>0</v>
      </c>
      <c r="CQ7" s="38">
        <f t="shared" si="6"/>
        <v>0</v>
      </c>
      <c r="CR7" s="38">
        <f t="shared" si="6"/>
        <v>0</v>
      </c>
      <c r="CS7" s="38">
        <f t="shared" si="6"/>
        <v>0</v>
      </c>
      <c r="CT7" s="38">
        <f t="shared" si="6"/>
        <v>0</v>
      </c>
      <c r="CU7" s="38">
        <f t="shared" si="6"/>
        <v>0</v>
      </c>
      <c r="CV7" s="38">
        <f t="shared" si="6"/>
        <v>0</v>
      </c>
      <c r="CW7" s="40"/>
    </row>
    <row r="8" spans="1:103" customFormat="1" ht="15" x14ac:dyDescent="0.25"/>
    <row r="9" spans="1:103" customFormat="1" ht="15" x14ac:dyDescent="0.25">
      <c r="A9" s="41" t="str">
        <f>E5</f>
        <v>SAVEMORE MARKET</v>
      </c>
      <c r="B9" s="42"/>
      <c r="C9" s="43"/>
      <c r="D9" s="44"/>
      <c r="E9" s="44"/>
      <c r="F9" s="45"/>
      <c r="G9" s="46"/>
      <c r="H9" s="47"/>
      <c r="I9" s="48"/>
      <c r="J9" s="49"/>
      <c r="K9" s="50"/>
      <c r="L9" s="51"/>
      <c r="M9" s="52"/>
      <c r="N9" s="53"/>
      <c r="O9" s="54"/>
      <c r="P9" s="55"/>
    </row>
    <row r="10" spans="1:103" customFormat="1" ht="15" x14ac:dyDescent="0.25">
      <c r="A10" s="56"/>
      <c r="B10" s="57"/>
      <c r="C10" s="58"/>
      <c r="D10" s="59" t="s">
        <v>112</v>
      </c>
      <c r="E10" s="59" t="s">
        <v>113</v>
      </c>
      <c r="F10" s="60" t="s">
        <v>114</v>
      </c>
      <c r="G10" s="61"/>
      <c r="H10" s="62"/>
      <c r="I10" s="63"/>
      <c r="J10" s="64"/>
      <c r="K10" s="1"/>
      <c r="L10" s="65"/>
      <c r="M10" s="66"/>
      <c r="N10" s="67"/>
      <c r="O10" s="68"/>
      <c r="P10" s="69"/>
    </row>
    <row r="11" spans="1:103" customFormat="1" ht="13.5" customHeight="1" x14ac:dyDescent="0.25">
      <c r="A11" s="70" t="s">
        <v>151</v>
      </c>
      <c r="B11" s="71"/>
      <c r="C11" s="72"/>
      <c r="D11" s="73">
        <f>R7</f>
        <v>2001.9642857142858</v>
      </c>
      <c r="E11" s="74"/>
      <c r="F11" s="75" t="str">
        <f>"In payment for 5pcs of selecta farm fresh and 10pcs of manarf white for storeroom stocks using housefund received on " &amp; TEXT(A5, "mmmm dd, yyyy") &amp; " with SI#32-00422024 RR#" &amp; " CPO#" &amp;B5</f>
        <v>In payment for 5pcs of selecta farm fresh and 10pcs of manarf white for storeroom stocks using housefund received on August 21, 2025 with SI#32-00422024 RR# CPO#19008</v>
      </c>
      <c r="G11" s="76"/>
      <c r="H11" s="77"/>
      <c r="I11" s="77"/>
      <c r="J11" s="76"/>
      <c r="K11" s="1"/>
      <c r="L11" s="65"/>
      <c r="M11" s="78"/>
      <c r="N11" s="79"/>
      <c r="O11" s="80"/>
      <c r="P11" s="81"/>
    </row>
    <row r="12" spans="1:103" customFormat="1" ht="15" x14ac:dyDescent="0.25">
      <c r="A12" s="70" t="s">
        <v>115</v>
      </c>
      <c r="B12" s="71"/>
      <c r="C12" s="72"/>
      <c r="D12" s="73">
        <f>Q7</f>
        <v>237.85714285714283</v>
      </c>
      <c r="E12" s="74"/>
      <c r="F12" s="64" t="str">
        <f>"Recording input VAT for expenses and purchases made using house fund for " &amp; TEXT(A5, "mmmm dd, yyyy")</f>
        <v>Recording input VAT for expenses and purchases made using house fund for August 21,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85" t="s">
        <v>116</v>
      </c>
      <c r="B13" s="86"/>
      <c r="C13" s="87"/>
      <c r="D13" s="88"/>
      <c r="E13" s="74">
        <f>P7</f>
        <v>19.821428571428569</v>
      </c>
      <c r="F13" s="89" t="str">
        <f>"Recording the tax withheld for expenses and purchases using the house fund received on " &amp; TEXT(A5, "mmmm dd, yyyy")</f>
        <v>Recording the tax withheld for expenses and purchases using the house fund received on August 21,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70" t="s">
        <v>117</v>
      </c>
      <c r="B14" s="86"/>
      <c r="C14" s="87"/>
      <c r="D14" s="90"/>
      <c r="E14" s="91">
        <f>M7</f>
        <v>2220</v>
      </c>
      <c r="F14" s="89" t="str">
        <f>"Recording house fund expenses for replenishment on " &amp; TEXT(A5, "mmmm dd, yyyy")</f>
        <v>Recording house fund expenses for replenishment on August 21,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85"/>
      <c r="B15" s="86"/>
      <c r="C15" s="87"/>
      <c r="D15" s="88">
        <f>SUM(D11:D12)</f>
        <v>2239.8214285714284</v>
      </c>
      <c r="E15" s="88">
        <f>SUM(E11:E14)</f>
        <v>2239.8214285714284</v>
      </c>
      <c r="F15" s="92"/>
      <c r="G15" s="92"/>
      <c r="H15" s="93"/>
      <c r="I15" s="94"/>
      <c r="J15" s="92"/>
      <c r="K15" s="1"/>
      <c r="L15" s="65"/>
      <c r="M15" s="66"/>
      <c r="N15" s="67"/>
      <c r="O15" s="68"/>
      <c r="P15" s="69"/>
    </row>
    <row r="16" spans="1:103" customFormat="1" ht="15" x14ac:dyDescent="0.25">
      <c r="A16" s="95" t="s">
        <v>118</v>
      </c>
      <c r="B16" s="96" t="str">
        <f>"To record house fund expenses on " &amp; TEXT(A5, "mmmm dd, yyyy") &amp; " with PCV#" &amp; C5</f>
        <v>To record house fund expenses on August 21, 2025 with PCV#21001</v>
      </c>
      <c r="C16" s="97"/>
      <c r="D16" s="98"/>
      <c r="E16" s="98"/>
      <c r="F16" s="98"/>
      <c r="G16" s="92"/>
      <c r="H16" s="93"/>
      <c r="I16" s="94"/>
      <c r="J16" s="92"/>
      <c r="K16" s="1"/>
      <c r="L16" s="65"/>
      <c r="M16" s="66"/>
      <c r="N16" s="67"/>
      <c r="O16" s="68"/>
      <c r="P16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93CBA-6B18-4EB1-9901-0CDD8E9CCD75}">
  <sheetPr>
    <tabColor rgb="FF50456B"/>
  </sheetPr>
  <dimension ref="A1:CY15"/>
  <sheetViews>
    <sheetView workbookViewId="0">
      <selection activeCell="B11" sqref="B11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45889</v>
      </c>
      <c r="B5" s="3" t="s">
        <v>801</v>
      </c>
      <c r="C5" s="4" t="s">
        <v>895</v>
      </c>
      <c r="D5" s="5" t="s">
        <v>122</v>
      </c>
      <c r="E5" s="6" t="s">
        <v>770</v>
      </c>
      <c r="F5" s="7" t="s">
        <v>229</v>
      </c>
      <c r="G5" s="8" t="s">
        <v>259</v>
      </c>
      <c r="H5" s="9">
        <v>141804</v>
      </c>
      <c r="I5" s="10" t="s">
        <v>811</v>
      </c>
      <c r="J5" s="11" t="s">
        <v>812</v>
      </c>
      <c r="K5" s="12">
        <v>10</v>
      </c>
      <c r="L5" s="13">
        <v>120</v>
      </c>
      <c r="M5" s="14">
        <f t="shared" ref="M5" si="0">L5*K5</f>
        <v>1200</v>
      </c>
      <c r="N5" s="15"/>
      <c r="O5" s="16" t="s">
        <v>111</v>
      </c>
      <c r="P5" s="17">
        <f>M5/1.12*0.01</f>
        <v>10.714285714285714</v>
      </c>
      <c r="Q5" s="18">
        <f>M5/1.12*0.12</f>
        <v>128.57142857142856</v>
      </c>
      <c r="S5" s="19"/>
      <c r="T5" s="19"/>
      <c r="U5" s="19"/>
      <c r="V5" s="19"/>
      <c r="W5" s="17">
        <f>M5+P5-Q5</f>
        <v>1082.1428571428573</v>
      </c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1200</v>
      </c>
      <c r="N6" s="38">
        <f>M6</f>
        <v>1200</v>
      </c>
      <c r="O6" s="39" t="s">
        <v>111</v>
      </c>
      <c r="P6" s="38">
        <f>SUM(P5:P5)</f>
        <v>10.714285714285714</v>
      </c>
      <c r="Q6" s="38">
        <f>SUM(Q5:Q5)</f>
        <v>128.57142857142856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>SUM(W5:W5)</f>
        <v>1082.1428571428573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MADILOUS MARKETING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160</v>
      </c>
      <c r="B10" s="71"/>
      <c r="C10" s="72"/>
      <c r="D10" s="73">
        <f>W6</f>
        <v>1082.1428571428573</v>
      </c>
      <c r="E10" s="74"/>
      <c r="F10" s="75" t="str">
        <f>"In payment for 10 packs of cutty shark using housefund received on " &amp; TEXT(A5, "mmmm dd, yyyy") &amp; " with SI#141804 PR#30544 RR#5255" &amp; " CPO#" &amp;B5</f>
        <v>In payment for 10 packs of cutty shark using housefund received on August 20, 2025 with SI#141804 PR#30544 RR#5255 CPO#19008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128.57142857142856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20,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10.714285714285714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20,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1200</v>
      </c>
      <c r="F13" s="89" t="str">
        <f>"Recording house fund expenses for replenishment on " &amp; TEXT(A5, "mmmm dd, yyyy")</f>
        <v>Recording house fund expenses for replenishment on August 20,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1210.7142857142858</v>
      </c>
      <c r="E14" s="88">
        <f>SUM(E10:E13)</f>
        <v>1210.7142857142858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20, 2025 with PCV#21002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C1534-C841-486F-ABDD-7F98DCD9513A}">
  <sheetPr>
    <tabColor rgb="FF50456B"/>
  </sheetPr>
  <dimension ref="A1:CY15"/>
  <sheetViews>
    <sheetView workbookViewId="0">
      <selection activeCell="D10" sqref="D10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45890</v>
      </c>
      <c r="B5" s="3" t="s">
        <v>801</v>
      </c>
      <c r="C5" s="4" t="s">
        <v>894</v>
      </c>
      <c r="D5" s="5" t="s">
        <v>122</v>
      </c>
      <c r="E5" s="6"/>
      <c r="F5" s="7"/>
      <c r="G5" s="8"/>
      <c r="H5" s="9">
        <v>2797497</v>
      </c>
      <c r="I5" s="10"/>
      <c r="J5" s="11" t="s">
        <v>226</v>
      </c>
      <c r="K5" s="12">
        <v>1</v>
      </c>
      <c r="L5" s="13">
        <v>120</v>
      </c>
      <c r="M5" s="14">
        <f t="shared" ref="M5" si="0">L5*K5</f>
        <v>120</v>
      </c>
      <c r="N5" s="15"/>
      <c r="O5" s="16" t="s">
        <v>137</v>
      </c>
      <c r="P5" s="17"/>
      <c r="Q5" s="18"/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7">
        <f>M5+P5-Q5</f>
        <v>120</v>
      </c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120</v>
      </c>
      <c r="N6" s="38">
        <f>M6</f>
        <v>120</v>
      </c>
      <c r="O6" s="39" t="s">
        <v>137</v>
      </c>
      <c r="P6" s="38"/>
      <c r="Q6" s="38"/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>SUM(BC5:BC5)</f>
        <v>120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>
        <f>E5</f>
        <v>0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813</v>
      </c>
      <c r="B10" s="71"/>
      <c r="C10" s="72"/>
      <c r="D10" s="73">
        <f>BC6</f>
        <v>120</v>
      </c>
      <c r="E10" s="74"/>
      <c r="F10" s="75" t="str">
        <f>"In payment for employee meal for staff during purchasing trip using housefund received on " &amp; TEXT(A5, "mmmm dd, yyyy") &amp; " with SI#2797497" &amp; " CPO#" &amp;B5</f>
        <v>In payment for employee meal for staff during purchasing trip using housefund received on August 21, 2025 with SI#2797497 CPO#19008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21,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21,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120</v>
      </c>
      <c r="F13" s="89" t="str">
        <f>"Recording house fund expenses for replenishment on " &amp; TEXT(A5, "mmmm dd, yyyy")</f>
        <v>Recording house fund expenses for replenishment on August 21,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120</v>
      </c>
      <c r="E14" s="88">
        <f>SUM(E10:E13)</f>
        <v>120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21, 2025 with PCV#21003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D6308-C5D2-4273-AA74-966706DCEA36}">
  <sheetPr>
    <tabColor rgb="FF50456B"/>
  </sheetPr>
  <dimension ref="A1:CY15"/>
  <sheetViews>
    <sheetView workbookViewId="0">
      <selection activeCell="D5" sqref="D5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45891</v>
      </c>
      <c r="B5" s="3" t="s">
        <v>814</v>
      </c>
      <c r="C5" s="4" t="s">
        <v>893</v>
      </c>
      <c r="D5" s="5" t="s">
        <v>815</v>
      </c>
      <c r="E5" s="6" t="s">
        <v>816</v>
      </c>
      <c r="F5" s="7"/>
      <c r="G5" s="8"/>
      <c r="H5" s="9"/>
      <c r="I5" s="10"/>
      <c r="J5" s="11" t="s">
        <v>760</v>
      </c>
      <c r="K5" s="12">
        <v>1</v>
      </c>
      <c r="L5" s="13">
        <v>320</v>
      </c>
      <c r="M5" s="14">
        <f t="shared" ref="M5" si="0">L5*K5</f>
        <v>320</v>
      </c>
      <c r="N5" s="15"/>
      <c r="O5" s="16" t="s">
        <v>137</v>
      </c>
      <c r="P5" s="17"/>
      <c r="Q5" s="18"/>
      <c r="R5" s="17">
        <f>M5+P5-Q5</f>
        <v>320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320</v>
      </c>
      <c r="N6" s="38">
        <f>M6</f>
        <v>320</v>
      </c>
      <c r="O6" s="39" t="s">
        <v>137</v>
      </c>
      <c r="P6" s="38"/>
      <c r="Q6" s="38"/>
      <c r="R6" s="38">
        <f>SUM(R5:R5)</f>
        <v>320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C&amp;N'S LPG TRADING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320</v>
      </c>
      <c r="E10" s="74"/>
      <c r="F10" s="75" t="str">
        <f>"In payment for 1 tray of large eggs for breakfast using housefund received on " &amp; TEXT(A5, "mmmm dd, yyyy") &amp; " with PR#30490 RR#" &amp; " CPO#" &amp;B5</f>
        <v>In payment for 1 tray of large eggs for breakfast using housefund received on August 22, 2025 with PR#30490 RR# CPO#19010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22,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22,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320</v>
      </c>
      <c r="F13" s="89" t="str">
        <f>"Recording house fund expenses for replenishment on " &amp; TEXT(A5, "mmmm dd, yyyy")</f>
        <v>Recording house fund expenses for replenishment on August 22,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320</v>
      </c>
      <c r="E14" s="88">
        <f>SUM(E10:E13)</f>
        <v>320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22, 2025 with PCV#21004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BC167-53DE-48E9-9E36-123AAE5E734E}">
  <sheetPr>
    <tabColor rgb="FF50456B"/>
  </sheetPr>
  <dimension ref="A1:CY15"/>
  <sheetViews>
    <sheetView workbookViewId="0">
      <selection activeCell="C9" sqref="C9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45891</v>
      </c>
      <c r="B5" s="3" t="s">
        <v>817</v>
      </c>
      <c r="C5" s="4" t="s">
        <v>892</v>
      </c>
      <c r="D5" s="5" t="s">
        <v>133</v>
      </c>
      <c r="E5" s="6" t="s">
        <v>818</v>
      </c>
      <c r="F5" s="7"/>
      <c r="G5" s="8"/>
      <c r="H5" s="9">
        <v>20645</v>
      </c>
      <c r="I5" s="10" t="s">
        <v>819</v>
      </c>
      <c r="J5" s="11" t="s">
        <v>820</v>
      </c>
      <c r="K5" s="12">
        <v>5</v>
      </c>
      <c r="L5" s="13">
        <v>270</v>
      </c>
      <c r="M5" s="14">
        <f t="shared" ref="M5" si="0">L5*K5</f>
        <v>1350</v>
      </c>
      <c r="N5" s="15"/>
      <c r="O5" s="16" t="s">
        <v>137</v>
      </c>
      <c r="P5" s="17"/>
      <c r="Q5" s="18"/>
      <c r="R5" s="17">
        <f>M5+P5-Q5</f>
        <v>1350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1350</v>
      </c>
      <c r="N6" s="38">
        <f>M6</f>
        <v>1350</v>
      </c>
      <c r="O6" s="39" t="s">
        <v>137</v>
      </c>
      <c r="P6" s="38"/>
      <c r="Q6" s="38"/>
      <c r="R6" s="38">
        <f>SUM(R5:R5)</f>
        <v>1350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SOONG WET MARKET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1350</v>
      </c>
      <c r="E10" s="74"/>
      <c r="F10" s="75" t="str">
        <f>"In payment for 5 trays of fresh egg large for breakfast using housefund received on " &amp; TEXT(A5, "mmmm dd, yyyy") &amp; " with SI#20645 RR#5261" &amp; " CPO#" &amp;B5</f>
        <v>In payment for 5 trays of fresh egg large for breakfast using housefund received on August 22, 2025 with SI#20645 RR#5261 CPO#19011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22,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22,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1350</v>
      </c>
      <c r="F13" s="89" t="str">
        <f>"Recording house fund expenses for replenishment on " &amp; TEXT(A5, "mmmm dd, yyyy")</f>
        <v>Recording house fund expenses for replenishment on August 22,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1350</v>
      </c>
      <c r="E14" s="88">
        <f>SUM(E10:E13)</f>
        <v>1350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22, 2025 with PCV#21005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1A4F1-FB32-4901-8530-88E7658E49C9}">
  <sheetPr>
    <tabColor rgb="FF50456B"/>
  </sheetPr>
  <dimension ref="A1:CY15"/>
  <sheetViews>
    <sheetView workbookViewId="0">
      <selection activeCell="A11" sqref="A11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82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45892</v>
      </c>
      <c r="B5" s="3" t="s">
        <v>817</v>
      </c>
      <c r="C5" s="4" t="s">
        <v>891</v>
      </c>
      <c r="D5" s="5" t="s">
        <v>122</v>
      </c>
      <c r="E5" s="6" t="s">
        <v>821</v>
      </c>
      <c r="F5" s="7" t="s">
        <v>229</v>
      </c>
      <c r="G5" s="8" t="s">
        <v>248</v>
      </c>
      <c r="H5" s="9">
        <v>119611</v>
      </c>
      <c r="I5" s="10" t="s">
        <v>822</v>
      </c>
      <c r="J5" s="11" t="s">
        <v>823</v>
      </c>
      <c r="K5" s="12">
        <v>24</v>
      </c>
      <c r="L5" s="13">
        <v>100</v>
      </c>
      <c r="M5" s="14">
        <f t="shared" ref="M5" si="0">L5*K5</f>
        <v>2400</v>
      </c>
      <c r="N5" s="15"/>
      <c r="O5" s="16" t="s">
        <v>111</v>
      </c>
      <c r="P5" s="17">
        <f>M5/1.12*0.01</f>
        <v>21.428571428571427</v>
      </c>
      <c r="Q5" s="18">
        <f>M5/1.12*0.12</f>
        <v>257.14285714285711</v>
      </c>
      <c r="S5" s="19"/>
      <c r="T5" s="19"/>
      <c r="U5" s="19"/>
      <c r="V5" s="17">
        <f>M5+P5-Q5</f>
        <v>2164.2857142857147</v>
      </c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O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2400</v>
      </c>
      <c r="N6" s="38">
        <f>M6</f>
        <v>2400</v>
      </c>
      <c r="O6" s="39" t="s">
        <v>111</v>
      </c>
      <c r="P6" s="38">
        <f>SUM(P5:P5)</f>
        <v>21.428571428571427</v>
      </c>
      <c r="Q6" s="38">
        <f>SUM(Q5:Q5)</f>
        <v>257.14285714285711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>SUM(V5:V5)</f>
        <v>2164.2857142857147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O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COLOR SWATCH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303</v>
      </c>
      <c r="B10" s="71"/>
      <c r="C10" s="72"/>
      <c r="D10" s="73">
        <f>V6</f>
        <v>2164.2857142857147</v>
      </c>
      <c r="E10" s="74"/>
      <c r="F10" s="75" t="str">
        <f>"In payment for 24pcs of pylox nikko white for bathtub cleaning and floor using housefund received on " &amp; TEXT(A5, "mmmm dd, yyyy") &amp; " with SI#119611 PR#30491 RR#5266" &amp; " CPO#" &amp;B5</f>
        <v>In payment for 24pcs of pylox nikko white for bathtub cleaning and floor using housefund received on August 23, 2025 with SI#119611 PR#30491 RR#5266 CPO#19011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257.14285714285711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23,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21.428571428571427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23,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2400</v>
      </c>
      <c r="F13" s="89" t="str">
        <f>"Recording house fund expenses for replenishment on " &amp; TEXT(A5, "mmmm dd, yyyy")</f>
        <v>Recording house fund expenses for replenishment on August 23,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2421.4285714285716</v>
      </c>
      <c r="E14" s="88">
        <f>SUM(E10:E13)</f>
        <v>2421.4285714285716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23, 2025 with PCV#21006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EAF71-F6E8-4B98-B775-39F7772E0D23}">
  <sheetPr>
    <tabColor rgb="FF50456B"/>
  </sheetPr>
  <dimension ref="A1:CY16"/>
  <sheetViews>
    <sheetView workbookViewId="0">
      <selection activeCell="D17" sqref="D17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45896</v>
      </c>
      <c r="B5" s="3" t="s">
        <v>824</v>
      </c>
      <c r="C5" s="4" t="s">
        <v>890</v>
      </c>
      <c r="D5" s="5" t="s">
        <v>122</v>
      </c>
      <c r="E5" s="6" t="s">
        <v>825</v>
      </c>
      <c r="F5" s="7" t="s">
        <v>826</v>
      </c>
      <c r="G5" s="8"/>
      <c r="H5" s="9"/>
      <c r="I5" s="10"/>
      <c r="J5" s="11" t="s">
        <v>827</v>
      </c>
      <c r="K5" s="12">
        <v>1</v>
      </c>
      <c r="L5" s="13">
        <v>150</v>
      </c>
      <c r="M5" s="14">
        <f t="shared" ref="M5:M6" si="0">L5*K5</f>
        <v>150</v>
      </c>
      <c r="N5" s="15"/>
      <c r="O5" s="16" t="s">
        <v>137</v>
      </c>
      <c r="P5" s="17"/>
      <c r="Q5" s="18"/>
      <c r="R5" s="17">
        <f>M5+P5-Q5</f>
        <v>150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828</v>
      </c>
      <c r="K6" s="12">
        <v>1</v>
      </c>
      <c r="L6" s="13">
        <v>225</v>
      </c>
      <c r="M6" s="14">
        <f t="shared" si="0"/>
        <v>225</v>
      </c>
      <c r="N6" s="15"/>
      <c r="O6" s="16" t="s">
        <v>137</v>
      </c>
      <c r="P6" s="17"/>
      <c r="Q6" s="18"/>
      <c r="R6" s="17">
        <f t="shared" ref="R6" si="1">M6+P6-Q6</f>
        <v>225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30" customFormat="1" ht="11.25" x14ac:dyDescent="0.2">
      <c r="A7" s="27"/>
      <c r="B7" s="28"/>
      <c r="C7" s="29"/>
      <c r="E7" s="31"/>
      <c r="F7" s="32"/>
      <c r="G7" s="33"/>
      <c r="H7" s="34"/>
      <c r="I7" s="34"/>
      <c r="J7" s="35"/>
      <c r="K7" s="36"/>
      <c r="L7" s="37"/>
      <c r="M7" s="38">
        <f>SUM(M5:M6)</f>
        <v>375</v>
      </c>
      <c r="N7" s="38">
        <f>M7</f>
        <v>375</v>
      </c>
      <c r="O7" s="39" t="s">
        <v>137</v>
      </c>
      <c r="P7" s="38"/>
      <c r="Q7" s="38"/>
      <c r="R7" s="38">
        <f>SUM(R5:R6)</f>
        <v>375</v>
      </c>
      <c r="S7" s="38">
        <f t="shared" ref="S7:AD7" si="2">SUM(S5:S5)</f>
        <v>0</v>
      </c>
      <c r="T7" s="38">
        <f t="shared" si="2"/>
        <v>0</v>
      </c>
      <c r="U7" s="38">
        <f t="shared" si="2"/>
        <v>0</v>
      </c>
      <c r="V7" s="38">
        <f t="shared" si="2"/>
        <v>0</v>
      </c>
      <c r="W7" s="38">
        <f t="shared" si="2"/>
        <v>0</v>
      </c>
      <c r="X7" s="38">
        <f t="shared" si="2"/>
        <v>0</v>
      </c>
      <c r="Y7" s="38">
        <f t="shared" si="2"/>
        <v>0</v>
      </c>
      <c r="Z7" s="38">
        <f t="shared" si="2"/>
        <v>0</v>
      </c>
      <c r="AA7" s="38">
        <f t="shared" si="2"/>
        <v>0</v>
      </c>
      <c r="AB7" s="38">
        <f t="shared" si="2"/>
        <v>0</v>
      </c>
      <c r="AC7" s="38">
        <f t="shared" si="2"/>
        <v>0</v>
      </c>
      <c r="AD7" s="38">
        <f t="shared" si="2"/>
        <v>0</v>
      </c>
      <c r="AF7" s="38">
        <f>SUM(AF5:AF5)</f>
        <v>0</v>
      </c>
      <c r="AH7" s="38">
        <f t="shared" ref="AH7:AZ7" si="3">SUM(AH5:AH5)</f>
        <v>0</v>
      </c>
      <c r="AI7" s="38">
        <f t="shared" si="3"/>
        <v>0</v>
      </c>
      <c r="AJ7" s="38">
        <f t="shared" si="3"/>
        <v>0</v>
      </c>
      <c r="AK7" s="38">
        <f t="shared" si="3"/>
        <v>0</v>
      </c>
      <c r="AL7" s="38">
        <f t="shared" si="3"/>
        <v>0</v>
      </c>
      <c r="AM7" s="38">
        <f t="shared" si="3"/>
        <v>0</v>
      </c>
      <c r="AN7" s="38">
        <f t="shared" si="3"/>
        <v>0</v>
      </c>
      <c r="AO7" s="38">
        <f t="shared" si="3"/>
        <v>0</v>
      </c>
      <c r="AP7" s="38">
        <f t="shared" si="3"/>
        <v>0</v>
      </c>
      <c r="AQ7" s="38">
        <f t="shared" si="3"/>
        <v>0</v>
      </c>
      <c r="AR7" s="38">
        <f t="shared" si="3"/>
        <v>0</v>
      </c>
      <c r="AS7" s="38">
        <f t="shared" si="3"/>
        <v>0</v>
      </c>
      <c r="AT7" s="38">
        <f t="shared" si="3"/>
        <v>0</v>
      </c>
      <c r="AU7" s="38">
        <f t="shared" si="3"/>
        <v>0</v>
      </c>
      <c r="AV7" s="38">
        <f t="shared" si="3"/>
        <v>0</v>
      </c>
      <c r="AW7" s="38">
        <f t="shared" si="3"/>
        <v>0</v>
      </c>
      <c r="AX7" s="38">
        <f t="shared" si="3"/>
        <v>0</v>
      </c>
      <c r="AY7" s="38">
        <f t="shared" si="3"/>
        <v>0</v>
      </c>
      <c r="AZ7" s="38">
        <f t="shared" si="3"/>
        <v>0</v>
      </c>
      <c r="BB7" s="38">
        <f t="shared" ref="BB7:CV7" si="4">SUM(BB5:BB5)</f>
        <v>0</v>
      </c>
      <c r="BC7" s="38">
        <f t="shared" si="4"/>
        <v>0</v>
      </c>
      <c r="BD7" s="38">
        <f t="shared" si="4"/>
        <v>0</v>
      </c>
      <c r="BE7" s="38">
        <f t="shared" si="4"/>
        <v>0</v>
      </c>
      <c r="BF7" s="38">
        <f t="shared" si="4"/>
        <v>0</v>
      </c>
      <c r="BG7" s="38">
        <f t="shared" si="4"/>
        <v>0</v>
      </c>
      <c r="BH7" s="38">
        <f t="shared" si="4"/>
        <v>0</v>
      </c>
      <c r="BI7" s="38">
        <f t="shared" si="4"/>
        <v>0</v>
      </c>
      <c r="BJ7" s="38">
        <f t="shared" si="4"/>
        <v>0</v>
      </c>
      <c r="BK7" s="38">
        <f t="shared" si="4"/>
        <v>0</v>
      </c>
      <c r="BL7" s="38">
        <f t="shared" si="4"/>
        <v>0</v>
      </c>
      <c r="BM7" s="38">
        <f t="shared" si="4"/>
        <v>0</v>
      </c>
      <c r="BN7" s="38">
        <f t="shared" si="4"/>
        <v>0</v>
      </c>
      <c r="BO7" s="38">
        <f t="shared" si="4"/>
        <v>0</v>
      </c>
      <c r="BP7" s="38">
        <f t="shared" si="4"/>
        <v>0</v>
      </c>
      <c r="BQ7" s="38">
        <f t="shared" si="4"/>
        <v>0</v>
      </c>
      <c r="BR7" s="38">
        <f t="shared" si="4"/>
        <v>0</v>
      </c>
      <c r="BS7" s="38">
        <f t="shared" si="4"/>
        <v>0</v>
      </c>
      <c r="BT7" s="38">
        <f t="shared" si="4"/>
        <v>0</v>
      </c>
      <c r="BU7" s="38">
        <f t="shared" si="4"/>
        <v>0</v>
      </c>
      <c r="BV7" s="38">
        <f t="shared" si="4"/>
        <v>0</v>
      </c>
      <c r="BW7" s="38">
        <f t="shared" si="4"/>
        <v>0</v>
      </c>
      <c r="BX7" s="38">
        <f t="shared" si="4"/>
        <v>0</v>
      </c>
      <c r="BY7" s="38">
        <f t="shared" si="4"/>
        <v>0</v>
      </c>
      <c r="BZ7" s="38">
        <f t="shared" si="4"/>
        <v>0</v>
      </c>
      <c r="CA7" s="38">
        <f t="shared" si="4"/>
        <v>0</v>
      </c>
      <c r="CB7" s="38">
        <f t="shared" si="4"/>
        <v>0</v>
      </c>
      <c r="CC7" s="38">
        <f t="shared" si="4"/>
        <v>0</v>
      </c>
      <c r="CD7" s="38">
        <f t="shared" si="4"/>
        <v>0</v>
      </c>
      <c r="CE7" s="38">
        <f t="shared" si="4"/>
        <v>0</v>
      </c>
      <c r="CF7" s="38">
        <f t="shared" si="4"/>
        <v>0</v>
      </c>
      <c r="CG7" s="38">
        <f t="shared" si="4"/>
        <v>0</v>
      </c>
      <c r="CH7" s="38">
        <f t="shared" si="4"/>
        <v>0</v>
      </c>
      <c r="CI7" s="38">
        <f t="shared" si="4"/>
        <v>0</v>
      </c>
      <c r="CJ7" s="38">
        <f t="shared" si="4"/>
        <v>0</v>
      </c>
      <c r="CK7" s="38">
        <f t="shared" si="4"/>
        <v>0</v>
      </c>
      <c r="CL7" s="38">
        <f t="shared" si="4"/>
        <v>0</v>
      </c>
      <c r="CM7" s="38">
        <f t="shared" si="4"/>
        <v>0</v>
      </c>
      <c r="CN7" s="38">
        <f t="shared" si="4"/>
        <v>0</v>
      </c>
      <c r="CO7" s="38">
        <f t="shared" si="4"/>
        <v>0</v>
      </c>
      <c r="CP7" s="38">
        <f t="shared" si="4"/>
        <v>0</v>
      </c>
      <c r="CQ7" s="38">
        <f t="shared" si="4"/>
        <v>0</v>
      </c>
      <c r="CR7" s="38">
        <f t="shared" si="4"/>
        <v>0</v>
      </c>
      <c r="CS7" s="38">
        <f t="shared" si="4"/>
        <v>0</v>
      </c>
      <c r="CT7" s="38">
        <f t="shared" si="4"/>
        <v>0</v>
      </c>
      <c r="CU7" s="38">
        <f t="shared" si="4"/>
        <v>0</v>
      </c>
      <c r="CV7" s="38">
        <f t="shared" si="4"/>
        <v>0</v>
      </c>
      <c r="CW7" s="40"/>
    </row>
    <row r="8" spans="1:103" customFormat="1" ht="15" x14ac:dyDescent="0.25"/>
    <row r="9" spans="1:103" customFormat="1" ht="15" x14ac:dyDescent="0.25">
      <c r="A9" s="41" t="str">
        <f>E5</f>
        <v>SAAC MARKET</v>
      </c>
      <c r="B9" s="42"/>
      <c r="C9" s="43"/>
      <c r="D9" s="44"/>
      <c r="E9" s="44"/>
      <c r="F9" s="45"/>
      <c r="G9" s="46"/>
      <c r="H9" s="47"/>
      <c r="I9" s="48"/>
      <c r="J9" s="49"/>
      <c r="K9" s="50"/>
      <c r="L9" s="51"/>
      <c r="M9" s="52"/>
      <c r="N9" s="53"/>
      <c r="O9" s="54"/>
      <c r="P9" s="55"/>
    </row>
    <row r="10" spans="1:103" customFormat="1" ht="15" x14ac:dyDescent="0.25">
      <c r="A10" s="56"/>
      <c r="B10" s="57"/>
      <c r="C10" s="58"/>
      <c r="D10" s="59" t="s">
        <v>112</v>
      </c>
      <c r="E10" s="59" t="s">
        <v>113</v>
      </c>
      <c r="F10" s="60" t="s">
        <v>114</v>
      </c>
      <c r="G10" s="61"/>
      <c r="H10" s="62"/>
      <c r="I10" s="63"/>
      <c r="J10" s="64"/>
      <c r="K10" s="1"/>
      <c r="L10" s="65"/>
      <c r="M10" s="66"/>
      <c r="N10" s="67"/>
      <c r="O10" s="68"/>
      <c r="P10" s="69"/>
    </row>
    <row r="11" spans="1:103" customFormat="1" ht="13.5" customHeight="1" x14ac:dyDescent="0.25">
      <c r="A11" s="70" t="s">
        <v>151</v>
      </c>
      <c r="B11" s="71"/>
      <c r="C11" s="72"/>
      <c r="D11" s="73">
        <f>R7</f>
        <v>375</v>
      </c>
      <c r="E11" s="74"/>
      <c r="F11" s="75" t="str">
        <f>"In payment for 1 kilo of pasayan and nokus for function dinner using housefund received on " &amp; TEXT(A5, "mmmm dd, yyyy") &amp; " with PR#30611 RR#" &amp; " CPO#" &amp;B5</f>
        <v>In payment for 1 kilo of pasayan and nokus for function dinner using housefund received on August 27, 2025 with PR#30611 RR# CPO#19017</v>
      </c>
      <c r="G11" s="76"/>
      <c r="H11" s="77"/>
      <c r="I11" s="77"/>
      <c r="J11" s="76"/>
      <c r="K11" s="1"/>
      <c r="L11" s="65"/>
      <c r="M11" s="78"/>
      <c r="N11" s="79"/>
      <c r="O11" s="80"/>
      <c r="P11" s="81"/>
    </row>
    <row r="12" spans="1:103" customFormat="1" ht="15" x14ac:dyDescent="0.25">
      <c r="A12" s="70" t="s">
        <v>115</v>
      </c>
      <c r="B12" s="71"/>
      <c r="C12" s="72"/>
      <c r="D12" s="73">
        <f>Q7</f>
        <v>0</v>
      </c>
      <c r="E12" s="74"/>
      <c r="F12" s="64" t="str">
        <f>"Recording input VAT for expenses and purchases made using house fund for " &amp; TEXT(A5, "mmmm dd, yyyy")</f>
        <v>Recording input VAT for expenses and purchases made using house fund for August 27,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85" t="s">
        <v>116</v>
      </c>
      <c r="B13" s="86"/>
      <c r="C13" s="87"/>
      <c r="D13" s="88"/>
      <c r="E13" s="74">
        <f>P7</f>
        <v>0</v>
      </c>
      <c r="F13" s="89" t="str">
        <f>"Recording the tax withheld for expenses and purchases using the house fund received on " &amp; TEXT(A5, "mmmm dd, yyyy")</f>
        <v>Recording the tax withheld for expenses and purchases using the house fund received on August 27,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70" t="s">
        <v>117</v>
      </c>
      <c r="B14" s="86"/>
      <c r="C14" s="87"/>
      <c r="D14" s="90"/>
      <c r="E14" s="91">
        <f>M7</f>
        <v>375</v>
      </c>
      <c r="F14" s="89" t="str">
        <f>"Recording house fund expenses for replenishment on " &amp; TEXT(A5, "mmmm dd, yyyy")</f>
        <v>Recording house fund expenses for replenishment on August 27,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85"/>
      <c r="B15" s="86"/>
      <c r="C15" s="87"/>
      <c r="D15" s="88">
        <f>SUM(D11:D12)</f>
        <v>375</v>
      </c>
      <c r="E15" s="88">
        <f>SUM(E11:E14)</f>
        <v>375</v>
      </c>
      <c r="F15" s="92"/>
      <c r="G15" s="92"/>
      <c r="H15" s="93"/>
      <c r="I15" s="94"/>
      <c r="J15" s="92"/>
      <c r="K15" s="1"/>
      <c r="L15" s="65"/>
      <c r="M15" s="66"/>
      <c r="N15" s="67"/>
      <c r="O15" s="68"/>
      <c r="P15" s="69"/>
    </row>
    <row r="16" spans="1:103" customFormat="1" ht="15" x14ac:dyDescent="0.25">
      <c r="A16" s="95" t="s">
        <v>118</v>
      </c>
      <c r="B16" s="96" t="str">
        <f>"To record house fund expenses on " &amp; TEXT(A5, "mmmm dd, yyyy") &amp; " with PCV#" &amp; C5</f>
        <v>To record house fund expenses on August 27, 2025 with PCV#21007</v>
      </c>
      <c r="C16" s="97"/>
      <c r="D16" s="98"/>
      <c r="E16" s="98"/>
      <c r="F16" s="98"/>
      <c r="G16" s="92"/>
      <c r="H16" s="93"/>
      <c r="I16" s="94"/>
      <c r="J16" s="92"/>
      <c r="K16" s="1"/>
      <c r="L16" s="65"/>
      <c r="M16" s="66"/>
      <c r="N16" s="67"/>
      <c r="O16" s="68"/>
      <c r="P16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6A88E-6AAD-4A4D-9656-2B996E8DCCEE}">
  <sheetPr>
    <tabColor rgb="FF50456B"/>
  </sheetPr>
  <dimension ref="A1:CY17"/>
  <sheetViews>
    <sheetView workbookViewId="0">
      <selection activeCell="A13" sqref="A13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45896</v>
      </c>
      <c r="B5" s="3" t="s">
        <v>824</v>
      </c>
      <c r="C5" s="4" t="s">
        <v>889</v>
      </c>
      <c r="D5" s="5" t="s">
        <v>122</v>
      </c>
      <c r="E5" s="6" t="s">
        <v>266</v>
      </c>
      <c r="F5" s="7"/>
      <c r="G5" s="8"/>
      <c r="H5" s="9"/>
      <c r="I5" s="10"/>
      <c r="J5" s="11" t="s">
        <v>664</v>
      </c>
      <c r="K5" s="12">
        <v>2</v>
      </c>
      <c r="L5" s="13">
        <v>170</v>
      </c>
      <c r="M5" s="14">
        <f t="shared" ref="M5:M7" si="0">L5*K5</f>
        <v>340</v>
      </c>
      <c r="N5" s="15"/>
      <c r="O5" s="16" t="s">
        <v>137</v>
      </c>
      <c r="P5" s="17"/>
      <c r="Q5" s="18"/>
      <c r="R5" s="17">
        <f>M5+P5-Q5</f>
        <v>340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829</v>
      </c>
      <c r="K6" s="12">
        <v>1.5</v>
      </c>
      <c r="L6" s="13">
        <v>120</v>
      </c>
      <c r="M6" s="14">
        <f t="shared" si="0"/>
        <v>180</v>
      </c>
      <c r="N6" s="15"/>
      <c r="O6" s="16" t="s">
        <v>137</v>
      </c>
      <c r="P6" s="17"/>
      <c r="Q6" s="18"/>
      <c r="R6" s="17">
        <f t="shared" ref="R6:R7" si="1">M6+P6-Q6</f>
        <v>180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5" customFormat="1" x14ac:dyDescent="0.2">
      <c r="A7" s="2"/>
      <c r="B7" s="3"/>
      <c r="C7" s="4"/>
      <c r="E7" s="6"/>
      <c r="F7" s="7"/>
      <c r="G7" s="8"/>
      <c r="H7" s="9"/>
      <c r="I7" s="10"/>
      <c r="J7" s="11" t="s">
        <v>830</v>
      </c>
      <c r="K7" s="12">
        <v>1.5</v>
      </c>
      <c r="L7" s="13">
        <v>200</v>
      </c>
      <c r="M7" s="14">
        <f t="shared" si="0"/>
        <v>300</v>
      </c>
      <c r="N7" s="15"/>
      <c r="O7" s="16" t="s">
        <v>137</v>
      </c>
      <c r="P7" s="17"/>
      <c r="Q7" s="18"/>
      <c r="R7" s="17">
        <f t="shared" si="1"/>
        <v>300</v>
      </c>
      <c r="S7" s="19"/>
      <c r="T7" s="19"/>
      <c r="U7" s="19"/>
      <c r="V7" s="19"/>
      <c r="W7" s="17"/>
      <c r="X7" s="20"/>
      <c r="Y7" s="19"/>
      <c r="Z7" s="19"/>
      <c r="AA7" s="19"/>
      <c r="AB7" s="19"/>
      <c r="AC7" s="19"/>
      <c r="AD7" s="19"/>
      <c r="AF7" s="19"/>
      <c r="AH7" s="17"/>
      <c r="AI7" s="19"/>
      <c r="AJ7" s="19"/>
      <c r="AK7" s="19"/>
      <c r="AL7" s="19"/>
      <c r="AM7" s="17"/>
      <c r="AN7" s="19"/>
      <c r="AO7" s="19"/>
      <c r="AP7" s="19"/>
      <c r="AQ7" s="19"/>
      <c r="AR7" s="19"/>
      <c r="AS7" s="21"/>
      <c r="AU7" s="19"/>
      <c r="AW7" s="22"/>
      <c r="AX7" s="19"/>
      <c r="AZ7" s="19"/>
      <c r="BC7" s="19"/>
      <c r="BD7" s="19"/>
      <c r="BE7" s="19"/>
      <c r="BF7" s="19"/>
      <c r="BG7" s="19"/>
      <c r="BH7" s="19"/>
      <c r="BI7" s="19"/>
      <c r="BJ7" s="19"/>
      <c r="BK7" s="13"/>
      <c r="BN7" s="19"/>
      <c r="BO7" s="17"/>
      <c r="BP7" s="19"/>
      <c r="BQ7" s="17"/>
      <c r="BR7" s="19"/>
      <c r="BS7" s="13"/>
      <c r="BU7" s="23"/>
      <c r="BV7" s="23"/>
      <c r="BW7" s="24"/>
      <c r="CA7" s="24"/>
      <c r="CB7" s="24"/>
      <c r="CC7" s="24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25"/>
      <c r="CW7" s="26"/>
    </row>
    <row r="8" spans="1:103" s="30" customFormat="1" ht="11.25" x14ac:dyDescent="0.2">
      <c r="A8" s="27"/>
      <c r="B8" s="28"/>
      <c r="C8" s="29"/>
      <c r="E8" s="31"/>
      <c r="F8" s="32"/>
      <c r="G8" s="33"/>
      <c r="H8" s="34"/>
      <c r="I8" s="34"/>
      <c r="J8" s="35"/>
      <c r="K8" s="36"/>
      <c r="L8" s="37"/>
      <c r="M8" s="38">
        <f>SUM(M5:M7)</f>
        <v>820</v>
      </c>
      <c r="N8" s="38">
        <f>M8</f>
        <v>820</v>
      </c>
      <c r="O8" s="39" t="s">
        <v>137</v>
      </c>
      <c r="P8" s="38"/>
      <c r="Q8" s="38"/>
      <c r="R8" s="38">
        <f>SUM(R5:R7)</f>
        <v>820</v>
      </c>
      <c r="S8" s="38">
        <f t="shared" ref="S8:AD8" si="2">SUM(S5:S5)</f>
        <v>0</v>
      </c>
      <c r="T8" s="38">
        <f t="shared" si="2"/>
        <v>0</v>
      </c>
      <c r="U8" s="38">
        <f t="shared" si="2"/>
        <v>0</v>
      </c>
      <c r="V8" s="38">
        <f t="shared" si="2"/>
        <v>0</v>
      </c>
      <c r="W8" s="38">
        <f t="shared" si="2"/>
        <v>0</v>
      </c>
      <c r="X8" s="38">
        <f t="shared" si="2"/>
        <v>0</v>
      </c>
      <c r="Y8" s="38">
        <f t="shared" si="2"/>
        <v>0</v>
      </c>
      <c r="Z8" s="38">
        <f t="shared" si="2"/>
        <v>0</v>
      </c>
      <c r="AA8" s="38">
        <f t="shared" si="2"/>
        <v>0</v>
      </c>
      <c r="AB8" s="38">
        <f t="shared" si="2"/>
        <v>0</v>
      </c>
      <c r="AC8" s="38">
        <f t="shared" si="2"/>
        <v>0</v>
      </c>
      <c r="AD8" s="38">
        <f t="shared" si="2"/>
        <v>0</v>
      </c>
      <c r="AF8" s="38">
        <f>SUM(AF5:AF5)</f>
        <v>0</v>
      </c>
      <c r="AH8" s="38">
        <f t="shared" ref="AH8:AZ8" si="3">SUM(AH5:AH5)</f>
        <v>0</v>
      </c>
      <c r="AI8" s="38">
        <f t="shared" si="3"/>
        <v>0</v>
      </c>
      <c r="AJ8" s="38">
        <f t="shared" si="3"/>
        <v>0</v>
      </c>
      <c r="AK8" s="38">
        <f t="shared" si="3"/>
        <v>0</v>
      </c>
      <c r="AL8" s="38">
        <f t="shared" si="3"/>
        <v>0</v>
      </c>
      <c r="AM8" s="38">
        <f t="shared" si="3"/>
        <v>0</v>
      </c>
      <c r="AN8" s="38">
        <f t="shared" si="3"/>
        <v>0</v>
      </c>
      <c r="AO8" s="38">
        <f t="shared" si="3"/>
        <v>0</v>
      </c>
      <c r="AP8" s="38">
        <f t="shared" si="3"/>
        <v>0</v>
      </c>
      <c r="AQ8" s="38">
        <f t="shared" si="3"/>
        <v>0</v>
      </c>
      <c r="AR8" s="38">
        <f t="shared" si="3"/>
        <v>0</v>
      </c>
      <c r="AS8" s="38">
        <f t="shared" si="3"/>
        <v>0</v>
      </c>
      <c r="AT8" s="38">
        <f t="shared" si="3"/>
        <v>0</v>
      </c>
      <c r="AU8" s="38">
        <f t="shared" si="3"/>
        <v>0</v>
      </c>
      <c r="AV8" s="38">
        <f t="shared" si="3"/>
        <v>0</v>
      </c>
      <c r="AW8" s="38">
        <f t="shared" si="3"/>
        <v>0</v>
      </c>
      <c r="AX8" s="38">
        <f t="shared" si="3"/>
        <v>0</v>
      </c>
      <c r="AY8" s="38">
        <f t="shared" si="3"/>
        <v>0</v>
      </c>
      <c r="AZ8" s="38">
        <f t="shared" si="3"/>
        <v>0</v>
      </c>
      <c r="BB8" s="38">
        <f t="shared" ref="BB8:CV8" si="4">SUM(BB5:BB5)</f>
        <v>0</v>
      </c>
      <c r="BC8" s="38">
        <f t="shared" si="4"/>
        <v>0</v>
      </c>
      <c r="BD8" s="38">
        <f t="shared" si="4"/>
        <v>0</v>
      </c>
      <c r="BE8" s="38">
        <f t="shared" si="4"/>
        <v>0</v>
      </c>
      <c r="BF8" s="38">
        <f t="shared" si="4"/>
        <v>0</v>
      </c>
      <c r="BG8" s="38">
        <f t="shared" si="4"/>
        <v>0</v>
      </c>
      <c r="BH8" s="38">
        <f t="shared" si="4"/>
        <v>0</v>
      </c>
      <c r="BI8" s="38">
        <f t="shared" si="4"/>
        <v>0</v>
      </c>
      <c r="BJ8" s="38">
        <f t="shared" si="4"/>
        <v>0</v>
      </c>
      <c r="BK8" s="38">
        <f t="shared" si="4"/>
        <v>0</v>
      </c>
      <c r="BL8" s="38">
        <f t="shared" si="4"/>
        <v>0</v>
      </c>
      <c r="BM8" s="38">
        <f t="shared" si="4"/>
        <v>0</v>
      </c>
      <c r="BN8" s="38">
        <f t="shared" si="4"/>
        <v>0</v>
      </c>
      <c r="BO8" s="38">
        <f t="shared" si="4"/>
        <v>0</v>
      </c>
      <c r="BP8" s="38">
        <f t="shared" si="4"/>
        <v>0</v>
      </c>
      <c r="BQ8" s="38">
        <f t="shared" si="4"/>
        <v>0</v>
      </c>
      <c r="BR8" s="38">
        <f t="shared" si="4"/>
        <v>0</v>
      </c>
      <c r="BS8" s="38">
        <f t="shared" si="4"/>
        <v>0</v>
      </c>
      <c r="BT8" s="38">
        <f t="shared" si="4"/>
        <v>0</v>
      </c>
      <c r="BU8" s="38">
        <f t="shared" si="4"/>
        <v>0</v>
      </c>
      <c r="BV8" s="38">
        <f t="shared" si="4"/>
        <v>0</v>
      </c>
      <c r="BW8" s="38">
        <f t="shared" si="4"/>
        <v>0</v>
      </c>
      <c r="BX8" s="38">
        <f t="shared" si="4"/>
        <v>0</v>
      </c>
      <c r="BY8" s="38">
        <f t="shared" si="4"/>
        <v>0</v>
      </c>
      <c r="BZ8" s="38">
        <f t="shared" si="4"/>
        <v>0</v>
      </c>
      <c r="CA8" s="38">
        <f t="shared" si="4"/>
        <v>0</v>
      </c>
      <c r="CB8" s="38">
        <f t="shared" si="4"/>
        <v>0</v>
      </c>
      <c r="CC8" s="38">
        <f t="shared" si="4"/>
        <v>0</v>
      </c>
      <c r="CD8" s="38">
        <f t="shared" si="4"/>
        <v>0</v>
      </c>
      <c r="CE8" s="38">
        <f t="shared" si="4"/>
        <v>0</v>
      </c>
      <c r="CF8" s="38">
        <f t="shared" si="4"/>
        <v>0</v>
      </c>
      <c r="CG8" s="38">
        <f t="shared" si="4"/>
        <v>0</v>
      </c>
      <c r="CH8" s="38">
        <f t="shared" si="4"/>
        <v>0</v>
      </c>
      <c r="CI8" s="38">
        <f t="shared" si="4"/>
        <v>0</v>
      </c>
      <c r="CJ8" s="38">
        <f t="shared" si="4"/>
        <v>0</v>
      </c>
      <c r="CK8" s="38">
        <f t="shared" si="4"/>
        <v>0</v>
      </c>
      <c r="CL8" s="38">
        <f t="shared" si="4"/>
        <v>0</v>
      </c>
      <c r="CM8" s="38">
        <f t="shared" si="4"/>
        <v>0</v>
      </c>
      <c r="CN8" s="38">
        <f t="shared" si="4"/>
        <v>0</v>
      </c>
      <c r="CO8" s="38">
        <f t="shared" si="4"/>
        <v>0</v>
      </c>
      <c r="CP8" s="38">
        <f t="shared" si="4"/>
        <v>0</v>
      </c>
      <c r="CQ8" s="38">
        <f t="shared" si="4"/>
        <v>0</v>
      </c>
      <c r="CR8" s="38">
        <f t="shared" si="4"/>
        <v>0</v>
      </c>
      <c r="CS8" s="38">
        <f t="shared" si="4"/>
        <v>0</v>
      </c>
      <c r="CT8" s="38">
        <f t="shared" si="4"/>
        <v>0</v>
      </c>
      <c r="CU8" s="38">
        <f t="shared" si="4"/>
        <v>0</v>
      </c>
      <c r="CV8" s="38">
        <f t="shared" si="4"/>
        <v>0</v>
      </c>
      <c r="CW8" s="40"/>
    </row>
    <row r="9" spans="1:103" customFormat="1" ht="15" x14ac:dyDescent="0.25"/>
    <row r="10" spans="1:103" customFormat="1" ht="15" x14ac:dyDescent="0.25">
      <c r="A10" s="41" t="str">
        <f>E5</f>
        <v>MARKET</v>
      </c>
      <c r="B10" s="42"/>
      <c r="C10" s="43"/>
      <c r="D10" s="44"/>
      <c r="E10" s="44"/>
      <c r="F10" s="45"/>
      <c r="G10" s="46"/>
      <c r="H10" s="47"/>
      <c r="I10" s="48"/>
      <c r="J10" s="49"/>
      <c r="K10" s="50"/>
      <c r="L10" s="51"/>
      <c r="M10" s="52"/>
      <c r="N10" s="53"/>
      <c r="O10" s="54"/>
      <c r="P10" s="55"/>
    </row>
    <row r="11" spans="1:103" customFormat="1" ht="15" x14ac:dyDescent="0.25">
      <c r="A11" s="56"/>
      <c r="B11" s="57"/>
      <c r="C11" s="58"/>
      <c r="D11" s="59" t="s">
        <v>112</v>
      </c>
      <c r="E11" s="59" t="s">
        <v>113</v>
      </c>
      <c r="F11" s="60" t="s">
        <v>114</v>
      </c>
      <c r="G11" s="61"/>
      <c r="H11" s="62"/>
      <c r="I11" s="63"/>
      <c r="J11" s="64"/>
      <c r="K11" s="1"/>
      <c r="L11" s="65"/>
      <c r="M11" s="66"/>
      <c r="N11" s="67"/>
      <c r="O11" s="68"/>
      <c r="P11" s="69"/>
    </row>
    <row r="12" spans="1:103" customFormat="1" ht="13.5" customHeight="1" x14ac:dyDescent="0.25">
      <c r="A12" s="70" t="s">
        <v>151</v>
      </c>
      <c r="B12" s="71"/>
      <c r="C12" s="72"/>
      <c r="D12" s="73">
        <f>R8</f>
        <v>820</v>
      </c>
      <c r="E12" s="74"/>
      <c r="F12" s="75" t="str">
        <f>"In payment for 2 kilo of carrots, 1 and 1/2 of pechay and sili labuyo for function using housefund received on " &amp; TEXT(A5, "mmmm dd, yyyy") &amp; " with PR#30611 RR#" &amp; " CPO#" &amp;B5</f>
        <v>In payment for 2 kilo of carrots, 1 and 1/2 of pechay and sili labuyo for function using housefund received on August 27, 2025 with PR#30611 RR# CPO#19017</v>
      </c>
      <c r="G12" s="76"/>
      <c r="H12" s="77"/>
      <c r="I12" s="77"/>
      <c r="J12" s="76"/>
      <c r="K12" s="1"/>
      <c r="L12" s="65"/>
      <c r="M12" s="78"/>
      <c r="N12" s="79"/>
      <c r="O12" s="80"/>
      <c r="P12" s="81"/>
    </row>
    <row r="13" spans="1:103" customFormat="1" ht="15" x14ac:dyDescent="0.25">
      <c r="A13" s="70" t="s">
        <v>115</v>
      </c>
      <c r="B13" s="71"/>
      <c r="C13" s="72"/>
      <c r="D13" s="73">
        <f>Q8</f>
        <v>0</v>
      </c>
      <c r="E13" s="74"/>
      <c r="F13" s="64" t="str">
        <f>"Recording input VAT for expenses and purchases made using house fund for " &amp; TEXT(A5, "mmmm dd, yyyy")</f>
        <v>Recording input VAT for expenses and purchases made using house fund for August 27,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 t="s">
        <v>116</v>
      </c>
      <c r="B14" s="86"/>
      <c r="C14" s="87"/>
      <c r="D14" s="88"/>
      <c r="E14" s="74">
        <f>P8</f>
        <v>0</v>
      </c>
      <c r="F14" s="89" t="str">
        <f>"Recording the tax withheld for expenses and purchases using the house fund received on " &amp; TEXT(A5, "mmmm dd, yyyy")</f>
        <v>Recording the tax withheld for expenses and purchases using the house fund received on August 27,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70" t="s">
        <v>117</v>
      </c>
      <c r="B15" s="86"/>
      <c r="C15" s="87"/>
      <c r="D15" s="90"/>
      <c r="E15" s="91">
        <f>M8</f>
        <v>820</v>
      </c>
      <c r="F15" s="89" t="str">
        <f>"Recording house fund expenses for replenishment on " &amp; TEXT(A5, "mmmm dd, yyyy")</f>
        <v>Recording house fund expenses for replenishment on August 27, 2025</v>
      </c>
      <c r="G15" s="82"/>
      <c r="H15" s="83"/>
      <c r="I15" s="84"/>
      <c r="J15" s="82"/>
      <c r="K15" s="1"/>
      <c r="L15" s="65"/>
      <c r="M15" s="66"/>
      <c r="N15" s="67"/>
      <c r="O15" s="68"/>
      <c r="P15" s="69"/>
    </row>
    <row r="16" spans="1:103" customFormat="1" ht="15" x14ac:dyDescent="0.25">
      <c r="A16" s="85"/>
      <c r="B16" s="86"/>
      <c r="C16" s="87"/>
      <c r="D16" s="88">
        <f>SUM(D12:D13)</f>
        <v>820</v>
      </c>
      <c r="E16" s="88">
        <f>SUM(E12:E15)</f>
        <v>820</v>
      </c>
      <c r="F16" s="92"/>
      <c r="G16" s="92"/>
      <c r="H16" s="93"/>
      <c r="I16" s="94"/>
      <c r="J16" s="92"/>
      <c r="K16" s="1"/>
      <c r="L16" s="65"/>
      <c r="M16" s="66"/>
      <c r="N16" s="67"/>
      <c r="O16" s="68"/>
      <c r="P16" s="69"/>
    </row>
    <row r="17" spans="1:16" customFormat="1" ht="15" x14ac:dyDescent="0.25">
      <c r="A17" s="95" t="s">
        <v>118</v>
      </c>
      <c r="B17" s="96" t="str">
        <f>"To record house fund expenses on " &amp; TEXT(A5, "mmmm dd, yyyy") &amp; " with PCV#" &amp; C5</f>
        <v>To record house fund expenses on August 27, 2025 with PCV#21008</v>
      </c>
      <c r="C17" s="97"/>
      <c r="D17" s="98"/>
      <c r="E17" s="98"/>
      <c r="F17" s="98"/>
      <c r="G17" s="92"/>
      <c r="H17" s="93"/>
      <c r="I17" s="94"/>
      <c r="J17" s="92"/>
      <c r="K17" s="1"/>
      <c r="L17" s="65"/>
      <c r="M17" s="66"/>
      <c r="N17" s="67"/>
      <c r="O17" s="68"/>
      <c r="P17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0D919-F23A-410A-865E-567FDCC4C9DF}">
  <sheetPr>
    <tabColor rgb="FF50456B"/>
  </sheetPr>
  <dimension ref="A1:CY16"/>
  <sheetViews>
    <sheetView topLeftCell="A4" workbookViewId="0">
      <selection activeCell="C12" sqref="C12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45896</v>
      </c>
      <c r="B5" s="3" t="s">
        <v>824</v>
      </c>
      <c r="C5" s="4" t="s">
        <v>888</v>
      </c>
      <c r="D5" s="5" t="s">
        <v>122</v>
      </c>
      <c r="E5" s="6" t="s">
        <v>266</v>
      </c>
      <c r="F5" s="7"/>
      <c r="G5" s="8"/>
      <c r="H5" s="9"/>
      <c r="I5" s="10"/>
      <c r="J5" s="11" t="s">
        <v>831</v>
      </c>
      <c r="K5" s="12">
        <v>2.0699999999999998</v>
      </c>
      <c r="L5" s="13">
        <v>380</v>
      </c>
      <c r="M5" s="14">
        <v>786.6</v>
      </c>
      <c r="N5" s="15"/>
      <c r="O5" s="16" t="s">
        <v>137</v>
      </c>
      <c r="P5" s="17"/>
      <c r="Q5" s="18"/>
      <c r="R5" s="17">
        <f>M5+P5-Q5</f>
        <v>786.6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832</v>
      </c>
      <c r="K6" s="12">
        <v>2.2200000000000002</v>
      </c>
      <c r="L6" s="13">
        <v>250</v>
      </c>
      <c r="M6" s="14">
        <v>555</v>
      </c>
      <c r="N6" s="15"/>
      <c r="O6" s="16" t="s">
        <v>137</v>
      </c>
      <c r="P6" s="17"/>
      <c r="Q6" s="18"/>
      <c r="R6" s="17">
        <f>M6+P6-Q6</f>
        <v>555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30" customFormat="1" ht="11.25" x14ac:dyDescent="0.2">
      <c r="A7" s="27"/>
      <c r="B7" s="28"/>
      <c r="C7" s="29"/>
      <c r="E7" s="31"/>
      <c r="F7" s="32"/>
      <c r="G7" s="33"/>
      <c r="H7" s="34"/>
      <c r="I7" s="34"/>
      <c r="J7" s="35"/>
      <c r="K7" s="36"/>
      <c r="L7" s="37"/>
      <c r="M7" s="38">
        <f>SUM(M5:M6)</f>
        <v>1341.6</v>
      </c>
      <c r="N7" s="38">
        <f>M7</f>
        <v>1341.6</v>
      </c>
      <c r="O7" s="39" t="s">
        <v>137</v>
      </c>
      <c r="P7" s="38"/>
      <c r="Q7" s="38"/>
      <c r="R7" s="38">
        <f>SUM(R5:R6)</f>
        <v>1341.6</v>
      </c>
      <c r="S7" s="38">
        <f t="shared" ref="S7:AD7" si="0">SUM(S5:S5)</f>
        <v>0</v>
      </c>
      <c r="T7" s="38">
        <f t="shared" si="0"/>
        <v>0</v>
      </c>
      <c r="U7" s="38">
        <f t="shared" si="0"/>
        <v>0</v>
      </c>
      <c r="V7" s="38">
        <f t="shared" si="0"/>
        <v>0</v>
      </c>
      <c r="W7" s="38">
        <f t="shared" si="0"/>
        <v>0</v>
      </c>
      <c r="X7" s="38">
        <f t="shared" si="0"/>
        <v>0</v>
      </c>
      <c r="Y7" s="38">
        <f t="shared" si="0"/>
        <v>0</v>
      </c>
      <c r="Z7" s="38">
        <f t="shared" si="0"/>
        <v>0</v>
      </c>
      <c r="AA7" s="38">
        <f t="shared" si="0"/>
        <v>0</v>
      </c>
      <c r="AB7" s="38">
        <f t="shared" si="0"/>
        <v>0</v>
      </c>
      <c r="AC7" s="38">
        <f t="shared" si="0"/>
        <v>0</v>
      </c>
      <c r="AD7" s="38">
        <f t="shared" si="0"/>
        <v>0</v>
      </c>
      <c r="AF7" s="38">
        <f>SUM(AF5:AF5)</f>
        <v>0</v>
      </c>
      <c r="AH7" s="38">
        <f t="shared" ref="AH7:AZ7" si="1">SUM(AH5:AH5)</f>
        <v>0</v>
      </c>
      <c r="AI7" s="38">
        <f t="shared" si="1"/>
        <v>0</v>
      </c>
      <c r="AJ7" s="38">
        <f t="shared" si="1"/>
        <v>0</v>
      </c>
      <c r="AK7" s="38">
        <f t="shared" si="1"/>
        <v>0</v>
      </c>
      <c r="AL7" s="38">
        <f t="shared" si="1"/>
        <v>0</v>
      </c>
      <c r="AM7" s="38">
        <f t="shared" si="1"/>
        <v>0</v>
      </c>
      <c r="AN7" s="38">
        <f t="shared" si="1"/>
        <v>0</v>
      </c>
      <c r="AO7" s="38">
        <f t="shared" si="1"/>
        <v>0</v>
      </c>
      <c r="AP7" s="38">
        <f t="shared" si="1"/>
        <v>0</v>
      </c>
      <c r="AQ7" s="38">
        <f t="shared" si="1"/>
        <v>0</v>
      </c>
      <c r="AR7" s="38">
        <f t="shared" si="1"/>
        <v>0</v>
      </c>
      <c r="AS7" s="38">
        <f t="shared" si="1"/>
        <v>0</v>
      </c>
      <c r="AT7" s="38">
        <f t="shared" si="1"/>
        <v>0</v>
      </c>
      <c r="AU7" s="38">
        <f t="shared" si="1"/>
        <v>0</v>
      </c>
      <c r="AV7" s="38">
        <f t="shared" si="1"/>
        <v>0</v>
      </c>
      <c r="AW7" s="38">
        <f t="shared" si="1"/>
        <v>0</v>
      </c>
      <c r="AX7" s="38">
        <f t="shared" si="1"/>
        <v>0</v>
      </c>
      <c r="AY7" s="38">
        <f t="shared" si="1"/>
        <v>0</v>
      </c>
      <c r="AZ7" s="38">
        <f t="shared" si="1"/>
        <v>0</v>
      </c>
      <c r="BB7" s="38">
        <f t="shared" ref="BB7:CV7" si="2">SUM(BB5:BB5)</f>
        <v>0</v>
      </c>
      <c r="BC7" s="38">
        <f t="shared" si="2"/>
        <v>0</v>
      </c>
      <c r="BD7" s="38">
        <f t="shared" si="2"/>
        <v>0</v>
      </c>
      <c r="BE7" s="38">
        <f t="shared" si="2"/>
        <v>0</v>
      </c>
      <c r="BF7" s="38">
        <f t="shared" si="2"/>
        <v>0</v>
      </c>
      <c r="BG7" s="38">
        <f t="shared" si="2"/>
        <v>0</v>
      </c>
      <c r="BH7" s="38">
        <f t="shared" si="2"/>
        <v>0</v>
      </c>
      <c r="BI7" s="38">
        <f t="shared" si="2"/>
        <v>0</v>
      </c>
      <c r="BJ7" s="38">
        <f t="shared" si="2"/>
        <v>0</v>
      </c>
      <c r="BK7" s="38">
        <f t="shared" si="2"/>
        <v>0</v>
      </c>
      <c r="BL7" s="38">
        <f t="shared" si="2"/>
        <v>0</v>
      </c>
      <c r="BM7" s="38">
        <f t="shared" si="2"/>
        <v>0</v>
      </c>
      <c r="BN7" s="38">
        <f t="shared" si="2"/>
        <v>0</v>
      </c>
      <c r="BO7" s="38">
        <f t="shared" si="2"/>
        <v>0</v>
      </c>
      <c r="BP7" s="38">
        <f t="shared" si="2"/>
        <v>0</v>
      </c>
      <c r="BQ7" s="38">
        <f t="shared" si="2"/>
        <v>0</v>
      </c>
      <c r="BR7" s="38">
        <f t="shared" si="2"/>
        <v>0</v>
      </c>
      <c r="BS7" s="38">
        <f t="shared" si="2"/>
        <v>0</v>
      </c>
      <c r="BT7" s="38">
        <f t="shared" si="2"/>
        <v>0</v>
      </c>
      <c r="BU7" s="38">
        <f t="shared" si="2"/>
        <v>0</v>
      </c>
      <c r="BV7" s="38">
        <f t="shared" si="2"/>
        <v>0</v>
      </c>
      <c r="BW7" s="38">
        <f t="shared" si="2"/>
        <v>0</v>
      </c>
      <c r="BX7" s="38">
        <f t="shared" si="2"/>
        <v>0</v>
      </c>
      <c r="BY7" s="38">
        <f t="shared" si="2"/>
        <v>0</v>
      </c>
      <c r="BZ7" s="38">
        <f t="shared" si="2"/>
        <v>0</v>
      </c>
      <c r="CA7" s="38">
        <f t="shared" si="2"/>
        <v>0</v>
      </c>
      <c r="CB7" s="38">
        <f t="shared" si="2"/>
        <v>0</v>
      </c>
      <c r="CC7" s="38">
        <f t="shared" si="2"/>
        <v>0</v>
      </c>
      <c r="CD7" s="38">
        <f t="shared" si="2"/>
        <v>0</v>
      </c>
      <c r="CE7" s="38">
        <f t="shared" si="2"/>
        <v>0</v>
      </c>
      <c r="CF7" s="38">
        <f t="shared" si="2"/>
        <v>0</v>
      </c>
      <c r="CG7" s="38">
        <f t="shared" si="2"/>
        <v>0</v>
      </c>
      <c r="CH7" s="38">
        <f t="shared" si="2"/>
        <v>0</v>
      </c>
      <c r="CI7" s="38">
        <f t="shared" si="2"/>
        <v>0</v>
      </c>
      <c r="CJ7" s="38">
        <f t="shared" si="2"/>
        <v>0</v>
      </c>
      <c r="CK7" s="38">
        <f t="shared" si="2"/>
        <v>0</v>
      </c>
      <c r="CL7" s="38">
        <f t="shared" si="2"/>
        <v>0</v>
      </c>
      <c r="CM7" s="38">
        <f t="shared" si="2"/>
        <v>0</v>
      </c>
      <c r="CN7" s="38">
        <f t="shared" si="2"/>
        <v>0</v>
      </c>
      <c r="CO7" s="38">
        <f t="shared" si="2"/>
        <v>0</v>
      </c>
      <c r="CP7" s="38">
        <f t="shared" si="2"/>
        <v>0</v>
      </c>
      <c r="CQ7" s="38">
        <f t="shared" si="2"/>
        <v>0</v>
      </c>
      <c r="CR7" s="38">
        <f t="shared" si="2"/>
        <v>0</v>
      </c>
      <c r="CS7" s="38">
        <f t="shared" si="2"/>
        <v>0</v>
      </c>
      <c r="CT7" s="38">
        <f t="shared" si="2"/>
        <v>0</v>
      </c>
      <c r="CU7" s="38">
        <f t="shared" si="2"/>
        <v>0</v>
      </c>
      <c r="CV7" s="38">
        <f t="shared" si="2"/>
        <v>0</v>
      </c>
      <c r="CW7" s="40"/>
    </row>
    <row r="8" spans="1:103" customFormat="1" ht="15" x14ac:dyDescent="0.25"/>
    <row r="9" spans="1:103" customFormat="1" ht="15" x14ac:dyDescent="0.25">
      <c r="A9" s="41" t="str">
        <f>E5</f>
        <v>MARKET</v>
      </c>
      <c r="B9" s="42"/>
      <c r="C9" s="43"/>
      <c r="D9" s="44"/>
      <c r="E9" s="44"/>
      <c r="F9" s="45"/>
      <c r="G9" s="46"/>
      <c r="H9" s="47"/>
      <c r="I9" s="48"/>
      <c r="J9" s="49"/>
      <c r="K9" s="50"/>
      <c r="L9" s="51"/>
      <c r="M9" s="52"/>
      <c r="N9" s="53"/>
      <c r="O9" s="54"/>
      <c r="P9" s="55"/>
    </row>
    <row r="10" spans="1:103" customFormat="1" ht="15" x14ac:dyDescent="0.25">
      <c r="A10" s="56"/>
      <c r="B10" s="57"/>
      <c r="C10" s="58"/>
      <c r="D10" s="59" t="s">
        <v>112</v>
      </c>
      <c r="E10" s="59" t="s">
        <v>113</v>
      </c>
      <c r="F10" s="60" t="s">
        <v>114</v>
      </c>
      <c r="G10" s="61"/>
      <c r="H10" s="62"/>
      <c r="I10" s="63"/>
      <c r="J10" s="64"/>
      <c r="K10" s="1"/>
      <c r="L10" s="65"/>
      <c r="M10" s="66"/>
      <c r="N10" s="67"/>
      <c r="O10" s="68"/>
      <c r="P10" s="69"/>
    </row>
    <row r="11" spans="1:103" customFormat="1" ht="13.5" customHeight="1" x14ac:dyDescent="0.25">
      <c r="A11" s="70" t="s">
        <v>151</v>
      </c>
      <c r="B11" s="71"/>
      <c r="C11" s="72"/>
      <c r="D11" s="73">
        <f>R7</f>
        <v>1341.6</v>
      </c>
      <c r="E11" s="74"/>
      <c r="F11" s="75" t="str">
        <f>"In payment for 2.07 kilo of brocolli and 2.22 kilo of cauli flower for function using housefund received on " &amp; TEXT(A5, "mmmm dd, yyyy") &amp; " with PR#30611 RR#" &amp; " CPO#" &amp;B5</f>
        <v>In payment for 2.07 kilo of brocolli and 2.22 kilo of cauli flower for function using housefund received on August 27, 2025 with PR#30611 RR# CPO#19017</v>
      </c>
      <c r="G11" s="76"/>
      <c r="H11" s="77"/>
      <c r="I11" s="77"/>
      <c r="J11" s="76"/>
      <c r="K11" s="1"/>
      <c r="L11" s="65"/>
      <c r="M11" s="78"/>
      <c r="N11" s="79"/>
      <c r="O11" s="80"/>
      <c r="P11" s="81"/>
    </row>
    <row r="12" spans="1:103" customFormat="1" ht="15" x14ac:dyDescent="0.25">
      <c r="A12" s="70" t="s">
        <v>115</v>
      </c>
      <c r="B12" s="71"/>
      <c r="C12" s="72"/>
      <c r="D12" s="73">
        <f>Q7</f>
        <v>0</v>
      </c>
      <c r="E12" s="74"/>
      <c r="F12" s="64" t="str">
        <f>"Recording input VAT for expenses and purchases made using house fund for " &amp; TEXT(A5, "mmmm dd, yyyy")</f>
        <v>Recording input VAT for expenses and purchases made using house fund for August 27,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85" t="s">
        <v>116</v>
      </c>
      <c r="B13" s="86"/>
      <c r="C13" s="87"/>
      <c r="D13" s="88"/>
      <c r="E13" s="74">
        <f>P7</f>
        <v>0</v>
      </c>
      <c r="F13" s="89" t="str">
        <f>"Recording the tax withheld for expenses and purchases using the house fund received on " &amp; TEXT(A5, "mmmm dd, yyyy")</f>
        <v>Recording the tax withheld for expenses and purchases using the house fund received on August 27,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70" t="s">
        <v>117</v>
      </c>
      <c r="B14" s="86"/>
      <c r="C14" s="87"/>
      <c r="D14" s="90"/>
      <c r="E14" s="91">
        <f>M7</f>
        <v>1341.6</v>
      </c>
      <c r="F14" s="89" t="str">
        <f>"Recording house fund expenses for replenishment on " &amp; TEXT(A5, "mmmm dd, yyyy")</f>
        <v>Recording house fund expenses for replenishment on August 27,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85"/>
      <c r="B15" s="86"/>
      <c r="C15" s="87"/>
      <c r="D15" s="88">
        <f>SUM(D11:D12)</f>
        <v>1341.6</v>
      </c>
      <c r="E15" s="88">
        <f>SUM(E11:E14)</f>
        <v>1341.6</v>
      </c>
      <c r="F15" s="92"/>
      <c r="G15" s="92"/>
      <c r="H15" s="93"/>
      <c r="I15" s="94"/>
      <c r="J15" s="92"/>
      <c r="K15" s="1"/>
      <c r="L15" s="65"/>
      <c r="M15" s="66"/>
      <c r="N15" s="67"/>
      <c r="O15" s="68"/>
      <c r="P15" s="69"/>
    </row>
    <row r="16" spans="1:103" customFormat="1" ht="15" x14ac:dyDescent="0.25">
      <c r="A16" s="95" t="s">
        <v>118</v>
      </c>
      <c r="B16" s="96" t="str">
        <f>"To record house fund expenses on " &amp; TEXT(A5, "mmmm dd, yyyy") &amp; " with PCV#" &amp; C5</f>
        <v>To record house fund expenses on August 27, 2025 with PCV#21009</v>
      </c>
      <c r="C16" s="97"/>
      <c r="D16" s="98"/>
      <c r="E16" s="98"/>
      <c r="F16" s="98"/>
      <c r="G16" s="92"/>
      <c r="H16" s="93"/>
      <c r="I16" s="94"/>
      <c r="J16" s="92"/>
      <c r="K16" s="1"/>
      <c r="L16" s="65"/>
      <c r="M16" s="66"/>
      <c r="N16" s="67"/>
      <c r="O16" s="68"/>
      <c r="P16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B6B81-BF31-461D-8F6A-61B1518A4C68}">
  <sheetPr>
    <tabColor rgb="FF50456B"/>
  </sheetPr>
  <dimension ref="A1:CY21"/>
  <sheetViews>
    <sheetView topLeftCell="A4" workbookViewId="0">
      <selection activeCell="C14" sqref="C14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45896</v>
      </c>
      <c r="B5" s="3" t="s">
        <v>824</v>
      </c>
      <c r="C5" s="4" t="s">
        <v>887</v>
      </c>
      <c r="D5" s="5" t="s">
        <v>122</v>
      </c>
      <c r="E5" s="6" t="s">
        <v>370</v>
      </c>
      <c r="F5" s="7" t="s">
        <v>336</v>
      </c>
      <c r="G5" s="8" t="s">
        <v>199</v>
      </c>
      <c r="H5" s="9" t="s">
        <v>833</v>
      </c>
      <c r="I5" s="10"/>
      <c r="J5" s="11" t="s">
        <v>834</v>
      </c>
      <c r="K5" s="12">
        <v>3</v>
      </c>
      <c r="L5" s="13">
        <v>35.5</v>
      </c>
      <c r="M5" s="14">
        <f t="shared" ref="M5:M11" si="0">L5*K5</f>
        <v>106.5</v>
      </c>
      <c r="N5" s="15"/>
      <c r="O5" s="16" t="s">
        <v>111</v>
      </c>
      <c r="P5" s="17">
        <f>M5/1.12*0.01</f>
        <v>0.9508928571428571</v>
      </c>
      <c r="Q5" s="18">
        <f>M5/1.12*0.12</f>
        <v>11.410714285714285</v>
      </c>
      <c r="R5" s="17">
        <f>M5+P5-Q5</f>
        <v>96.040178571428584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835</v>
      </c>
      <c r="K6" s="12">
        <v>1</v>
      </c>
      <c r="L6" s="13">
        <v>54.5</v>
      </c>
      <c r="M6" s="14">
        <f t="shared" si="0"/>
        <v>54.5</v>
      </c>
      <c r="N6" s="15"/>
      <c r="O6" s="16" t="s">
        <v>111</v>
      </c>
      <c r="P6" s="17">
        <f t="shared" ref="P6:P11" si="1">M6/1.12*0.01</f>
        <v>0.48660714285714279</v>
      </c>
      <c r="Q6" s="18">
        <f t="shared" ref="Q6:Q11" si="2">M6/1.12*0.12</f>
        <v>5.8392857142857135</v>
      </c>
      <c r="R6" s="17">
        <f t="shared" ref="R6:R11" si="3">M6+P6-Q6</f>
        <v>49.147321428571431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5" customFormat="1" x14ac:dyDescent="0.2">
      <c r="A7" s="2"/>
      <c r="B7" s="3"/>
      <c r="C7" s="4"/>
      <c r="E7" s="6"/>
      <c r="F7" s="7"/>
      <c r="G7" s="8"/>
      <c r="H7" s="9"/>
      <c r="I7" s="10"/>
      <c r="J7" s="11" t="s">
        <v>836</v>
      </c>
      <c r="K7" s="12">
        <v>1</v>
      </c>
      <c r="L7" s="13">
        <v>61.5</v>
      </c>
      <c r="M7" s="14">
        <f t="shared" si="0"/>
        <v>61.5</v>
      </c>
      <c r="N7" s="15"/>
      <c r="O7" s="16" t="s">
        <v>111</v>
      </c>
      <c r="P7" s="17">
        <f t="shared" si="1"/>
        <v>0.54910714285714279</v>
      </c>
      <c r="Q7" s="18">
        <f t="shared" si="2"/>
        <v>6.5892857142857126</v>
      </c>
      <c r="R7" s="17">
        <f t="shared" si="3"/>
        <v>55.459821428571431</v>
      </c>
      <c r="S7" s="19"/>
      <c r="T7" s="19"/>
      <c r="U7" s="19"/>
      <c r="V7" s="19"/>
      <c r="W7" s="17"/>
      <c r="X7" s="20"/>
      <c r="Y7" s="19"/>
      <c r="Z7" s="19"/>
      <c r="AA7" s="19"/>
      <c r="AB7" s="19"/>
      <c r="AC7" s="19"/>
      <c r="AD7" s="19"/>
      <c r="AF7" s="19"/>
      <c r="AH7" s="17"/>
      <c r="AI7" s="19"/>
      <c r="AJ7" s="19"/>
      <c r="AK7" s="19"/>
      <c r="AL7" s="19"/>
      <c r="AM7" s="17"/>
      <c r="AN7" s="19"/>
      <c r="AO7" s="19"/>
      <c r="AP7" s="19"/>
      <c r="AQ7" s="19"/>
      <c r="AR7" s="19"/>
      <c r="AS7" s="21"/>
      <c r="AU7" s="19"/>
      <c r="AW7" s="22"/>
      <c r="AX7" s="19"/>
      <c r="AZ7" s="19"/>
      <c r="BC7" s="19"/>
      <c r="BD7" s="19"/>
      <c r="BE7" s="19"/>
      <c r="BF7" s="19"/>
      <c r="BG7" s="19"/>
      <c r="BH7" s="19"/>
      <c r="BI7" s="19"/>
      <c r="BJ7" s="19"/>
      <c r="BK7" s="13"/>
      <c r="BN7" s="19"/>
      <c r="BO7" s="17"/>
      <c r="BP7" s="19"/>
      <c r="BQ7" s="17"/>
      <c r="BR7" s="19"/>
      <c r="BS7" s="13"/>
      <c r="BU7" s="23"/>
      <c r="BV7" s="23"/>
      <c r="BW7" s="24"/>
      <c r="CA7" s="24"/>
      <c r="CB7" s="24"/>
      <c r="CC7" s="24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25"/>
      <c r="CW7" s="26"/>
    </row>
    <row r="8" spans="1:103" s="5" customFormat="1" x14ac:dyDescent="0.2">
      <c r="A8" s="2"/>
      <c r="B8" s="3"/>
      <c r="C8" s="4"/>
      <c r="E8" s="6"/>
      <c r="F8" s="7"/>
      <c r="G8" s="8"/>
      <c r="H8" s="9"/>
      <c r="I8" s="10"/>
      <c r="J8" s="11" t="s">
        <v>837</v>
      </c>
      <c r="K8" s="12">
        <v>4</v>
      </c>
      <c r="L8" s="13">
        <v>107</v>
      </c>
      <c r="M8" s="14">
        <f t="shared" si="0"/>
        <v>428</v>
      </c>
      <c r="N8" s="15"/>
      <c r="O8" s="16" t="s">
        <v>111</v>
      </c>
      <c r="P8" s="17">
        <f t="shared" si="1"/>
        <v>3.8214285714285712</v>
      </c>
      <c r="Q8" s="18">
        <f t="shared" si="2"/>
        <v>45.857142857142854</v>
      </c>
      <c r="R8" s="17">
        <f t="shared" si="3"/>
        <v>385.96428571428572</v>
      </c>
      <c r="S8" s="19"/>
      <c r="T8" s="19"/>
      <c r="U8" s="19"/>
      <c r="V8" s="19"/>
      <c r="W8" s="17"/>
      <c r="X8" s="20"/>
      <c r="Y8" s="19"/>
      <c r="Z8" s="19"/>
      <c r="AA8" s="19"/>
      <c r="AB8" s="19"/>
      <c r="AC8" s="19"/>
      <c r="AD8" s="19"/>
      <c r="AF8" s="19"/>
      <c r="AH8" s="17"/>
      <c r="AI8" s="19"/>
      <c r="AJ8" s="19"/>
      <c r="AK8" s="19"/>
      <c r="AL8" s="19"/>
      <c r="AM8" s="17"/>
      <c r="AN8" s="19"/>
      <c r="AO8" s="19"/>
      <c r="AP8" s="19"/>
      <c r="AQ8" s="19"/>
      <c r="AR8" s="19"/>
      <c r="AS8" s="21"/>
      <c r="AU8" s="19"/>
      <c r="AW8" s="22"/>
      <c r="AX8" s="19"/>
      <c r="AZ8" s="19"/>
      <c r="BC8" s="19"/>
      <c r="BD8" s="19"/>
      <c r="BE8" s="19"/>
      <c r="BF8" s="19"/>
      <c r="BG8" s="19"/>
      <c r="BH8" s="19"/>
      <c r="BI8" s="19"/>
      <c r="BJ8" s="19"/>
      <c r="BK8" s="13"/>
      <c r="BN8" s="19"/>
      <c r="BO8" s="17"/>
      <c r="BP8" s="19"/>
      <c r="BQ8" s="17"/>
      <c r="BR8" s="19"/>
      <c r="BS8" s="13"/>
      <c r="BU8" s="23"/>
      <c r="BV8" s="23"/>
      <c r="BW8" s="24"/>
      <c r="CA8" s="24"/>
      <c r="CB8" s="24"/>
      <c r="CC8" s="24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25"/>
      <c r="CW8" s="26"/>
    </row>
    <row r="9" spans="1:103" s="5" customFormat="1" x14ac:dyDescent="0.2">
      <c r="A9" s="2"/>
      <c r="B9" s="3"/>
      <c r="C9" s="4"/>
      <c r="E9" s="6"/>
      <c r="F9" s="7"/>
      <c r="G9" s="8"/>
      <c r="H9" s="9"/>
      <c r="I9" s="10"/>
      <c r="J9" s="11" t="s">
        <v>838</v>
      </c>
      <c r="K9" s="12">
        <v>1</v>
      </c>
      <c r="L9" s="13">
        <v>119</v>
      </c>
      <c r="M9" s="14">
        <f t="shared" si="0"/>
        <v>119</v>
      </c>
      <c r="N9" s="15"/>
      <c r="O9" s="16" t="s">
        <v>111</v>
      </c>
      <c r="P9" s="17">
        <f t="shared" si="1"/>
        <v>1.0624999999999998</v>
      </c>
      <c r="Q9" s="18">
        <f t="shared" si="2"/>
        <v>12.749999999999998</v>
      </c>
      <c r="R9" s="17">
        <f t="shared" si="3"/>
        <v>107.3125</v>
      </c>
      <c r="S9" s="19"/>
      <c r="T9" s="19"/>
      <c r="U9" s="19"/>
      <c r="V9" s="19"/>
      <c r="W9" s="17"/>
      <c r="X9" s="20"/>
      <c r="Y9" s="19"/>
      <c r="Z9" s="19"/>
      <c r="AA9" s="19"/>
      <c r="AB9" s="19"/>
      <c r="AC9" s="19"/>
      <c r="AD9" s="19"/>
      <c r="AF9" s="19"/>
      <c r="AH9" s="17"/>
      <c r="AI9" s="19"/>
      <c r="AJ9" s="19"/>
      <c r="AK9" s="19"/>
      <c r="AL9" s="19"/>
      <c r="AM9" s="17"/>
      <c r="AN9" s="19"/>
      <c r="AO9" s="19"/>
      <c r="AP9" s="19"/>
      <c r="AQ9" s="19"/>
      <c r="AR9" s="19"/>
      <c r="AS9" s="21"/>
      <c r="AU9" s="19"/>
      <c r="AW9" s="22"/>
      <c r="AX9" s="19"/>
      <c r="AZ9" s="19"/>
      <c r="BC9" s="19"/>
      <c r="BD9" s="19"/>
      <c r="BE9" s="19"/>
      <c r="BF9" s="19"/>
      <c r="BG9" s="19"/>
      <c r="BH9" s="19"/>
      <c r="BI9" s="19"/>
      <c r="BJ9" s="19"/>
      <c r="BK9" s="13"/>
      <c r="BN9" s="19"/>
      <c r="BO9" s="17"/>
      <c r="BP9" s="19"/>
      <c r="BQ9" s="17"/>
      <c r="BR9" s="19"/>
      <c r="BS9" s="13"/>
      <c r="BU9" s="23"/>
      <c r="BV9" s="23"/>
      <c r="BW9" s="24"/>
      <c r="CA9" s="24"/>
      <c r="CB9" s="24"/>
      <c r="CC9" s="24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25"/>
      <c r="CW9" s="26"/>
    </row>
    <row r="10" spans="1:103" s="5" customFormat="1" x14ac:dyDescent="0.2">
      <c r="A10" s="2"/>
      <c r="B10" s="3"/>
      <c r="C10" s="4"/>
      <c r="E10" s="6"/>
      <c r="F10" s="7"/>
      <c r="G10" s="8"/>
      <c r="H10" s="9"/>
      <c r="I10" s="10"/>
      <c r="J10" s="11" t="s">
        <v>839</v>
      </c>
      <c r="K10" s="12">
        <v>1</v>
      </c>
      <c r="L10" s="13">
        <v>79.5</v>
      </c>
      <c r="M10" s="14">
        <f t="shared" si="0"/>
        <v>79.5</v>
      </c>
      <c r="N10" s="15"/>
      <c r="O10" s="16" t="s">
        <v>111</v>
      </c>
      <c r="P10" s="17">
        <f t="shared" si="1"/>
        <v>0.70982142857142849</v>
      </c>
      <c r="Q10" s="18">
        <f t="shared" si="2"/>
        <v>8.5178571428571406</v>
      </c>
      <c r="R10" s="17">
        <f t="shared" si="3"/>
        <v>71.691964285714292</v>
      </c>
      <c r="S10" s="19"/>
      <c r="T10" s="19"/>
      <c r="U10" s="19"/>
      <c r="V10" s="19"/>
      <c r="W10" s="17"/>
      <c r="X10" s="20"/>
      <c r="Y10" s="19"/>
      <c r="Z10" s="19"/>
      <c r="AA10" s="19"/>
      <c r="AB10" s="19"/>
      <c r="AC10" s="19"/>
      <c r="AD10" s="19"/>
      <c r="AF10" s="19"/>
      <c r="AH10" s="17"/>
      <c r="AI10" s="19"/>
      <c r="AJ10" s="19"/>
      <c r="AK10" s="19"/>
      <c r="AL10" s="19"/>
      <c r="AM10" s="17"/>
      <c r="AN10" s="19"/>
      <c r="AO10" s="19"/>
      <c r="AP10" s="19"/>
      <c r="AQ10" s="19"/>
      <c r="AR10" s="19"/>
      <c r="AS10" s="21"/>
      <c r="AU10" s="19"/>
      <c r="AW10" s="22"/>
      <c r="AX10" s="19"/>
      <c r="AZ10" s="19"/>
      <c r="BC10" s="19"/>
      <c r="BD10" s="19"/>
      <c r="BE10" s="19"/>
      <c r="BF10" s="19"/>
      <c r="BG10" s="19"/>
      <c r="BH10" s="19"/>
      <c r="BI10" s="19"/>
      <c r="BJ10" s="19"/>
      <c r="BK10" s="13"/>
      <c r="BN10" s="19"/>
      <c r="BO10" s="17"/>
      <c r="BP10" s="19"/>
      <c r="BQ10" s="17"/>
      <c r="BR10" s="19"/>
      <c r="BS10" s="13"/>
      <c r="BU10" s="23"/>
      <c r="BV10" s="23"/>
      <c r="BW10" s="24"/>
      <c r="CA10" s="24"/>
      <c r="CB10" s="24"/>
      <c r="CC10" s="24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25"/>
      <c r="CW10" s="26"/>
    </row>
    <row r="11" spans="1:103" s="5" customFormat="1" x14ac:dyDescent="0.2">
      <c r="A11" s="2"/>
      <c r="B11" s="3"/>
      <c r="C11" s="4"/>
      <c r="E11" s="6"/>
      <c r="F11" s="7"/>
      <c r="G11" s="8"/>
      <c r="H11" s="9"/>
      <c r="I11" s="10"/>
      <c r="J11" s="11" t="s">
        <v>840</v>
      </c>
      <c r="K11" s="12">
        <v>1</v>
      </c>
      <c r="L11" s="13">
        <v>106.5</v>
      </c>
      <c r="M11" s="14">
        <f t="shared" si="0"/>
        <v>106.5</v>
      </c>
      <c r="N11" s="15"/>
      <c r="O11" s="16" t="s">
        <v>111</v>
      </c>
      <c r="P11" s="17">
        <f t="shared" si="1"/>
        <v>0.9508928571428571</v>
      </c>
      <c r="Q11" s="18">
        <f t="shared" si="2"/>
        <v>11.410714285714285</v>
      </c>
      <c r="R11" s="17">
        <f t="shared" si="3"/>
        <v>96.040178571428584</v>
      </c>
      <c r="S11" s="19"/>
      <c r="T11" s="19"/>
      <c r="U11" s="19"/>
      <c r="V11" s="19"/>
      <c r="W11" s="17"/>
      <c r="X11" s="20"/>
      <c r="Y11" s="19"/>
      <c r="Z11" s="19"/>
      <c r="AA11" s="19"/>
      <c r="AB11" s="19"/>
      <c r="AC11" s="19"/>
      <c r="AD11" s="19"/>
      <c r="AF11" s="19"/>
      <c r="AH11" s="17"/>
      <c r="AI11" s="19"/>
      <c r="AJ11" s="19"/>
      <c r="AK11" s="19"/>
      <c r="AL11" s="19"/>
      <c r="AM11" s="17"/>
      <c r="AN11" s="19"/>
      <c r="AO11" s="19"/>
      <c r="AP11" s="19"/>
      <c r="AQ11" s="19"/>
      <c r="AR11" s="19"/>
      <c r="AS11" s="21"/>
      <c r="AU11" s="19"/>
      <c r="AW11" s="22"/>
      <c r="AX11" s="19"/>
      <c r="AZ11" s="19"/>
      <c r="BC11" s="19"/>
      <c r="BD11" s="19"/>
      <c r="BE11" s="19"/>
      <c r="BF11" s="19"/>
      <c r="BG11" s="19"/>
      <c r="BH11" s="19"/>
      <c r="BI11" s="19"/>
      <c r="BJ11" s="19"/>
      <c r="BK11" s="13"/>
      <c r="BN11" s="19"/>
      <c r="BO11" s="17"/>
      <c r="BP11" s="19"/>
      <c r="BQ11" s="17"/>
      <c r="BR11" s="19"/>
      <c r="BS11" s="13"/>
      <c r="BU11" s="23"/>
      <c r="BV11" s="23"/>
      <c r="BW11" s="24"/>
      <c r="CA11" s="24"/>
      <c r="CB11" s="24"/>
      <c r="CC11" s="24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25"/>
      <c r="CW11" s="26"/>
    </row>
    <row r="12" spans="1:103" s="30" customFormat="1" ht="11.25" x14ac:dyDescent="0.2">
      <c r="A12" s="27"/>
      <c r="B12" s="28"/>
      <c r="C12" s="29"/>
      <c r="E12" s="31"/>
      <c r="F12" s="32"/>
      <c r="G12" s="33"/>
      <c r="H12" s="34"/>
      <c r="I12" s="34"/>
      <c r="J12" s="35"/>
      <c r="K12" s="36"/>
      <c r="L12" s="37"/>
      <c r="M12" s="38">
        <f>SUM(M5:M11)</f>
        <v>955.5</v>
      </c>
      <c r="N12" s="38">
        <f>M12</f>
        <v>955.5</v>
      </c>
      <c r="O12" s="39" t="s">
        <v>111</v>
      </c>
      <c r="P12" s="38">
        <f>SUM(P5:P11)</f>
        <v>8.53125</v>
      </c>
      <c r="Q12" s="38">
        <f>SUM(Q5:Q11)</f>
        <v>102.375</v>
      </c>
      <c r="R12" s="38">
        <f>SUM(R5:R11)</f>
        <v>861.65625</v>
      </c>
      <c r="S12" s="38">
        <f t="shared" ref="S12:AD12" si="4">SUM(S5:S5)</f>
        <v>0</v>
      </c>
      <c r="T12" s="38">
        <f t="shared" si="4"/>
        <v>0</v>
      </c>
      <c r="U12" s="38">
        <f t="shared" si="4"/>
        <v>0</v>
      </c>
      <c r="V12" s="38">
        <f t="shared" si="4"/>
        <v>0</v>
      </c>
      <c r="W12" s="38">
        <f t="shared" si="4"/>
        <v>0</v>
      </c>
      <c r="X12" s="38">
        <f t="shared" si="4"/>
        <v>0</v>
      </c>
      <c r="Y12" s="38">
        <f t="shared" si="4"/>
        <v>0</v>
      </c>
      <c r="Z12" s="38">
        <f t="shared" si="4"/>
        <v>0</v>
      </c>
      <c r="AA12" s="38">
        <f t="shared" si="4"/>
        <v>0</v>
      </c>
      <c r="AB12" s="38">
        <f t="shared" si="4"/>
        <v>0</v>
      </c>
      <c r="AC12" s="38">
        <f t="shared" si="4"/>
        <v>0</v>
      </c>
      <c r="AD12" s="38">
        <f t="shared" si="4"/>
        <v>0</v>
      </c>
      <c r="AF12" s="38">
        <f>SUM(AF5:AF5)</f>
        <v>0</v>
      </c>
      <c r="AH12" s="38">
        <f t="shared" ref="AH12:AZ12" si="5">SUM(AH5:AH5)</f>
        <v>0</v>
      </c>
      <c r="AI12" s="38">
        <f t="shared" si="5"/>
        <v>0</v>
      </c>
      <c r="AJ12" s="38">
        <f t="shared" si="5"/>
        <v>0</v>
      </c>
      <c r="AK12" s="38">
        <f t="shared" si="5"/>
        <v>0</v>
      </c>
      <c r="AL12" s="38">
        <f t="shared" si="5"/>
        <v>0</v>
      </c>
      <c r="AM12" s="38">
        <f t="shared" si="5"/>
        <v>0</v>
      </c>
      <c r="AN12" s="38">
        <f t="shared" si="5"/>
        <v>0</v>
      </c>
      <c r="AO12" s="38">
        <f t="shared" si="5"/>
        <v>0</v>
      </c>
      <c r="AP12" s="38">
        <f t="shared" si="5"/>
        <v>0</v>
      </c>
      <c r="AQ12" s="38">
        <f t="shared" si="5"/>
        <v>0</v>
      </c>
      <c r="AR12" s="38">
        <f t="shared" si="5"/>
        <v>0</v>
      </c>
      <c r="AS12" s="38">
        <f t="shared" si="5"/>
        <v>0</v>
      </c>
      <c r="AT12" s="38">
        <f t="shared" si="5"/>
        <v>0</v>
      </c>
      <c r="AU12" s="38">
        <f t="shared" si="5"/>
        <v>0</v>
      </c>
      <c r="AV12" s="38">
        <f t="shared" si="5"/>
        <v>0</v>
      </c>
      <c r="AW12" s="38">
        <f t="shared" si="5"/>
        <v>0</v>
      </c>
      <c r="AX12" s="38">
        <f t="shared" si="5"/>
        <v>0</v>
      </c>
      <c r="AY12" s="38">
        <f t="shared" si="5"/>
        <v>0</v>
      </c>
      <c r="AZ12" s="38">
        <f t="shared" si="5"/>
        <v>0</v>
      </c>
      <c r="BB12" s="38">
        <f t="shared" ref="BB12:CV12" si="6">SUM(BB5:BB5)</f>
        <v>0</v>
      </c>
      <c r="BC12" s="38">
        <f t="shared" si="6"/>
        <v>0</v>
      </c>
      <c r="BD12" s="38">
        <f t="shared" si="6"/>
        <v>0</v>
      </c>
      <c r="BE12" s="38">
        <f t="shared" si="6"/>
        <v>0</v>
      </c>
      <c r="BF12" s="38">
        <f t="shared" si="6"/>
        <v>0</v>
      </c>
      <c r="BG12" s="38">
        <f t="shared" si="6"/>
        <v>0</v>
      </c>
      <c r="BH12" s="38">
        <f t="shared" si="6"/>
        <v>0</v>
      </c>
      <c r="BI12" s="38">
        <f t="shared" si="6"/>
        <v>0</v>
      </c>
      <c r="BJ12" s="38">
        <f t="shared" si="6"/>
        <v>0</v>
      </c>
      <c r="BK12" s="38">
        <f t="shared" si="6"/>
        <v>0</v>
      </c>
      <c r="BL12" s="38">
        <f t="shared" si="6"/>
        <v>0</v>
      </c>
      <c r="BM12" s="38">
        <f t="shared" si="6"/>
        <v>0</v>
      </c>
      <c r="BN12" s="38">
        <f t="shared" si="6"/>
        <v>0</v>
      </c>
      <c r="BO12" s="38">
        <f t="shared" si="6"/>
        <v>0</v>
      </c>
      <c r="BP12" s="38">
        <f t="shared" si="6"/>
        <v>0</v>
      </c>
      <c r="BQ12" s="38">
        <f t="shared" si="6"/>
        <v>0</v>
      </c>
      <c r="BR12" s="38">
        <f t="shared" si="6"/>
        <v>0</v>
      </c>
      <c r="BS12" s="38">
        <f t="shared" si="6"/>
        <v>0</v>
      </c>
      <c r="BT12" s="38">
        <f t="shared" si="6"/>
        <v>0</v>
      </c>
      <c r="BU12" s="38">
        <f t="shared" si="6"/>
        <v>0</v>
      </c>
      <c r="BV12" s="38">
        <f t="shared" si="6"/>
        <v>0</v>
      </c>
      <c r="BW12" s="38">
        <f t="shared" si="6"/>
        <v>0</v>
      </c>
      <c r="BX12" s="38">
        <f t="shared" si="6"/>
        <v>0</v>
      </c>
      <c r="BY12" s="38">
        <f t="shared" si="6"/>
        <v>0</v>
      </c>
      <c r="BZ12" s="38">
        <f t="shared" si="6"/>
        <v>0</v>
      </c>
      <c r="CA12" s="38">
        <f t="shared" si="6"/>
        <v>0</v>
      </c>
      <c r="CB12" s="38">
        <f t="shared" si="6"/>
        <v>0</v>
      </c>
      <c r="CC12" s="38">
        <f t="shared" si="6"/>
        <v>0</v>
      </c>
      <c r="CD12" s="38">
        <f t="shared" si="6"/>
        <v>0</v>
      </c>
      <c r="CE12" s="38">
        <f t="shared" si="6"/>
        <v>0</v>
      </c>
      <c r="CF12" s="38">
        <f t="shared" si="6"/>
        <v>0</v>
      </c>
      <c r="CG12" s="38">
        <f t="shared" si="6"/>
        <v>0</v>
      </c>
      <c r="CH12" s="38">
        <f t="shared" si="6"/>
        <v>0</v>
      </c>
      <c r="CI12" s="38">
        <f t="shared" si="6"/>
        <v>0</v>
      </c>
      <c r="CJ12" s="38">
        <f t="shared" si="6"/>
        <v>0</v>
      </c>
      <c r="CK12" s="38">
        <f t="shared" si="6"/>
        <v>0</v>
      </c>
      <c r="CL12" s="38">
        <f t="shared" si="6"/>
        <v>0</v>
      </c>
      <c r="CM12" s="38">
        <f t="shared" si="6"/>
        <v>0</v>
      </c>
      <c r="CN12" s="38">
        <f t="shared" si="6"/>
        <v>0</v>
      </c>
      <c r="CO12" s="38">
        <f t="shared" si="6"/>
        <v>0</v>
      </c>
      <c r="CP12" s="38">
        <f t="shared" si="6"/>
        <v>0</v>
      </c>
      <c r="CQ12" s="38">
        <f t="shared" si="6"/>
        <v>0</v>
      </c>
      <c r="CR12" s="38">
        <f t="shared" si="6"/>
        <v>0</v>
      </c>
      <c r="CS12" s="38">
        <f t="shared" si="6"/>
        <v>0</v>
      </c>
      <c r="CT12" s="38">
        <f t="shared" si="6"/>
        <v>0</v>
      </c>
      <c r="CU12" s="38">
        <f t="shared" si="6"/>
        <v>0</v>
      </c>
      <c r="CV12" s="38">
        <f t="shared" si="6"/>
        <v>0</v>
      </c>
      <c r="CW12" s="40"/>
    </row>
    <row r="13" spans="1:103" customFormat="1" ht="15" x14ac:dyDescent="0.25"/>
    <row r="14" spans="1:103" customFormat="1" ht="15" x14ac:dyDescent="0.25">
      <c r="A14" s="41" t="str">
        <f>E5</f>
        <v>SAVEMORE MARKET</v>
      </c>
      <c r="B14" s="42"/>
      <c r="C14" s="43"/>
      <c r="D14" s="44"/>
      <c r="E14" s="44"/>
      <c r="F14" s="45"/>
      <c r="G14" s="46"/>
      <c r="H14" s="47"/>
      <c r="I14" s="48"/>
      <c r="J14" s="49"/>
      <c r="K14" s="50"/>
      <c r="L14" s="51"/>
      <c r="M14" s="52"/>
      <c r="N14" s="53"/>
      <c r="O14" s="54"/>
      <c r="P14" s="55"/>
    </row>
    <row r="15" spans="1:103" customFormat="1" ht="15" x14ac:dyDescent="0.25">
      <c r="A15" s="56"/>
      <c r="B15" s="57"/>
      <c r="C15" s="58"/>
      <c r="D15" s="59" t="s">
        <v>112</v>
      </c>
      <c r="E15" s="59" t="s">
        <v>113</v>
      </c>
      <c r="F15" s="60" t="s">
        <v>114</v>
      </c>
      <c r="G15" s="61"/>
      <c r="H15" s="62"/>
      <c r="I15" s="63"/>
      <c r="J15" s="64"/>
      <c r="K15" s="1"/>
      <c r="L15" s="65"/>
      <c r="M15" s="66"/>
      <c r="N15" s="67"/>
      <c r="O15" s="68"/>
      <c r="P15" s="69"/>
    </row>
    <row r="16" spans="1:103" customFormat="1" ht="13.5" customHeight="1" x14ac:dyDescent="0.25">
      <c r="A16" s="70" t="s">
        <v>151</v>
      </c>
      <c r="B16" s="71"/>
      <c r="C16" s="72"/>
      <c r="D16" s="73">
        <f>R12</f>
        <v>861.65625</v>
      </c>
      <c r="E16" s="74"/>
      <c r="F16" s="75" t="str">
        <f>"In payment for inventory food for stocking using housefund received on " &amp; TEXT(A5, "mmmm dd, yyyy") &amp; " with SI#07-00232221 PR#30611 RR#" &amp; " CPO#" &amp;B5</f>
        <v>In payment for inventory food for stocking using housefund received on August 27, 2025 with SI#07-00232221 PR#30611 RR# CPO#19017</v>
      </c>
      <c r="G16" s="76"/>
      <c r="H16" s="77"/>
      <c r="I16" s="77"/>
      <c r="J16" s="76"/>
      <c r="K16" s="1"/>
      <c r="L16" s="65"/>
      <c r="M16" s="78"/>
      <c r="N16" s="79"/>
      <c r="O16" s="80"/>
      <c r="P16" s="81"/>
    </row>
    <row r="17" spans="1:16" customFormat="1" ht="15" x14ac:dyDescent="0.25">
      <c r="A17" s="70" t="s">
        <v>115</v>
      </c>
      <c r="B17" s="71"/>
      <c r="C17" s="72"/>
      <c r="D17" s="73">
        <f>Q12</f>
        <v>102.375</v>
      </c>
      <c r="E17" s="74"/>
      <c r="F17" s="64" t="str">
        <f>"Recording input VAT for expenses and purchases made using house fund for " &amp; TEXT(A5, "mmmm dd, yyyy")</f>
        <v>Recording input VAT for expenses and purchases made using house fund for August 27, 2025</v>
      </c>
      <c r="G17" s="82"/>
      <c r="H17" s="83"/>
      <c r="I17" s="84"/>
      <c r="J17" s="82"/>
      <c r="K17" s="1"/>
      <c r="L17" s="65"/>
      <c r="M17" s="66"/>
      <c r="N17" s="67"/>
      <c r="O17" s="68"/>
      <c r="P17" s="69"/>
    </row>
    <row r="18" spans="1:16" customFormat="1" ht="15" x14ac:dyDescent="0.25">
      <c r="A18" s="85" t="s">
        <v>116</v>
      </c>
      <c r="B18" s="86"/>
      <c r="C18" s="87"/>
      <c r="D18" s="88"/>
      <c r="E18" s="74">
        <f>P12</f>
        <v>8.53125</v>
      </c>
      <c r="F18" s="89" t="str">
        <f>"Recording the tax withheld for expenses and purchases using the house fund received on " &amp; TEXT(A5, "mmmm dd, yyyy")</f>
        <v>Recording the tax withheld for expenses and purchases using the house fund received on August 27, 2025</v>
      </c>
      <c r="G18" s="82"/>
      <c r="H18" s="83"/>
      <c r="I18" s="84"/>
      <c r="J18" s="82"/>
      <c r="K18" s="1"/>
      <c r="L18" s="65"/>
      <c r="M18" s="66"/>
      <c r="N18" s="67"/>
      <c r="O18" s="68"/>
      <c r="P18" s="69"/>
    </row>
    <row r="19" spans="1:16" customFormat="1" ht="15" x14ac:dyDescent="0.25">
      <c r="A19" s="70" t="s">
        <v>117</v>
      </c>
      <c r="B19" s="86"/>
      <c r="C19" s="87"/>
      <c r="D19" s="90"/>
      <c r="E19" s="91">
        <f>M12</f>
        <v>955.5</v>
      </c>
      <c r="F19" s="89" t="str">
        <f>"Recording house fund expenses for replenishment on " &amp; TEXT(A5, "mmmm dd, yyyy")</f>
        <v>Recording house fund expenses for replenishment on August 27, 2025</v>
      </c>
      <c r="G19" s="82"/>
      <c r="H19" s="83"/>
      <c r="I19" s="84"/>
      <c r="J19" s="82"/>
      <c r="K19" s="1"/>
      <c r="L19" s="65"/>
      <c r="M19" s="66"/>
      <c r="N19" s="67"/>
      <c r="O19" s="68"/>
      <c r="P19" s="69"/>
    </row>
    <row r="20" spans="1:16" customFormat="1" ht="15" x14ac:dyDescent="0.25">
      <c r="A20" s="85"/>
      <c r="B20" s="86"/>
      <c r="C20" s="87"/>
      <c r="D20" s="88">
        <f>SUM(D16:D17)</f>
        <v>964.03125</v>
      </c>
      <c r="E20" s="88">
        <f>SUM(E16:E19)</f>
        <v>964.03125</v>
      </c>
      <c r="F20" s="92"/>
      <c r="G20" s="92"/>
      <c r="H20" s="93"/>
      <c r="I20" s="94"/>
      <c r="J20" s="92"/>
      <c r="K20" s="1"/>
      <c r="L20" s="65"/>
      <c r="M20" s="66"/>
      <c r="N20" s="67"/>
      <c r="O20" s="68"/>
      <c r="P20" s="69"/>
    </row>
    <row r="21" spans="1:16" customFormat="1" ht="15" x14ac:dyDescent="0.25">
      <c r="A21" s="95" t="s">
        <v>118</v>
      </c>
      <c r="B21" s="96" t="str">
        <f>"To record house fund expenses on " &amp; TEXT(A5, "mmmm dd, yyyy") &amp; " with PCV#" &amp; C5</f>
        <v>To record house fund expenses on August 27, 2025 with PCV#21010</v>
      </c>
      <c r="C21" s="97"/>
      <c r="D21" s="98"/>
      <c r="E21" s="98"/>
      <c r="F21" s="98"/>
      <c r="G21" s="92"/>
      <c r="H21" s="93"/>
      <c r="I21" s="94"/>
      <c r="J21" s="92"/>
      <c r="K21" s="1"/>
      <c r="L21" s="65"/>
      <c r="M21" s="66"/>
      <c r="N21" s="67"/>
      <c r="O21" s="68"/>
      <c r="P21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4D729-CF85-4EE1-877E-F925178F4457}">
  <sheetPr>
    <tabColor rgb="FF50456B"/>
  </sheetPr>
  <dimension ref="A1:CY15"/>
  <sheetViews>
    <sheetView workbookViewId="0">
      <selection activeCell="C9" sqref="C9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8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8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45893</v>
      </c>
      <c r="B5" s="3" t="s">
        <v>841</v>
      </c>
      <c r="C5" s="4" t="s">
        <v>886</v>
      </c>
      <c r="D5" s="5" t="s">
        <v>133</v>
      </c>
      <c r="E5" s="6" t="s">
        <v>266</v>
      </c>
      <c r="F5" s="7"/>
      <c r="G5" s="8"/>
      <c r="H5" s="9"/>
      <c r="I5" s="10"/>
      <c r="J5" s="11" t="s">
        <v>842</v>
      </c>
      <c r="K5" s="12">
        <v>1.9</v>
      </c>
      <c r="L5" s="13">
        <v>60</v>
      </c>
      <c r="M5" s="14">
        <f t="shared" ref="M5" si="0">L5*K5</f>
        <v>114</v>
      </c>
      <c r="N5" s="15"/>
      <c r="O5" s="16" t="s">
        <v>137</v>
      </c>
      <c r="P5" s="17"/>
      <c r="Q5" s="18"/>
      <c r="R5" s="17">
        <f>M5+P5-Q5</f>
        <v>114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114</v>
      </c>
      <c r="N6" s="38">
        <f>M6</f>
        <v>114</v>
      </c>
      <c r="O6" s="39" t="s">
        <v>137</v>
      </c>
      <c r="P6" s="38"/>
      <c r="Q6" s="38"/>
      <c r="R6" s="38">
        <f>SUM(R5:R5)</f>
        <v>114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MARKET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114</v>
      </c>
      <c r="E10" s="74"/>
      <c r="F10" s="75" t="str">
        <f>"In payment for 1.9 kilo of papaya for breakfast buffet using housefund received on " &amp; TEXT(A5, "mmmm dd, yyyy") &amp; " with PR#30495 RR#" &amp; " CPO#" &amp;B5</f>
        <v>In payment for 1.9 kilo of papaya for breakfast buffet using housefund received on August 24, 2025 with PR#30495 RR# CPO#19021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0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24,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0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24,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114</v>
      </c>
      <c r="F13" s="89" t="str">
        <f>"Recording house fund expenses for replenishment on " &amp; TEXT(A5, "mmmm dd, yyyy")</f>
        <v>Recording house fund expenses for replenishment on August 24,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114</v>
      </c>
      <c r="E14" s="88">
        <f>SUM(E10:E13)</f>
        <v>114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24, 2025 with PCV#21011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1F05E-B69A-4B2D-A2D3-DDB9993B2F83}">
  <sheetPr>
    <tabColor rgb="FFFF0000"/>
  </sheetPr>
  <dimension ref="A1:CY16"/>
  <sheetViews>
    <sheetView workbookViewId="0">
      <selection activeCell="K5" sqref="K5:K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45862</v>
      </c>
      <c r="B5" s="3" t="s">
        <v>841</v>
      </c>
      <c r="C5" s="4" t="s">
        <v>885</v>
      </c>
      <c r="D5" s="5" t="s">
        <v>133</v>
      </c>
      <c r="E5" s="6" t="s">
        <v>266</v>
      </c>
      <c r="F5" s="7"/>
      <c r="G5" s="8"/>
      <c r="H5" s="9"/>
      <c r="I5" s="10"/>
      <c r="J5" s="11" t="s">
        <v>342</v>
      </c>
      <c r="K5" s="12">
        <f>M5/L5</f>
        <v>7.1428571428571432</v>
      </c>
      <c r="L5" s="13">
        <v>70</v>
      </c>
      <c r="M5" s="14">
        <v>500</v>
      </c>
      <c r="N5" s="15"/>
      <c r="O5" s="16" t="s">
        <v>137</v>
      </c>
      <c r="P5" s="17"/>
      <c r="Q5" s="18"/>
      <c r="R5" s="17">
        <f>M5+P5-Q5</f>
        <v>500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337</v>
      </c>
      <c r="K6" s="12">
        <f>M6/L6</f>
        <v>10.78</v>
      </c>
      <c r="L6" s="13">
        <v>50</v>
      </c>
      <c r="M6" s="14">
        <v>539</v>
      </c>
      <c r="N6" s="15"/>
      <c r="O6" s="16" t="s">
        <v>137</v>
      </c>
      <c r="P6" s="17"/>
      <c r="Q6" s="18"/>
      <c r="R6" s="17">
        <f t="shared" ref="R6" si="0">M6+P6-Q6</f>
        <v>539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30" customFormat="1" ht="11.25" x14ac:dyDescent="0.2">
      <c r="A7" s="27"/>
      <c r="B7" s="28"/>
      <c r="C7" s="29"/>
      <c r="E7" s="31"/>
      <c r="F7" s="32"/>
      <c r="G7" s="33"/>
      <c r="H7" s="34"/>
      <c r="I7" s="34"/>
      <c r="J7" s="35"/>
      <c r="K7" s="36"/>
      <c r="L7" s="37"/>
      <c r="M7" s="38">
        <f>SUM(M5:M6)</f>
        <v>1039</v>
      </c>
      <c r="N7" s="38">
        <f>M7</f>
        <v>1039</v>
      </c>
      <c r="O7" s="39" t="s">
        <v>844</v>
      </c>
      <c r="P7" s="38"/>
      <c r="Q7" s="38"/>
      <c r="R7" s="38">
        <f>SUM(R5:R6)</f>
        <v>1039</v>
      </c>
      <c r="S7" s="38">
        <f t="shared" ref="S7:AD7" si="1">SUM(S5:S5)</f>
        <v>0</v>
      </c>
      <c r="T7" s="38">
        <f t="shared" si="1"/>
        <v>0</v>
      </c>
      <c r="U7" s="38">
        <f t="shared" si="1"/>
        <v>0</v>
      </c>
      <c r="V7" s="38">
        <f t="shared" si="1"/>
        <v>0</v>
      </c>
      <c r="W7" s="38">
        <f t="shared" si="1"/>
        <v>0</v>
      </c>
      <c r="X7" s="38">
        <f t="shared" si="1"/>
        <v>0</v>
      </c>
      <c r="Y7" s="38">
        <f t="shared" si="1"/>
        <v>0</v>
      </c>
      <c r="Z7" s="38">
        <f t="shared" si="1"/>
        <v>0</v>
      </c>
      <c r="AA7" s="38">
        <f t="shared" si="1"/>
        <v>0</v>
      </c>
      <c r="AB7" s="38">
        <f t="shared" si="1"/>
        <v>0</v>
      </c>
      <c r="AC7" s="38">
        <f t="shared" si="1"/>
        <v>0</v>
      </c>
      <c r="AD7" s="38">
        <f t="shared" si="1"/>
        <v>0</v>
      </c>
      <c r="AF7" s="38">
        <f>SUM(AF5:AF5)</f>
        <v>0</v>
      </c>
      <c r="AH7" s="38">
        <f t="shared" ref="AH7:AZ7" si="2">SUM(AH5:AH5)</f>
        <v>0</v>
      </c>
      <c r="AI7" s="38">
        <f t="shared" si="2"/>
        <v>0</v>
      </c>
      <c r="AJ7" s="38">
        <f t="shared" si="2"/>
        <v>0</v>
      </c>
      <c r="AK7" s="38">
        <f t="shared" si="2"/>
        <v>0</v>
      </c>
      <c r="AL7" s="38">
        <f t="shared" si="2"/>
        <v>0</v>
      </c>
      <c r="AM7" s="38">
        <f t="shared" si="2"/>
        <v>0</v>
      </c>
      <c r="AN7" s="38">
        <f t="shared" si="2"/>
        <v>0</v>
      </c>
      <c r="AO7" s="38">
        <f t="shared" si="2"/>
        <v>0</v>
      </c>
      <c r="AP7" s="38">
        <f t="shared" si="2"/>
        <v>0</v>
      </c>
      <c r="AQ7" s="38">
        <f t="shared" si="2"/>
        <v>0</v>
      </c>
      <c r="AR7" s="38">
        <f t="shared" si="2"/>
        <v>0</v>
      </c>
      <c r="AS7" s="38">
        <f t="shared" si="2"/>
        <v>0</v>
      </c>
      <c r="AT7" s="38">
        <f t="shared" si="2"/>
        <v>0</v>
      </c>
      <c r="AU7" s="38">
        <f t="shared" si="2"/>
        <v>0</v>
      </c>
      <c r="AV7" s="38">
        <f t="shared" si="2"/>
        <v>0</v>
      </c>
      <c r="AW7" s="38">
        <f t="shared" si="2"/>
        <v>0</v>
      </c>
      <c r="AX7" s="38">
        <f t="shared" si="2"/>
        <v>0</v>
      </c>
      <c r="AY7" s="38">
        <f t="shared" si="2"/>
        <v>0</v>
      </c>
      <c r="AZ7" s="38">
        <f t="shared" si="2"/>
        <v>0</v>
      </c>
      <c r="BB7" s="38">
        <f t="shared" ref="BB7:CV7" si="3">SUM(BB5:BB5)</f>
        <v>0</v>
      </c>
      <c r="BC7" s="38">
        <f t="shared" si="3"/>
        <v>0</v>
      </c>
      <c r="BD7" s="38">
        <f t="shared" si="3"/>
        <v>0</v>
      </c>
      <c r="BE7" s="38">
        <f t="shared" si="3"/>
        <v>0</v>
      </c>
      <c r="BF7" s="38">
        <f t="shared" si="3"/>
        <v>0</v>
      </c>
      <c r="BG7" s="38">
        <f t="shared" si="3"/>
        <v>0</v>
      </c>
      <c r="BH7" s="38">
        <f t="shared" si="3"/>
        <v>0</v>
      </c>
      <c r="BI7" s="38">
        <f t="shared" si="3"/>
        <v>0</v>
      </c>
      <c r="BJ7" s="38">
        <f t="shared" si="3"/>
        <v>0</v>
      </c>
      <c r="BK7" s="38">
        <f t="shared" si="3"/>
        <v>0</v>
      </c>
      <c r="BL7" s="38">
        <f t="shared" si="3"/>
        <v>0</v>
      </c>
      <c r="BM7" s="38">
        <f t="shared" si="3"/>
        <v>0</v>
      </c>
      <c r="BN7" s="38">
        <f t="shared" si="3"/>
        <v>0</v>
      </c>
      <c r="BO7" s="38">
        <f t="shared" si="3"/>
        <v>0</v>
      </c>
      <c r="BP7" s="38">
        <f t="shared" si="3"/>
        <v>0</v>
      </c>
      <c r="BQ7" s="38">
        <f t="shared" si="3"/>
        <v>0</v>
      </c>
      <c r="BR7" s="38">
        <f t="shared" si="3"/>
        <v>0</v>
      </c>
      <c r="BS7" s="38">
        <f t="shared" si="3"/>
        <v>0</v>
      </c>
      <c r="BT7" s="38">
        <f t="shared" si="3"/>
        <v>0</v>
      </c>
      <c r="BU7" s="38">
        <f t="shared" si="3"/>
        <v>0</v>
      </c>
      <c r="BV7" s="38">
        <f t="shared" si="3"/>
        <v>0</v>
      </c>
      <c r="BW7" s="38">
        <f t="shared" si="3"/>
        <v>0</v>
      </c>
      <c r="BX7" s="38">
        <f t="shared" si="3"/>
        <v>0</v>
      </c>
      <c r="BY7" s="38">
        <f t="shared" si="3"/>
        <v>0</v>
      </c>
      <c r="BZ7" s="38">
        <f t="shared" si="3"/>
        <v>0</v>
      </c>
      <c r="CA7" s="38">
        <f t="shared" si="3"/>
        <v>0</v>
      </c>
      <c r="CB7" s="38">
        <f t="shared" si="3"/>
        <v>0</v>
      </c>
      <c r="CC7" s="38">
        <f t="shared" si="3"/>
        <v>0</v>
      </c>
      <c r="CD7" s="38">
        <f t="shared" si="3"/>
        <v>0</v>
      </c>
      <c r="CE7" s="38">
        <f t="shared" si="3"/>
        <v>0</v>
      </c>
      <c r="CF7" s="38">
        <f t="shared" si="3"/>
        <v>0</v>
      </c>
      <c r="CG7" s="38">
        <f t="shared" si="3"/>
        <v>0</v>
      </c>
      <c r="CH7" s="38">
        <f t="shared" si="3"/>
        <v>0</v>
      </c>
      <c r="CI7" s="38">
        <f t="shared" si="3"/>
        <v>0</v>
      </c>
      <c r="CJ7" s="38">
        <f t="shared" si="3"/>
        <v>0</v>
      </c>
      <c r="CK7" s="38">
        <f t="shared" si="3"/>
        <v>0</v>
      </c>
      <c r="CL7" s="38">
        <f t="shared" si="3"/>
        <v>0</v>
      </c>
      <c r="CM7" s="38">
        <f t="shared" si="3"/>
        <v>0</v>
      </c>
      <c r="CN7" s="38">
        <f t="shared" si="3"/>
        <v>0</v>
      </c>
      <c r="CO7" s="38">
        <f t="shared" si="3"/>
        <v>0</v>
      </c>
      <c r="CP7" s="38">
        <f t="shared" si="3"/>
        <v>0</v>
      </c>
      <c r="CQ7" s="38">
        <f t="shared" si="3"/>
        <v>0</v>
      </c>
      <c r="CR7" s="38">
        <f t="shared" si="3"/>
        <v>0</v>
      </c>
      <c r="CS7" s="38">
        <f t="shared" si="3"/>
        <v>0</v>
      </c>
      <c r="CT7" s="38">
        <f t="shared" si="3"/>
        <v>0</v>
      </c>
      <c r="CU7" s="38">
        <f t="shared" si="3"/>
        <v>0</v>
      </c>
      <c r="CV7" s="38">
        <f t="shared" si="3"/>
        <v>0</v>
      </c>
      <c r="CW7" s="40"/>
    </row>
    <row r="8" spans="1:103" customFormat="1" ht="15" x14ac:dyDescent="0.25"/>
    <row r="9" spans="1:103" customFormat="1" ht="15" x14ac:dyDescent="0.25">
      <c r="A9" s="41" t="str">
        <f>E5</f>
        <v>MARKET</v>
      </c>
      <c r="B9" s="42"/>
      <c r="C9" s="43"/>
      <c r="D9" s="44"/>
      <c r="E9" s="44"/>
      <c r="F9" s="45"/>
      <c r="G9" s="46"/>
      <c r="H9" s="47"/>
      <c r="I9" s="48"/>
      <c r="J9" s="49"/>
      <c r="K9" s="50"/>
      <c r="L9" s="51"/>
      <c r="M9" s="52"/>
      <c r="N9" s="53"/>
      <c r="O9" s="54"/>
      <c r="P9" s="55"/>
    </row>
    <row r="10" spans="1:103" customFormat="1" ht="15" x14ac:dyDescent="0.25">
      <c r="A10" s="56"/>
      <c r="B10" s="57"/>
      <c r="C10" s="58"/>
      <c r="D10" s="59" t="s">
        <v>112</v>
      </c>
      <c r="E10" s="59" t="s">
        <v>113</v>
      </c>
      <c r="F10" s="60" t="s">
        <v>114</v>
      </c>
      <c r="G10" s="61"/>
      <c r="H10" s="62"/>
      <c r="I10" s="63"/>
      <c r="J10" s="64"/>
      <c r="K10" s="1"/>
      <c r="L10" s="65"/>
      <c r="M10" s="66"/>
      <c r="N10" s="67"/>
      <c r="O10" s="68"/>
      <c r="P10" s="69"/>
    </row>
    <row r="11" spans="1:103" customFormat="1" ht="13.5" customHeight="1" x14ac:dyDescent="0.25">
      <c r="A11" s="70" t="s">
        <v>151</v>
      </c>
      <c r="B11" s="71"/>
      <c r="C11" s="72"/>
      <c r="D11" s="73">
        <f>R7</f>
        <v>1039</v>
      </c>
      <c r="E11" s="74"/>
      <c r="F11" s="75" t="str">
        <f>"In payment for 7.14 kilo of pineapple and 10.78 kilo of watermelon for breakfast buffet using housefund received on " &amp; TEXT(A5, "mmmm dd, yyyy") &amp; " with PR#30495 RR#" &amp; " CPO#" &amp;B5</f>
        <v>In payment for 7.14 kilo of pineapple and 10.78 kilo of watermelon for breakfast buffet using housefund received on July 24, 2025 with PR#30495 RR# CPO#19021</v>
      </c>
      <c r="G11" s="76"/>
      <c r="H11" s="77"/>
      <c r="I11" s="77"/>
      <c r="J11" s="76"/>
      <c r="K11" s="1"/>
      <c r="L11" s="65"/>
      <c r="M11" s="78"/>
      <c r="N11" s="79"/>
      <c r="O11" s="80"/>
      <c r="P11" s="81"/>
    </row>
    <row r="12" spans="1:103" customFormat="1" ht="15" x14ac:dyDescent="0.25">
      <c r="A12" s="70" t="s">
        <v>115</v>
      </c>
      <c r="B12" s="71"/>
      <c r="C12" s="72"/>
      <c r="D12" s="73">
        <f>Q7</f>
        <v>0</v>
      </c>
      <c r="E12" s="74"/>
      <c r="F12" s="64" t="str">
        <f>"Recording input VAT for expenses and purchases made using house fund for " &amp; TEXT(A5, "mmmm dd, yyyy")</f>
        <v>Recording input VAT for expenses and purchases made using house fund for July 24,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85" t="s">
        <v>116</v>
      </c>
      <c r="B13" s="86"/>
      <c r="C13" s="87"/>
      <c r="D13" s="88"/>
      <c r="E13" s="74">
        <f>P7</f>
        <v>0</v>
      </c>
      <c r="F13" s="89" t="str">
        <f>"Recording the tax withheld for expenses and purchases using the house fund received on " &amp; TEXT(A5, "mmmm dd, yyyy")</f>
        <v>Recording the tax withheld for expenses and purchases using the house fund received on July 24,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70" t="s">
        <v>117</v>
      </c>
      <c r="B14" s="86"/>
      <c r="C14" s="87"/>
      <c r="D14" s="90"/>
      <c r="E14" s="91">
        <f>M7</f>
        <v>1039</v>
      </c>
      <c r="F14" s="89" t="str">
        <f>"Recording house fund expenses for replenishment on " &amp; TEXT(A5, "mmmm dd, yyyy")</f>
        <v>Recording house fund expenses for replenishment on July 24,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85"/>
      <c r="B15" s="86"/>
      <c r="C15" s="87"/>
      <c r="D15" s="88">
        <f>SUM(D11:D12)</f>
        <v>1039</v>
      </c>
      <c r="E15" s="88">
        <f>SUM(E11:E14)</f>
        <v>1039</v>
      </c>
      <c r="F15" s="92"/>
      <c r="G15" s="92"/>
      <c r="H15" s="93"/>
      <c r="I15" s="94"/>
      <c r="J15" s="92"/>
      <c r="K15" s="1"/>
      <c r="L15" s="65"/>
      <c r="M15" s="66"/>
      <c r="N15" s="67"/>
      <c r="O15" s="68"/>
      <c r="P15" s="69"/>
    </row>
    <row r="16" spans="1:103" customFormat="1" ht="15" x14ac:dyDescent="0.25">
      <c r="A16" s="95" t="s">
        <v>118</v>
      </c>
      <c r="B16" s="96" t="str">
        <f>"To record house fund expenses on " &amp; TEXT(A5, "mmmm dd, yyyy") &amp; " with PCV#" &amp; C5</f>
        <v>To record house fund expenses on July 24, 2025 with PCV#21012</v>
      </c>
      <c r="C16" s="97"/>
      <c r="D16" s="98"/>
      <c r="E16" s="98"/>
      <c r="F16" s="98"/>
      <c r="G16" s="92"/>
      <c r="H16" s="93"/>
      <c r="I16" s="94"/>
      <c r="J16" s="92"/>
      <c r="K16" s="1"/>
      <c r="L16" s="65"/>
      <c r="M16" s="66"/>
      <c r="N16" s="67"/>
      <c r="O16" s="68"/>
      <c r="P16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711DF-8109-4F2A-9285-D9CDF731E45A}">
  <sheetPr>
    <tabColor rgb="FF50456B"/>
  </sheetPr>
  <dimension ref="A1:CY17"/>
  <sheetViews>
    <sheetView workbookViewId="0">
      <selection activeCell="F13" sqref="F13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45893</v>
      </c>
      <c r="B5" s="3" t="s">
        <v>841</v>
      </c>
      <c r="C5" s="4" t="s">
        <v>884</v>
      </c>
      <c r="D5" s="5" t="s">
        <v>133</v>
      </c>
      <c r="E5" s="6" t="s">
        <v>266</v>
      </c>
      <c r="F5" s="7"/>
      <c r="G5" s="8"/>
      <c r="H5" s="9"/>
      <c r="I5" s="10"/>
      <c r="J5" s="11" t="s">
        <v>663</v>
      </c>
      <c r="K5" s="12">
        <v>2</v>
      </c>
      <c r="L5" s="13">
        <v>100</v>
      </c>
      <c r="M5" s="14">
        <f t="shared" ref="M5:M7" si="0">L5*K5</f>
        <v>200</v>
      </c>
      <c r="N5" s="15"/>
      <c r="O5" s="16" t="s">
        <v>137</v>
      </c>
      <c r="P5" s="17"/>
      <c r="Q5" s="18"/>
      <c r="R5" s="17">
        <f>M5+P5-Q5</f>
        <v>200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 t="s">
        <v>664</v>
      </c>
      <c r="K6" s="12">
        <v>1</v>
      </c>
      <c r="L6" s="13">
        <v>150</v>
      </c>
      <c r="M6" s="14">
        <f t="shared" si="0"/>
        <v>150</v>
      </c>
      <c r="N6" s="15"/>
      <c r="O6" s="16" t="s">
        <v>137</v>
      </c>
      <c r="P6" s="17"/>
      <c r="Q6" s="18"/>
      <c r="R6" s="17">
        <f t="shared" ref="R6:R7" si="1">M6+P6-Q6</f>
        <v>150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5" customFormat="1" x14ac:dyDescent="0.2">
      <c r="A7" s="2"/>
      <c r="B7" s="3"/>
      <c r="C7" s="4"/>
      <c r="E7" s="6"/>
      <c r="F7" s="7"/>
      <c r="G7" s="8"/>
      <c r="H7" s="9"/>
      <c r="I7" s="10"/>
      <c r="J7" s="11" t="s">
        <v>843</v>
      </c>
      <c r="K7" s="12">
        <v>1</v>
      </c>
      <c r="L7" s="13">
        <v>90</v>
      </c>
      <c r="M7" s="14">
        <f t="shared" si="0"/>
        <v>90</v>
      </c>
      <c r="N7" s="15"/>
      <c r="O7" s="16" t="s">
        <v>137</v>
      </c>
      <c r="P7" s="17"/>
      <c r="Q7" s="18"/>
      <c r="R7" s="17">
        <f t="shared" si="1"/>
        <v>90</v>
      </c>
      <c r="S7" s="19"/>
      <c r="T7" s="19"/>
      <c r="U7" s="19"/>
      <c r="V7" s="19"/>
      <c r="W7" s="17"/>
      <c r="X7" s="20"/>
      <c r="Y7" s="19"/>
      <c r="Z7" s="19"/>
      <c r="AA7" s="19"/>
      <c r="AB7" s="19"/>
      <c r="AC7" s="19"/>
      <c r="AD7" s="19"/>
      <c r="AF7" s="19"/>
      <c r="AH7" s="17"/>
      <c r="AI7" s="19"/>
      <c r="AJ7" s="19"/>
      <c r="AK7" s="19"/>
      <c r="AL7" s="19"/>
      <c r="AM7" s="17"/>
      <c r="AN7" s="19"/>
      <c r="AO7" s="19"/>
      <c r="AP7" s="19"/>
      <c r="AQ7" s="19"/>
      <c r="AR7" s="19"/>
      <c r="AS7" s="21"/>
      <c r="AU7" s="19"/>
      <c r="AW7" s="22"/>
      <c r="AX7" s="19"/>
      <c r="AZ7" s="19"/>
      <c r="BC7" s="19"/>
      <c r="BD7" s="19"/>
      <c r="BE7" s="19"/>
      <c r="BF7" s="19"/>
      <c r="BG7" s="19"/>
      <c r="BH7" s="19"/>
      <c r="BI7" s="19"/>
      <c r="BJ7" s="19"/>
      <c r="BK7" s="13"/>
      <c r="BN7" s="19"/>
      <c r="BO7" s="17"/>
      <c r="BP7" s="19"/>
      <c r="BQ7" s="17"/>
      <c r="BR7" s="19"/>
      <c r="BS7" s="13"/>
      <c r="BU7" s="23"/>
      <c r="BV7" s="23"/>
      <c r="BW7" s="24"/>
      <c r="CA7" s="24"/>
      <c r="CB7" s="24"/>
      <c r="CC7" s="24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25"/>
      <c r="CW7" s="26"/>
    </row>
    <row r="8" spans="1:103" s="30" customFormat="1" ht="11.25" x14ac:dyDescent="0.2">
      <c r="A8" s="27"/>
      <c r="B8" s="28"/>
      <c r="C8" s="29"/>
      <c r="E8" s="31"/>
      <c r="F8" s="32"/>
      <c r="G8" s="33"/>
      <c r="H8" s="34"/>
      <c r="I8" s="34"/>
      <c r="J8" s="35"/>
      <c r="K8" s="36"/>
      <c r="L8" s="37"/>
      <c r="M8" s="38">
        <f>SUM(M5:M7)</f>
        <v>440</v>
      </c>
      <c r="N8" s="38">
        <f>M8</f>
        <v>440</v>
      </c>
      <c r="O8" s="39" t="s">
        <v>137</v>
      </c>
      <c r="P8" s="38"/>
      <c r="Q8" s="38"/>
      <c r="R8" s="38">
        <f>SUM(R5:R7)</f>
        <v>440</v>
      </c>
      <c r="S8" s="38">
        <f t="shared" ref="S8:AD8" si="2">SUM(S5:S5)</f>
        <v>0</v>
      </c>
      <c r="T8" s="38">
        <f t="shared" si="2"/>
        <v>0</v>
      </c>
      <c r="U8" s="38">
        <f t="shared" si="2"/>
        <v>0</v>
      </c>
      <c r="V8" s="38">
        <f t="shared" si="2"/>
        <v>0</v>
      </c>
      <c r="W8" s="38">
        <f t="shared" si="2"/>
        <v>0</v>
      </c>
      <c r="X8" s="38">
        <f t="shared" si="2"/>
        <v>0</v>
      </c>
      <c r="Y8" s="38">
        <f t="shared" si="2"/>
        <v>0</v>
      </c>
      <c r="Z8" s="38">
        <f t="shared" si="2"/>
        <v>0</v>
      </c>
      <c r="AA8" s="38">
        <f t="shared" si="2"/>
        <v>0</v>
      </c>
      <c r="AB8" s="38">
        <f t="shared" si="2"/>
        <v>0</v>
      </c>
      <c r="AC8" s="38">
        <f t="shared" si="2"/>
        <v>0</v>
      </c>
      <c r="AD8" s="38">
        <f t="shared" si="2"/>
        <v>0</v>
      </c>
      <c r="AF8" s="38">
        <f>SUM(AF5:AF5)</f>
        <v>0</v>
      </c>
      <c r="AH8" s="38">
        <f t="shared" ref="AH8:AZ8" si="3">SUM(AH5:AH5)</f>
        <v>0</v>
      </c>
      <c r="AI8" s="38">
        <f t="shared" si="3"/>
        <v>0</v>
      </c>
      <c r="AJ8" s="38">
        <f t="shared" si="3"/>
        <v>0</v>
      </c>
      <c r="AK8" s="38">
        <f t="shared" si="3"/>
        <v>0</v>
      </c>
      <c r="AL8" s="38">
        <f t="shared" si="3"/>
        <v>0</v>
      </c>
      <c r="AM8" s="38">
        <f t="shared" si="3"/>
        <v>0</v>
      </c>
      <c r="AN8" s="38">
        <f t="shared" si="3"/>
        <v>0</v>
      </c>
      <c r="AO8" s="38">
        <f t="shared" si="3"/>
        <v>0</v>
      </c>
      <c r="AP8" s="38">
        <f t="shared" si="3"/>
        <v>0</v>
      </c>
      <c r="AQ8" s="38">
        <f t="shared" si="3"/>
        <v>0</v>
      </c>
      <c r="AR8" s="38">
        <f t="shared" si="3"/>
        <v>0</v>
      </c>
      <c r="AS8" s="38">
        <f t="shared" si="3"/>
        <v>0</v>
      </c>
      <c r="AT8" s="38">
        <f t="shared" si="3"/>
        <v>0</v>
      </c>
      <c r="AU8" s="38">
        <f t="shared" si="3"/>
        <v>0</v>
      </c>
      <c r="AV8" s="38">
        <f t="shared" si="3"/>
        <v>0</v>
      </c>
      <c r="AW8" s="38">
        <f t="shared" si="3"/>
        <v>0</v>
      </c>
      <c r="AX8" s="38">
        <f t="shared" si="3"/>
        <v>0</v>
      </c>
      <c r="AY8" s="38">
        <f t="shared" si="3"/>
        <v>0</v>
      </c>
      <c r="AZ8" s="38">
        <f t="shared" si="3"/>
        <v>0</v>
      </c>
      <c r="BB8" s="38">
        <f t="shared" ref="BB8:CV8" si="4">SUM(BB5:BB5)</f>
        <v>0</v>
      </c>
      <c r="BC8" s="38">
        <f t="shared" si="4"/>
        <v>0</v>
      </c>
      <c r="BD8" s="38">
        <f t="shared" si="4"/>
        <v>0</v>
      </c>
      <c r="BE8" s="38">
        <f t="shared" si="4"/>
        <v>0</v>
      </c>
      <c r="BF8" s="38">
        <f t="shared" si="4"/>
        <v>0</v>
      </c>
      <c r="BG8" s="38">
        <f t="shared" si="4"/>
        <v>0</v>
      </c>
      <c r="BH8" s="38">
        <f t="shared" si="4"/>
        <v>0</v>
      </c>
      <c r="BI8" s="38">
        <f t="shared" si="4"/>
        <v>0</v>
      </c>
      <c r="BJ8" s="38">
        <f t="shared" si="4"/>
        <v>0</v>
      </c>
      <c r="BK8" s="38">
        <f t="shared" si="4"/>
        <v>0</v>
      </c>
      <c r="BL8" s="38">
        <f t="shared" si="4"/>
        <v>0</v>
      </c>
      <c r="BM8" s="38">
        <f t="shared" si="4"/>
        <v>0</v>
      </c>
      <c r="BN8" s="38">
        <f t="shared" si="4"/>
        <v>0</v>
      </c>
      <c r="BO8" s="38">
        <f t="shared" si="4"/>
        <v>0</v>
      </c>
      <c r="BP8" s="38">
        <f t="shared" si="4"/>
        <v>0</v>
      </c>
      <c r="BQ8" s="38">
        <f t="shared" si="4"/>
        <v>0</v>
      </c>
      <c r="BR8" s="38">
        <f t="shared" si="4"/>
        <v>0</v>
      </c>
      <c r="BS8" s="38">
        <f t="shared" si="4"/>
        <v>0</v>
      </c>
      <c r="BT8" s="38">
        <f t="shared" si="4"/>
        <v>0</v>
      </c>
      <c r="BU8" s="38">
        <f t="shared" si="4"/>
        <v>0</v>
      </c>
      <c r="BV8" s="38">
        <f t="shared" si="4"/>
        <v>0</v>
      </c>
      <c r="BW8" s="38">
        <f t="shared" si="4"/>
        <v>0</v>
      </c>
      <c r="BX8" s="38">
        <f t="shared" si="4"/>
        <v>0</v>
      </c>
      <c r="BY8" s="38">
        <f t="shared" si="4"/>
        <v>0</v>
      </c>
      <c r="BZ8" s="38">
        <f t="shared" si="4"/>
        <v>0</v>
      </c>
      <c r="CA8" s="38">
        <f t="shared" si="4"/>
        <v>0</v>
      </c>
      <c r="CB8" s="38">
        <f t="shared" si="4"/>
        <v>0</v>
      </c>
      <c r="CC8" s="38">
        <f t="shared" si="4"/>
        <v>0</v>
      </c>
      <c r="CD8" s="38">
        <f t="shared" si="4"/>
        <v>0</v>
      </c>
      <c r="CE8" s="38">
        <f t="shared" si="4"/>
        <v>0</v>
      </c>
      <c r="CF8" s="38">
        <f t="shared" si="4"/>
        <v>0</v>
      </c>
      <c r="CG8" s="38">
        <f t="shared" si="4"/>
        <v>0</v>
      </c>
      <c r="CH8" s="38">
        <f t="shared" si="4"/>
        <v>0</v>
      </c>
      <c r="CI8" s="38">
        <f t="shared" si="4"/>
        <v>0</v>
      </c>
      <c r="CJ8" s="38">
        <f t="shared" si="4"/>
        <v>0</v>
      </c>
      <c r="CK8" s="38">
        <f t="shared" si="4"/>
        <v>0</v>
      </c>
      <c r="CL8" s="38">
        <f t="shared" si="4"/>
        <v>0</v>
      </c>
      <c r="CM8" s="38">
        <f t="shared" si="4"/>
        <v>0</v>
      </c>
      <c r="CN8" s="38">
        <f t="shared" si="4"/>
        <v>0</v>
      </c>
      <c r="CO8" s="38">
        <f t="shared" si="4"/>
        <v>0</v>
      </c>
      <c r="CP8" s="38">
        <f t="shared" si="4"/>
        <v>0</v>
      </c>
      <c r="CQ8" s="38">
        <f t="shared" si="4"/>
        <v>0</v>
      </c>
      <c r="CR8" s="38">
        <f t="shared" si="4"/>
        <v>0</v>
      </c>
      <c r="CS8" s="38">
        <f t="shared" si="4"/>
        <v>0</v>
      </c>
      <c r="CT8" s="38">
        <f t="shared" si="4"/>
        <v>0</v>
      </c>
      <c r="CU8" s="38">
        <f t="shared" si="4"/>
        <v>0</v>
      </c>
      <c r="CV8" s="38">
        <f t="shared" si="4"/>
        <v>0</v>
      </c>
      <c r="CW8" s="40"/>
    </row>
    <row r="9" spans="1:103" customFormat="1" ht="15" x14ac:dyDescent="0.25"/>
    <row r="10" spans="1:103" customFormat="1" ht="15" x14ac:dyDescent="0.25">
      <c r="A10" s="41" t="str">
        <f>E5</f>
        <v>MARKET</v>
      </c>
      <c r="B10" s="42"/>
      <c r="C10" s="43"/>
      <c r="D10" s="44"/>
      <c r="E10" s="44"/>
      <c r="F10" s="45"/>
      <c r="G10" s="46"/>
      <c r="H10" s="47"/>
      <c r="I10" s="48"/>
      <c r="J10" s="49"/>
      <c r="K10" s="50"/>
      <c r="L10" s="51"/>
      <c r="M10" s="52"/>
      <c r="N10" s="53"/>
      <c r="O10" s="54"/>
      <c r="P10" s="55"/>
    </row>
    <row r="11" spans="1:103" customFormat="1" ht="15" x14ac:dyDescent="0.25">
      <c r="A11" s="56"/>
      <c r="B11" s="57"/>
      <c r="C11" s="58"/>
      <c r="D11" s="59" t="s">
        <v>112</v>
      </c>
      <c r="E11" s="59" t="s">
        <v>113</v>
      </c>
      <c r="F11" s="60" t="s">
        <v>114</v>
      </c>
      <c r="G11" s="61"/>
      <c r="H11" s="62"/>
      <c r="I11" s="63"/>
      <c r="J11" s="64"/>
      <c r="K11" s="1"/>
      <c r="L11" s="65"/>
      <c r="M11" s="66"/>
      <c r="N11" s="67"/>
      <c r="O11" s="68"/>
      <c r="P11" s="69"/>
    </row>
    <row r="12" spans="1:103" customFormat="1" ht="13.5" customHeight="1" x14ac:dyDescent="0.25">
      <c r="A12" s="70" t="s">
        <v>340</v>
      </c>
      <c r="B12" s="71"/>
      <c r="C12" s="72"/>
      <c r="D12" s="73">
        <f>R8</f>
        <v>440</v>
      </c>
      <c r="E12" s="74"/>
      <c r="F12" s="75" t="str">
        <f>"In payment for 2kls of potato, 1 kilo of carrots, and 1 kilo of tomato for breakfast buffet using housefund received on " &amp; TEXT(A5, "mmmm dd, yyyy") &amp; " with PR#30495 RR#" &amp; " CPO#" &amp;B5</f>
        <v>In payment for 2kls of potato, 1 kilo of carrots, and 1 kilo of tomato for breakfast buffet using housefund received on August 24, 2025 with PR#30495 RR# CPO#19021</v>
      </c>
      <c r="G12" s="76"/>
      <c r="H12" s="77"/>
      <c r="I12" s="77"/>
      <c r="J12" s="76"/>
      <c r="K12" s="1"/>
      <c r="L12" s="65"/>
      <c r="M12" s="78"/>
      <c r="N12" s="79"/>
      <c r="O12" s="80"/>
      <c r="P12" s="81"/>
    </row>
    <row r="13" spans="1:103" customFormat="1" ht="15" x14ac:dyDescent="0.25">
      <c r="A13" s="70" t="s">
        <v>115</v>
      </c>
      <c r="B13" s="71"/>
      <c r="C13" s="72"/>
      <c r="D13" s="73">
        <f>Q8</f>
        <v>0</v>
      </c>
      <c r="E13" s="74"/>
      <c r="F13" s="64" t="str">
        <f>"Recording input VAT for expenses and purchases made using house fund for " &amp; TEXT(A5, "mmmm dd, yyyy")</f>
        <v>Recording input VAT for expenses and purchases made using house fund for August 24,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 t="s">
        <v>116</v>
      </c>
      <c r="B14" s="86"/>
      <c r="C14" s="87"/>
      <c r="D14" s="88"/>
      <c r="E14" s="74">
        <f>P8</f>
        <v>0</v>
      </c>
      <c r="F14" s="89" t="str">
        <f>"Recording the tax withheld for expenses and purchases using the house fund received on " &amp; TEXT(A5, "mmmm dd, yyyy")</f>
        <v>Recording the tax withheld for expenses and purchases using the house fund received on August 24, 2025</v>
      </c>
      <c r="G14" s="82"/>
      <c r="H14" s="83"/>
      <c r="I14" s="84"/>
      <c r="J14" s="82"/>
      <c r="K14" s="1"/>
      <c r="L14" s="65"/>
      <c r="M14" s="66"/>
      <c r="N14" s="67"/>
      <c r="O14" s="68"/>
      <c r="P14" s="69"/>
    </row>
    <row r="15" spans="1:103" customFormat="1" ht="15" x14ac:dyDescent="0.25">
      <c r="A15" s="70" t="s">
        <v>117</v>
      </c>
      <c r="B15" s="86"/>
      <c r="C15" s="87"/>
      <c r="D15" s="90"/>
      <c r="E15" s="91">
        <f>M8</f>
        <v>440</v>
      </c>
      <c r="F15" s="89" t="str">
        <f>"Recording house fund expenses for replenishment on " &amp; TEXT(A5, "mmmm dd, yyyy")</f>
        <v>Recording house fund expenses for replenishment on August 24, 2025</v>
      </c>
      <c r="G15" s="82"/>
      <c r="H15" s="83"/>
      <c r="I15" s="84"/>
      <c r="J15" s="82"/>
      <c r="K15" s="1"/>
      <c r="L15" s="65"/>
      <c r="M15" s="66"/>
      <c r="N15" s="67"/>
      <c r="O15" s="68"/>
      <c r="P15" s="69"/>
    </row>
    <row r="16" spans="1:103" customFormat="1" ht="15" x14ac:dyDescent="0.25">
      <c r="A16" s="85"/>
      <c r="B16" s="86"/>
      <c r="C16" s="87"/>
      <c r="D16" s="88">
        <f>SUM(D12:D13)</f>
        <v>440</v>
      </c>
      <c r="E16" s="88">
        <f>SUM(E12:E15)</f>
        <v>440</v>
      </c>
      <c r="F16" s="92"/>
      <c r="G16" s="92"/>
      <c r="H16" s="93"/>
      <c r="I16" s="94"/>
      <c r="J16" s="92"/>
      <c r="K16" s="1"/>
      <c r="L16" s="65"/>
      <c r="M16" s="66"/>
      <c r="N16" s="67"/>
      <c r="O16" s="68"/>
      <c r="P16" s="69"/>
    </row>
    <row r="17" spans="1:16" customFormat="1" ht="15" x14ac:dyDescent="0.25">
      <c r="A17" s="95" t="s">
        <v>118</v>
      </c>
      <c r="B17" s="96" t="str">
        <f>"To record house fund expenses on " &amp; TEXT(A5, "mmmm dd, yyyy") &amp; " with PCV#" &amp; C5</f>
        <v>To record house fund expenses on August 24, 2025 with PCV#21013</v>
      </c>
      <c r="C17" s="97"/>
      <c r="D17" s="98"/>
      <c r="E17" s="98"/>
      <c r="F17" s="98"/>
      <c r="G17" s="92"/>
      <c r="H17" s="93"/>
      <c r="I17" s="94"/>
      <c r="J17" s="92"/>
      <c r="K17" s="1"/>
      <c r="L17" s="65"/>
      <c r="M17" s="66"/>
      <c r="N17" s="67"/>
      <c r="O17" s="68"/>
      <c r="P17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B9CC-E8F5-4661-BCE2-2F3CAE5264CB}">
  <sheetPr>
    <tabColor rgb="FF50456B"/>
  </sheetPr>
  <dimension ref="A1:CY15"/>
  <sheetViews>
    <sheetView workbookViewId="0">
      <selection activeCell="A10" sqref="A10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45895</v>
      </c>
      <c r="B5" s="3" t="s">
        <v>845</v>
      </c>
      <c r="C5" s="4" t="s">
        <v>899</v>
      </c>
      <c r="D5" s="5" t="s">
        <v>122</v>
      </c>
      <c r="E5" s="6" t="s">
        <v>846</v>
      </c>
      <c r="F5" s="7" t="s">
        <v>229</v>
      </c>
      <c r="G5" s="8" t="s">
        <v>847</v>
      </c>
      <c r="H5" s="9">
        <v>39960</v>
      </c>
      <c r="I5" s="10"/>
      <c r="J5" s="11" t="s">
        <v>848</v>
      </c>
      <c r="K5" s="12">
        <v>5</v>
      </c>
      <c r="L5" s="13">
        <v>150</v>
      </c>
      <c r="M5" s="14">
        <f t="shared" ref="M5" si="0">L5*K5</f>
        <v>750</v>
      </c>
      <c r="N5" s="15"/>
      <c r="O5" s="16" t="s">
        <v>111</v>
      </c>
      <c r="P5" s="17">
        <f>M5/1.12*0.01</f>
        <v>6.6964285714285712</v>
      </c>
      <c r="Q5" s="18">
        <f>M5/1.12*0.12</f>
        <v>80.357142857142847</v>
      </c>
      <c r="R5" s="17">
        <f>M5+P5-Q5</f>
        <v>676.33928571428567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750</v>
      </c>
      <c r="N6" s="38">
        <f>M6</f>
        <v>750</v>
      </c>
      <c r="O6" s="39" t="s">
        <v>111</v>
      </c>
      <c r="P6" s="38">
        <f>SUM(P5:P5)</f>
        <v>6.6964285714285712</v>
      </c>
      <c r="Q6" s="38">
        <f>SUM(Q5:Q5)</f>
        <v>80.357142857142847</v>
      </c>
      <c r="R6" s="38">
        <f>SUM(R5:R5)</f>
        <v>676.33928571428567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GL COCOMART &amp; GENERAL MERCHANDISING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676.33928571428567</v>
      </c>
      <c r="E10" s="74"/>
      <c r="F10" s="75" t="str">
        <f>"In payment for 5 rolls of duct tape for childrens legal bereau function using housefund received on " &amp; TEXT(A5, "mmmm dd, yyyy") &amp; " with SI#39960 PR#30606 RR#" &amp; " CPO#" &amp;B5</f>
        <v>In payment for 5 rolls of duct tape for childrens legal bereau function using housefund received on August 26, 2025 with SI#39960 PR#30606 RR# CPO#19025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80.357142857142847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26,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6.6964285714285712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26,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750</v>
      </c>
      <c r="F13" s="89" t="str">
        <f>"Recording house fund expenses for replenishment on " &amp; TEXT(A5, "mmmm dd, yyyy")</f>
        <v>Recording house fund expenses for replenishment on August 26,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756.69642857142856</v>
      </c>
      <c r="E14" s="88">
        <f>SUM(E10:E13)</f>
        <v>756.69642857142856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26, 2025 with PCV#21014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8BB47-0E6F-48F9-BCB0-1FA7BCA4623B}">
  <sheetPr>
    <tabColor rgb="FF50456B"/>
  </sheetPr>
  <dimension ref="A1:CY15"/>
  <sheetViews>
    <sheetView tabSelected="1" workbookViewId="0">
      <selection activeCell="C6" sqref="C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>
        <v>45896</v>
      </c>
      <c r="B5" s="3" t="s">
        <v>849</v>
      </c>
      <c r="C5" s="4" t="s">
        <v>883</v>
      </c>
      <c r="D5" s="5" t="s">
        <v>189</v>
      </c>
      <c r="E5" s="6" t="s">
        <v>850</v>
      </c>
      <c r="F5" s="7" t="s">
        <v>185</v>
      </c>
      <c r="G5" s="8" t="s">
        <v>851</v>
      </c>
      <c r="H5" s="9">
        <v>809991</v>
      </c>
      <c r="I5" s="10" t="s">
        <v>852</v>
      </c>
      <c r="J5" s="11" t="s">
        <v>853</v>
      </c>
      <c r="K5" s="12">
        <v>3</v>
      </c>
      <c r="L5" s="13">
        <v>1573</v>
      </c>
      <c r="M5" s="14">
        <f t="shared" ref="M5" si="0">L5*K5</f>
        <v>4719</v>
      </c>
      <c r="N5" s="15"/>
      <c r="O5" s="16" t="s">
        <v>111</v>
      </c>
      <c r="P5" s="17">
        <f>M5/1.12*0.01</f>
        <v>42.133928571428569</v>
      </c>
      <c r="Q5" s="18">
        <f>M5/1.12*0.12</f>
        <v>505.60714285714283</v>
      </c>
      <c r="R5" s="17">
        <f>M5+P5-Q5</f>
        <v>4255.5267857142853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30" customFormat="1" ht="11.25" x14ac:dyDescent="0.2">
      <c r="A6" s="27"/>
      <c r="B6" s="28"/>
      <c r="C6" s="29"/>
      <c r="E6" s="31"/>
      <c r="F6" s="32"/>
      <c r="G6" s="33"/>
      <c r="H6" s="34"/>
      <c r="I6" s="34"/>
      <c r="J6" s="35"/>
      <c r="K6" s="36"/>
      <c r="L6" s="37"/>
      <c r="M6" s="38">
        <f>SUM(M5:M5)</f>
        <v>4719</v>
      </c>
      <c r="N6" s="38">
        <f>M6</f>
        <v>4719</v>
      </c>
      <c r="O6" s="39" t="s">
        <v>111</v>
      </c>
      <c r="P6" s="38">
        <f>SUM(P5:P5)</f>
        <v>42.133928571428569</v>
      </c>
      <c r="Q6" s="38">
        <f>SUM(Q5:Q5)</f>
        <v>505.60714285714283</v>
      </c>
      <c r="R6" s="38">
        <f>SUM(R5:R5)</f>
        <v>4255.5267857142853</v>
      </c>
      <c r="S6" s="38">
        <f t="shared" ref="S6:AD6" si="1">SUM(S5:S5)</f>
        <v>0</v>
      </c>
      <c r="T6" s="38">
        <f t="shared" si="1"/>
        <v>0</v>
      </c>
      <c r="U6" s="38">
        <f t="shared" si="1"/>
        <v>0</v>
      </c>
      <c r="V6" s="38">
        <f t="shared" si="1"/>
        <v>0</v>
      </c>
      <c r="W6" s="38">
        <f t="shared" si="1"/>
        <v>0</v>
      </c>
      <c r="X6" s="38">
        <f t="shared" si="1"/>
        <v>0</v>
      </c>
      <c r="Y6" s="38">
        <f t="shared" si="1"/>
        <v>0</v>
      </c>
      <c r="Z6" s="38">
        <f t="shared" si="1"/>
        <v>0</v>
      </c>
      <c r="AA6" s="38">
        <f t="shared" si="1"/>
        <v>0</v>
      </c>
      <c r="AB6" s="38">
        <f t="shared" si="1"/>
        <v>0</v>
      </c>
      <c r="AC6" s="38">
        <f t="shared" si="1"/>
        <v>0</v>
      </c>
      <c r="AD6" s="38">
        <f t="shared" si="1"/>
        <v>0</v>
      </c>
      <c r="AF6" s="38">
        <f>SUM(AF5:AF5)</f>
        <v>0</v>
      </c>
      <c r="AH6" s="38">
        <f t="shared" ref="AH6:AZ6" si="2">SUM(AH5:AH5)</f>
        <v>0</v>
      </c>
      <c r="AI6" s="38">
        <f t="shared" si="2"/>
        <v>0</v>
      </c>
      <c r="AJ6" s="38">
        <f t="shared" si="2"/>
        <v>0</v>
      </c>
      <c r="AK6" s="38">
        <f t="shared" si="2"/>
        <v>0</v>
      </c>
      <c r="AL6" s="38">
        <f t="shared" si="2"/>
        <v>0</v>
      </c>
      <c r="AM6" s="38">
        <f t="shared" si="2"/>
        <v>0</v>
      </c>
      <c r="AN6" s="38">
        <f t="shared" si="2"/>
        <v>0</v>
      </c>
      <c r="AO6" s="38">
        <f t="shared" si="2"/>
        <v>0</v>
      </c>
      <c r="AP6" s="38">
        <f t="shared" si="2"/>
        <v>0</v>
      </c>
      <c r="AQ6" s="38">
        <f t="shared" si="2"/>
        <v>0</v>
      </c>
      <c r="AR6" s="38">
        <f t="shared" si="2"/>
        <v>0</v>
      </c>
      <c r="AS6" s="38">
        <f t="shared" si="2"/>
        <v>0</v>
      </c>
      <c r="AT6" s="38">
        <f t="shared" si="2"/>
        <v>0</v>
      </c>
      <c r="AU6" s="38">
        <f t="shared" si="2"/>
        <v>0</v>
      </c>
      <c r="AV6" s="38">
        <f t="shared" si="2"/>
        <v>0</v>
      </c>
      <c r="AW6" s="38">
        <f t="shared" si="2"/>
        <v>0</v>
      </c>
      <c r="AX6" s="38">
        <f t="shared" si="2"/>
        <v>0</v>
      </c>
      <c r="AY6" s="38">
        <f t="shared" si="2"/>
        <v>0</v>
      </c>
      <c r="AZ6" s="38">
        <f t="shared" si="2"/>
        <v>0</v>
      </c>
      <c r="BB6" s="38">
        <f t="shared" ref="BB6:CV6" si="3">SUM(BB5:BB5)</f>
        <v>0</v>
      </c>
      <c r="BC6" s="38">
        <f t="shared" si="3"/>
        <v>0</v>
      </c>
      <c r="BD6" s="38">
        <f t="shared" si="3"/>
        <v>0</v>
      </c>
      <c r="BE6" s="38">
        <f t="shared" si="3"/>
        <v>0</v>
      </c>
      <c r="BF6" s="38">
        <f t="shared" si="3"/>
        <v>0</v>
      </c>
      <c r="BG6" s="38">
        <f t="shared" si="3"/>
        <v>0</v>
      </c>
      <c r="BH6" s="38">
        <f t="shared" si="3"/>
        <v>0</v>
      </c>
      <c r="BI6" s="38">
        <f t="shared" si="3"/>
        <v>0</v>
      </c>
      <c r="BJ6" s="38">
        <f t="shared" si="3"/>
        <v>0</v>
      </c>
      <c r="BK6" s="38">
        <f t="shared" si="3"/>
        <v>0</v>
      </c>
      <c r="BL6" s="38">
        <f t="shared" si="3"/>
        <v>0</v>
      </c>
      <c r="BM6" s="38">
        <f t="shared" si="3"/>
        <v>0</v>
      </c>
      <c r="BN6" s="38">
        <f t="shared" si="3"/>
        <v>0</v>
      </c>
      <c r="BO6" s="38">
        <f t="shared" si="3"/>
        <v>0</v>
      </c>
      <c r="BP6" s="38">
        <f t="shared" si="3"/>
        <v>0</v>
      </c>
      <c r="BQ6" s="38">
        <f t="shared" si="3"/>
        <v>0</v>
      </c>
      <c r="BR6" s="38">
        <f t="shared" si="3"/>
        <v>0</v>
      </c>
      <c r="BS6" s="38">
        <f t="shared" si="3"/>
        <v>0</v>
      </c>
      <c r="BT6" s="38">
        <f t="shared" si="3"/>
        <v>0</v>
      </c>
      <c r="BU6" s="38">
        <f t="shared" si="3"/>
        <v>0</v>
      </c>
      <c r="BV6" s="38">
        <f t="shared" si="3"/>
        <v>0</v>
      </c>
      <c r="BW6" s="38">
        <f t="shared" si="3"/>
        <v>0</v>
      </c>
      <c r="BX6" s="38">
        <f t="shared" si="3"/>
        <v>0</v>
      </c>
      <c r="BY6" s="38">
        <f t="shared" si="3"/>
        <v>0</v>
      </c>
      <c r="BZ6" s="38">
        <f t="shared" si="3"/>
        <v>0</v>
      </c>
      <c r="CA6" s="38">
        <f t="shared" si="3"/>
        <v>0</v>
      </c>
      <c r="CB6" s="38">
        <f t="shared" si="3"/>
        <v>0</v>
      </c>
      <c r="CC6" s="38">
        <f t="shared" si="3"/>
        <v>0</v>
      </c>
      <c r="CD6" s="38">
        <f t="shared" si="3"/>
        <v>0</v>
      </c>
      <c r="CE6" s="38">
        <f t="shared" si="3"/>
        <v>0</v>
      </c>
      <c r="CF6" s="38">
        <f t="shared" si="3"/>
        <v>0</v>
      </c>
      <c r="CG6" s="38">
        <f t="shared" si="3"/>
        <v>0</v>
      </c>
      <c r="CH6" s="38">
        <f t="shared" si="3"/>
        <v>0</v>
      </c>
      <c r="CI6" s="38">
        <f t="shared" si="3"/>
        <v>0</v>
      </c>
      <c r="CJ6" s="38">
        <f t="shared" si="3"/>
        <v>0</v>
      </c>
      <c r="CK6" s="38">
        <f t="shared" si="3"/>
        <v>0</v>
      </c>
      <c r="CL6" s="38">
        <f t="shared" si="3"/>
        <v>0</v>
      </c>
      <c r="CM6" s="38">
        <f t="shared" si="3"/>
        <v>0</v>
      </c>
      <c r="CN6" s="38">
        <f t="shared" si="3"/>
        <v>0</v>
      </c>
      <c r="CO6" s="38">
        <f t="shared" si="3"/>
        <v>0</v>
      </c>
      <c r="CP6" s="38">
        <f t="shared" si="3"/>
        <v>0</v>
      </c>
      <c r="CQ6" s="38">
        <f t="shared" si="3"/>
        <v>0</v>
      </c>
      <c r="CR6" s="38">
        <f t="shared" si="3"/>
        <v>0</v>
      </c>
      <c r="CS6" s="38">
        <f t="shared" si="3"/>
        <v>0</v>
      </c>
      <c r="CT6" s="38">
        <f t="shared" si="3"/>
        <v>0</v>
      </c>
      <c r="CU6" s="38">
        <f t="shared" si="3"/>
        <v>0</v>
      </c>
      <c r="CV6" s="38">
        <f t="shared" si="3"/>
        <v>0</v>
      </c>
      <c r="CW6" s="40"/>
    </row>
    <row r="7" spans="1:103" customFormat="1" ht="15" x14ac:dyDescent="0.25"/>
    <row r="8" spans="1:103" customFormat="1" ht="15" x14ac:dyDescent="0.25">
      <c r="A8" s="41" t="str">
        <f>E5</f>
        <v>INTERNATIONAL PHARMACEUTICALS INC</v>
      </c>
      <c r="B8" s="42"/>
      <c r="C8" s="43"/>
      <c r="D8" s="44"/>
      <c r="E8" s="44"/>
      <c r="F8" s="45"/>
      <c r="G8" s="46"/>
      <c r="H8" s="47"/>
      <c r="I8" s="48"/>
      <c r="J8" s="49"/>
      <c r="K8" s="50"/>
      <c r="L8" s="51"/>
      <c r="M8" s="52"/>
      <c r="N8" s="53"/>
      <c r="O8" s="54"/>
      <c r="P8" s="55"/>
    </row>
    <row r="9" spans="1:103" customFormat="1" ht="15" x14ac:dyDescent="0.25">
      <c r="A9" s="56"/>
      <c r="B9" s="57"/>
      <c r="C9" s="58"/>
      <c r="D9" s="59" t="s">
        <v>112</v>
      </c>
      <c r="E9" s="59" t="s">
        <v>113</v>
      </c>
      <c r="F9" s="60" t="s">
        <v>114</v>
      </c>
      <c r="G9" s="61"/>
      <c r="H9" s="62"/>
      <c r="I9" s="63"/>
      <c r="J9" s="64"/>
      <c r="K9" s="1"/>
      <c r="L9" s="65"/>
      <c r="M9" s="66"/>
      <c r="N9" s="67"/>
      <c r="O9" s="68"/>
      <c r="P9" s="69"/>
    </row>
    <row r="10" spans="1:103" customFormat="1" ht="13.5" customHeight="1" x14ac:dyDescent="0.25">
      <c r="A10" s="70" t="s">
        <v>151</v>
      </c>
      <c r="B10" s="71"/>
      <c r="C10" s="72"/>
      <c r="D10" s="73">
        <f>R6</f>
        <v>4255.5267857142853</v>
      </c>
      <c r="E10" s="74"/>
      <c r="F10" s="75" t="str">
        <f>"In payment for 3 containers of palm oil for storeroom stocks using housefund received on " &amp; TEXT(A5, "mmmm dd, yyyy") &amp; " with SI#809991 PR#30602 RR#5278" &amp; " CPO#" &amp;B5</f>
        <v>In payment for 3 containers of palm oil for storeroom stocks using housefund received on August 27, 2025 with SI#809991 PR#30602 RR#5278 CPO#19031</v>
      </c>
      <c r="G10" s="76"/>
      <c r="H10" s="77"/>
      <c r="I10" s="77"/>
      <c r="J10" s="76"/>
      <c r="K10" s="1"/>
      <c r="L10" s="65"/>
      <c r="M10" s="78"/>
      <c r="N10" s="79"/>
      <c r="O10" s="80"/>
      <c r="P10" s="81"/>
    </row>
    <row r="11" spans="1:103" customFormat="1" ht="15" x14ac:dyDescent="0.25">
      <c r="A11" s="70" t="s">
        <v>115</v>
      </c>
      <c r="B11" s="71"/>
      <c r="C11" s="72"/>
      <c r="D11" s="73">
        <f>Q6</f>
        <v>505.60714285714283</v>
      </c>
      <c r="E11" s="74"/>
      <c r="F11" s="64" t="str">
        <f>"Recording input VAT for expenses and purchases made using house fund for " &amp; TEXT(A5, "mmmm dd, yyyy")</f>
        <v>Recording input VAT for expenses and purchases made using house fund for August 27, 2025</v>
      </c>
      <c r="G11" s="82"/>
      <c r="H11" s="83"/>
      <c r="I11" s="84"/>
      <c r="J11" s="82"/>
      <c r="K11" s="1"/>
      <c r="L11" s="65"/>
      <c r="M11" s="66"/>
      <c r="N11" s="67"/>
      <c r="O11" s="68"/>
      <c r="P11" s="69"/>
    </row>
    <row r="12" spans="1:103" customFormat="1" ht="15" x14ac:dyDescent="0.25">
      <c r="A12" s="85" t="s">
        <v>116</v>
      </c>
      <c r="B12" s="86"/>
      <c r="C12" s="87"/>
      <c r="D12" s="88"/>
      <c r="E12" s="74">
        <f>P6</f>
        <v>42.133928571428569</v>
      </c>
      <c r="F12" s="89" t="str">
        <f>"Recording the tax withheld for expenses and purchases using the house fund received on " &amp; TEXT(A5, "mmmm dd, yyyy")</f>
        <v>Recording the tax withheld for expenses and purchases using the house fund received on August 27, 2025</v>
      </c>
      <c r="G12" s="82"/>
      <c r="H12" s="83"/>
      <c r="I12" s="84"/>
      <c r="J12" s="82"/>
      <c r="K12" s="1"/>
      <c r="L12" s="65"/>
      <c r="M12" s="66"/>
      <c r="N12" s="67"/>
      <c r="O12" s="68"/>
      <c r="P12" s="69"/>
    </row>
    <row r="13" spans="1:103" customFormat="1" ht="15" x14ac:dyDescent="0.25">
      <c r="A13" s="70" t="s">
        <v>117</v>
      </c>
      <c r="B13" s="86"/>
      <c r="C13" s="87"/>
      <c r="D13" s="90"/>
      <c r="E13" s="91">
        <f>M6</f>
        <v>4719</v>
      </c>
      <c r="F13" s="89" t="str">
        <f>"Recording house fund expenses for replenishment on " &amp; TEXT(A5, "mmmm dd, yyyy")</f>
        <v>Recording house fund expenses for replenishment on August 27, 2025</v>
      </c>
      <c r="G13" s="82"/>
      <c r="H13" s="83"/>
      <c r="I13" s="84"/>
      <c r="J13" s="82"/>
      <c r="K13" s="1"/>
      <c r="L13" s="65"/>
      <c r="M13" s="66"/>
      <c r="N13" s="67"/>
      <c r="O13" s="68"/>
      <c r="P13" s="69"/>
    </row>
    <row r="14" spans="1:103" customFormat="1" ht="15" x14ac:dyDescent="0.25">
      <c r="A14" s="85"/>
      <c r="B14" s="86"/>
      <c r="C14" s="87"/>
      <c r="D14" s="88">
        <f>SUM(D10:D11)</f>
        <v>4761.1339285714284</v>
      </c>
      <c r="E14" s="88">
        <f>SUM(E10:E13)</f>
        <v>4761.1339285714284</v>
      </c>
      <c r="F14" s="92"/>
      <c r="G14" s="92"/>
      <c r="H14" s="93"/>
      <c r="I14" s="94"/>
      <c r="J14" s="92"/>
      <c r="K14" s="1"/>
      <c r="L14" s="65"/>
      <c r="M14" s="66"/>
      <c r="N14" s="67"/>
      <c r="O14" s="68"/>
      <c r="P14" s="69"/>
    </row>
    <row r="15" spans="1:103" customFormat="1" ht="15" x14ac:dyDescent="0.25">
      <c r="A15" s="95" t="s">
        <v>118</v>
      </c>
      <c r="B15" s="96" t="str">
        <f>"To record house fund expenses on " &amp; TEXT(A5, "mmmm dd, yyyy") &amp; " with PCV#" &amp; C5</f>
        <v>To record house fund expenses on August 27, 2025 with PCV#21015</v>
      </c>
      <c r="C15" s="97"/>
      <c r="D15" s="98"/>
      <c r="E15" s="98"/>
      <c r="F15" s="98"/>
      <c r="G15" s="92"/>
      <c r="H15" s="93"/>
      <c r="I15" s="94"/>
      <c r="J15" s="92"/>
      <c r="K15" s="1"/>
      <c r="L15" s="65"/>
      <c r="M15" s="66"/>
      <c r="N15" s="67"/>
      <c r="O15" s="68"/>
      <c r="P15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00F37-241C-4D9E-8075-7B3056E93F69}">
  <sheetPr>
    <tabColor rgb="FFFFFF00"/>
  </sheetPr>
  <dimension ref="A1:CY22"/>
  <sheetViews>
    <sheetView workbookViewId="0">
      <selection sqref="A1:XFD1048576"/>
    </sheetView>
  </sheetViews>
  <sheetFormatPr defaultRowHeight="12.75" x14ac:dyDescent="0.2"/>
  <cols>
    <col min="1" max="1" width="9.140625" style="155"/>
    <col min="2" max="2" width="12.140625" style="155" customWidth="1"/>
    <col min="3" max="3" width="11.5703125" style="155" customWidth="1"/>
    <col min="4" max="7" width="9.140625" style="155"/>
    <col min="8" max="8" width="9" style="155" customWidth="1"/>
    <col min="9" max="64" width="9.140625" style="155"/>
    <col min="65" max="65" width="10.140625" style="155" bestFit="1" customWidth="1"/>
    <col min="66" max="69" width="9.140625" style="155"/>
    <col min="70" max="70" width="10.42578125" style="155" customWidth="1"/>
    <col min="71" max="71" width="12.42578125" style="155" customWidth="1"/>
    <col min="72" max="16384" width="9.140625" style="155"/>
  </cols>
  <sheetData>
    <row r="1" spans="1:103" s="104" customFormat="1" x14ac:dyDescent="0.25">
      <c r="A1" s="99" t="s">
        <v>0</v>
      </c>
      <c r="B1" s="100"/>
      <c r="C1" s="101"/>
      <c r="D1" s="102"/>
      <c r="E1" s="103"/>
      <c r="G1" s="105"/>
      <c r="H1" s="106" t="s">
        <v>1</v>
      </c>
      <c r="I1" s="107"/>
      <c r="J1" s="108"/>
      <c r="K1" s="109"/>
      <c r="L1" s="110"/>
      <c r="M1" s="111"/>
      <c r="N1" s="112"/>
      <c r="O1" s="113"/>
      <c r="P1" s="114"/>
      <c r="Q1" s="114"/>
      <c r="R1" s="11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R1" s="114"/>
      <c r="BS1" s="114"/>
      <c r="BT1" s="114"/>
      <c r="BU1" s="114"/>
      <c r="BV1" s="114"/>
      <c r="BY1" s="116"/>
      <c r="CC1" s="116"/>
      <c r="CD1" s="116"/>
      <c r="CE1" s="116"/>
    </row>
    <row r="2" spans="1:103" s="104" customFormat="1" ht="13.5" thickBot="1" x14ac:dyDescent="0.3">
      <c r="A2" s="117"/>
      <c r="B2" s="118"/>
      <c r="C2" s="119"/>
      <c r="D2" s="120"/>
      <c r="E2" s="121"/>
      <c r="G2" s="105"/>
      <c r="H2" s="122"/>
      <c r="I2" s="107" t="s">
        <v>2</v>
      </c>
      <c r="J2" s="108"/>
      <c r="K2" s="109"/>
      <c r="L2" s="110"/>
      <c r="M2" s="111"/>
      <c r="N2" s="112"/>
      <c r="O2" s="113"/>
      <c r="P2" s="114"/>
      <c r="Q2" s="114"/>
      <c r="R2" s="116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R2" s="114"/>
      <c r="BS2" s="114"/>
      <c r="BT2" s="114"/>
      <c r="BU2" s="114"/>
      <c r="BV2" s="114"/>
      <c r="BY2" s="116"/>
      <c r="CC2" s="116"/>
      <c r="CD2" s="116"/>
      <c r="CE2" s="116"/>
    </row>
    <row r="3" spans="1:103" s="129" customFormat="1" ht="22.5" customHeight="1" x14ac:dyDescent="0.2">
      <c r="A3" s="235" t="s">
        <v>3</v>
      </c>
      <c r="B3" s="237" t="s">
        <v>4</v>
      </c>
      <c r="C3" s="239" t="s">
        <v>5</v>
      </c>
      <c r="D3" s="241" t="s">
        <v>6</v>
      </c>
      <c r="E3" s="243" t="s">
        <v>7</v>
      </c>
      <c r="F3" s="245" t="s">
        <v>8</v>
      </c>
      <c r="G3" s="247" t="s">
        <v>9</v>
      </c>
      <c r="H3" s="249" t="s">
        <v>10</v>
      </c>
      <c r="I3" s="237" t="s">
        <v>11</v>
      </c>
      <c r="J3" s="251" t="s">
        <v>12</v>
      </c>
      <c r="K3" s="253" t="s">
        <v>13</v>
      </c>
      <c r="L3" s="233" t="s">
        <v>14</v>
      </c>
      <c r="M3" s="255" t="s">
        <v>15</v>
      </c>
      <c r="N3" s="257" t="s">
        <v>16</v>
      </c>
      <c r="O3" s="257" t="s">
        <v>17</v>
      </c>
      <c r="P3" s="259" t="s">
        <v>18</v>
      </c>
      <c r="Q3" s="261" t="s">
        <v>19</v>
      </c>
      <c r="R3" s="263" t="s">
        <v>20</v>
      </c>
      <c r="S3" s="264"/>
      <c r="T3" s="264"/>
      <c r="U3" s="264"/>
      <c r="V3" s="264"/>
      <c r="W3" s="264"/>
      <c r="X3" s="264"/>
      <c r="Y3" s="264"/>
      <c r="Z3" s="265"/>
      <c r="AA3" s="266" t="s">
        <v>21</v>
      </c>
      <c r="AB3" s="267"/>
      <c r="AC3" s="267"/>
      <c r="AD3" s="267"/>
      <c r="AE3" s="267"/>
      <c r="AF3" s="268"/>
      <c r="AG3" s="269" t="s">
        <v>22</v>
      </c>
      <c r="AH3" s="271" t="s">
        <v>23</v>
      </c>
      <c r="AI3" s="272"/>
      <c r="AJ3" s="272"/>
      <c r="AK3" s="272"/>
      <c r="AL3" s="272"/>
      <c r="AM3" s="272"/>
      <c r="AN3" s="272"/>
      <c r="AO3" s="272"/>
      <c r="AP3" s="272"/>
      <c r="AQ3" s="273"/>
      <c r="AR3" s="274" t="s">
        <v>24</v>
      </c>
      <c r="AS3" s="275"/>
      <c r="AT3" s="275"/>
      <c r="AU3" s="275"/>
      <c r="AV3" s="276"/>
      <c r="AW3" s="123" t="s">
        <v>25</v>
      </c>
      <c r="AX3" s="216" t="s">
        <v>26</v>
      </c>
      <c r="AY3" s="217"/>
      <c r="AZ3" s="216" t="s">
        <v>27</v>
      </c>
      <c r="BA3" s="217"/>
      <c r="BB3" s="218" t="s">
        <v>28</v>
      </c>
      <c r="BC3" s="219"/>
      <c r="BD3" s="124"/>
      <c r="BE3" s="220" t="s">
        <v>29</v>
      </c>
      <c r="BF3" s="222" t="s">
        <v>30</v>
      </c>
      <c r="BG3" s="223"/>
      <c r="BH3" s="125" t="s">
        <v>31</v>
      </c>
      <c r="BI3" s="125" t="s">
        <v>32</v>
      </c>
      <c r="BJ3" s="125" t="s">
        <v>33</v>
      </c>
      <c r="BK3" s="222" t="s">
        <v>34</v>
      </c>
      <c r="BL3" s="230"/>
      <c r="BM3" s="223"/>
      <c r="BN3" s="231" t="s">
        <v>35</v>
      </c>
      <c r="BO3" s="232"/>
      <c r="BP3" s="226" t="s">
        <v>36</v>
      </c>
      <c r="BQ3" s="224" t="s">
        <v>37</v>
      </c>
      <c r="BR3" s="228" t="s">
        <v>38</v>
      </c>
      <c r="BS3" s="224" t="s">
        <v>39</v>
      </c>
      <c r="BT3" s="224" t="s">
        <v>40</v>
      </c>
      <c r="BU3" s="228" t="s">
        <v>41</v>
      </c>
      <c r="BV3" s="228" t="s">
        <v>42</v>
      </c>
      <c r="BW3" s="228" t="s">
        <v>43</v>
      </c>
      <c r="BX3" s="277" t="s">
        <v>44</v>
      </c>
      <c r="BY3" s="228" t="s">
        <v>45</v>
      </c>
      <c r="BZ3" s="228" t="s">
        <v>46</v>
      </c>
      <c r="CA3" s="228" t="s">
        <v>47</v>
      </c>
      <c r="CB3" s="228" t="s">
        <v>48</v>
      </c>
      <c r="CC3" s="126" t="s">
        <v>49</v>
      </c>
      <c r="CD3" s="126" t="s">
        <v>50</v>
      </c>
      <c r="CE3" s="279" t="s">
        <v>51</v>
      </c>
      <c r="CF3" s="281" t="s">
        <v>52</v>
      </c>
      <c r="CG3" s="208" t="s">
        <v>53</v>
      </c>
      <c r="CH3" s="208"/>
      <c r="CI3" s="208"/>
      <c r="CJ3" s="208"/>
      <c r="CK3" s="208"/>
      <c r="CL3" s="208"/>
      <c r="CM3" s="208"/>
      <c r="CN3" s="208"/>
      <c r="CO3" s="208"/>
      <c r="CP3" s="209"/>
      <c r="CQ3" s="127" t="s">
        <v>54</v>
      </c>
      <c r="CR3" s="210" t="s">
        <v>55</v>
      </c>
      <c r="CS3" s="211"/>
      <c r="CT3" s="212" t="s">
        <v>56</v>
      </c>
      <c r="CU3" s="214" t="s">
        <v>57</v>
      </c>
      <c r="CV3" s="128"/>
    </row>
    <row r="4" spans="1:103" s="154" customFormat="1" ht="51.75" thickBot="1" x14ac:dyDescent="0.25">
      <c r="A4" s="236"/>
      <c r="B4" s="238"/>
      <c r="C4" s="240"/>
      <c r="D4" s="242"/>
      <c r="E4" s="244"/>
      <c r="F4" s="246"/>
      <c r="G4" s="248"/>
      <c r="H4" s="250"/>
      <c r="I4" s="238"/>
      <c r="J4" s="252"/>
      <c r="K4" s="254"/>
      <c r="L4" s="234"/>
      <c r="M4" s="256"/>
      <c r="N4" s="258"/>
      <c r="O4" s="258"/>
      <c r="P4" s="260"/>
      <c r="Q4" s="262"/>
      <c r="R4" s="130" t="s">
        <v>58</v>
      </c>
      <c r="S4" s="131" t="s">
        <v>59</v>
      </c>
      <c r="T4" s="131" t="s">
        <v>60</v>
      </c>
      <c r="U4" s="131" t="s">
        <v>61</v>
      </c>
      <c r="V4" s="131" t="s">
        <v>62</v>
      </c>
      <c r="W4" s="132" t="s">
        <v>63</v>
      </c>
      <c r="X4" s="132" t="s">
        <v>64</v>
      </c>
      <c r="Y4" s="132" t="s">
        <v>65</v>
      </c>
      <c r="Z4" s="132" t="s">
        <v>66</v>
      </c>
      <c r="AA4" s="133" t="s">
        <v>67</v>
      </c>
      <c r="AB4" s="133" t="s">
        <v>68</v>
      </c>
      <c r="AC4" s="134" t="s">
        <v>69</v>
      </c>
      <c r="AD4" s="134" t="s">
        <v>70</v>
      </c>
      <c r="AE4" s="134" t="s">
        <v>119</v>
      </c>
      <c r="AF4" s="134" t="s">
        <v>71</v>
      </c>
      <c r="AG4" s="270"/>
      <c r="AH4" s="135" t="s">
        <v>72</v>
      </c>
      <c r="AI4" s="135" t="s">
        <v>73</v>
      </c>
      <c r="AJ4" s="136" t="s">
        <v>74</v>
      </c>
      <c r="AK4" s="136" t="s">
        <v>75</v>
      </c>
      <c r="AL4" s="136" t="s">
        <v>76</v>
      </c>
      <c r="AM4" s="136" t="s">
        <v>71</v>
      </c>
      <c r="AN4" s="136" t="s">
        <v>77</v>
      </c>
      <c r="AO4" s="136" t="s">
        <v>78</v>
      </c>
      <c r="AP4" s="136" t="s">
        <v>79</v>
      </c>
      <c r="AQ4" s="137" t="s">
        <v>80</v>
      </c>
      <c r="AR4" s="137" t="s">
        <v>81</v>
      </c>
      <c r="AS4" s="137" t="s">
        <v>71</v>
      </c>
      <c r="AT4" s="137" t="s">
        <v>82</v>
      </c>
      <c r="AU4" s="138" t="s">
        <v>83</v>
      </c>
      <c r="AV4" s="139" t="s">
        <v>84</v>
      </c>
      <c r="AW4" s="140" t="s">
        <v>82</v>
      </c>
      <c r="AX4" s="141" t="s">
        <v>85</v>
      </c>
      <c r="AY4" s="141" t="s">
        <v>86</v>
      </c>
      <c r="AZ4" s="141" t="s">
        <v>87</v>
      </c>
      <c r="BA4" s="141" t="s">
        <v>71</v>
      </c>
      <c r="BB4" s="142" t="s">
        <v>88</v>
      </c>
      <c r="BC4" s="143" t="s">
        <v>89</v>
      </c>
      <c r="BD4" s="144" t="s">
        <v>120</v>
      </c>
      <c r="BE4" s="221"/>
      <c r="BF4" s="141" t="s">
        <v>90</v>
      </c>
      <c r="BG4" s="141" t="s">
        <v>91</v>
      </c>
      <c r="BH4" s="141" t="s">
        <v>92</v>
      </c>
      <c r="BI4" s="141" t="s">
        <v>93</v>
      </c>
      <c r="BJ4" s="141" t="s">
        <v>94</v>
      </c>
      <c r="BK4" s="145" t="s">
        <v>87</v>
      </c>
      <c r="BL4" s="135" t="s">
        <v>71</v>
      </c>
      <c r="BM4" s="135" t="s">
        <v>82</v>
      </c>
      <c r="BN4" s="146" t="s">
        <v>95</v>
      </c>
      <c r="BO4" s="146" t="s">
        <v>96</v>
      </c>
      <c r="BP4" s="227"/>
      <c r="BQ4" s="225"/>
      <c r="BR4" s="229"/>
      <c r="BS4" s="225"/>
      <c r="BT4" s="225"/>
      <c r="BU4" s="229"/>
      <c r="BV4" s="229"/>
      <c r="BW4" s="229"/>
      <c r="BX4" s="278"/>
      <c r="BY4" s="229"/>
      <c r="BZ4" s="229"/>
      <c r="CA4" s="229"/>
      <c r="CB4" s="229"/>
      <c r="CC4" s="147" t="s">
        <v>97</v>
      </c>
      <c r="CD4" s="147" t="s">
        <v>98</v>
      </c>
      <c r="CE4" s="280"/>
      <c r="CF4" s="282"/>
      <c r="CG4" s="148" t="s">
        <v>99</v>
      </c>
      <c r="CH4" s="148" t="s">
        <v>100</v>
      </c>
      <c r="CI4" s="148" t="s">
        <v>101</v>
      </c>
      <c r="CJ4" s="148" t="s">
        <v>102</v>
      </c>
      <c r="CK4" s="148" t="s">
        <v>103</v>
      </c>
      <c r="CL4" s="148" t="s">
        <v>104</v>
      </c>
      <c r="CM4" s="148" t="s">
        <v>105</v>
      </c>
      <c r="CN4" s="148" t="s">
        <v>106</v>
      </c>
      <c r="CO4" s="148" t="s">
        <v>107</v>
      </c>
      <c r="CP4" s="149" t="s">
        <v>108</v>
      </c>
      <c r="CQ4" s="150" t="s">
        <v>109</v>
      </c>
      <c r="CR4" s="150" t="s">
        <v>110</v>
      </c>
      <c r="CS4" s="150" t="s">
        <v>70</v>
      </c>
      <c r="CT4" s="213"/>
      <c r="CU4" s="215"/>
      <c r="CV4" s="151"/>
      <c r="CW4" s="152"/>
      <c r="CX4" s="152"/>
      <c r="CY4" s="153"/>
    </row>
    <row r="5" spans="1:103" s="5" customFormat="1" x14ac:dyDescent="0.2">
      <c r="A5" s="2"/>
      <c r="B5" s="3"/>
      <c r="C5" s="4"/>
      <c r="E5" s="6"/>
      <c r="F5" s="7"/>
      <c r="G5" s="8"/>
      <c r="H5" s="9"/>
      <c r="I5" s="10"/>
      <c r="J5" s="11"/>
      <c r="K5" s="12"/>
      <c r="L5" s="13"/>
      <c r="M5" s="14">
        <f t="shared" ref="M5:M12" si="0">L5*K5</f>
        <v>0</v>
      </c>
      <c r="N5" s="15"/>
      <c r="O5" s="16" t="s">
        <v>111</v>
      </c>
      <c r="P5" s="17">
        <f>M5/1.12*0.01</f>
        <v>0</v>
      </c>
      <c r="Q5" s="18">
        <f>M5/1.12*0.12</f>
        <v>0</v>
      </c>
      <c r="R5" s="17">
        <f>M5+P5-Q5</f>
        <v>0</v>
      </c>
      <c r="S5" s="19"/>
      <c r="T5" s="19"/>
      <c r="U5" s="19"/>
      <c r="V5" s="19"/>
      <c r="W5" s="17"/>
      <c r="X5" s="20"/>
      <c r="Y5" s="19"/>
      <c r="Z5" s="19"/>
      <c r="AA5" s="19"/>
      <c r="AB5" s="19"/>
      <c r="AC5" s="19"/>
      <c r="AD5" s="19"/>
      <c r="AF5" s="19"/>
      <c r="AH5" s="17"/>
      <c r="AI5" s="19"/>
      <c r="AJ5" s="19"/>
      <c r="AK5" s="19"/>
      <c r="AL5" s="19"/>
      <c r="AM5" s="17"/>
      <c r="AN5" s="19"/>
      <c r="AO5" s="19"/>
      <c r="AP5" s="19"/>
      <c r="AQ5" s="19"/>
      <c r="AR5" s="19"/>
      <c r="AS5" s="21"/>
      <c r="AU5" s="19"/>
      <c r="AW5" s="22"/>
      <c r="AX5" s="19"/>
      <c r="AZ5" s="19"/>
      <c r="BC5" s="19"/>
      <c r="BD5" s="19"/>
      <c r="BE5" s="19"/>
      <c r="BF5" s="19"/>
      <c r="BG5" s="19"/>
      <c r="BH5" s="19"/>
      <c r="BI5" s="19"/>
      <c r="BJ5" s="19"/>
      <c r="BK5" s="13"/>
      <c r="BN5" s="19"/>
      <c r="BO5" s="17"/>
      <c r="BP5" s="19"/>
      <c r="BQ5" s="17"/>
      <c r="BR5" s="19"/>
      <c r="BS5" s="13"/>
      <c r="BU5" s="23"/>
      <c r="BV5" s="23"/>
      <c r="BW5" s="24"/>
      <c r="CA5" s="24"/>
      <c r="CB5" s="24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25"/>
      <c r="CW5" s="26"/>
    </row>
    <row r="6" spans="1:103" s="5" customFormat="1" x14ac:dyDescent="0.2">
      <c r="A6" s="2"/>
      <c r="B6" s="3"/>
      <c r="C6" s="4"/>
      <c r="E6" s="6"/>
      <c r="F6" s="7"/>
      <c r="G6" s="8"/>
      <c r="H6" s="9"/>
      <c r="I6" s="10"/>
      <c r="J6" s="11"/>
      <c r="K6" s="12"/>
      <c r="L6" s="13"/>
      <c r="M6" s="14">
        <f t="shared" si="0"/>
        <v>0</v>
      </c>
      <c r="N6" s="15"/>
      <c r="O6" s="16" t="s">
        <v>111</v>
      </c>
      <c r="P6" s="17">
        <f t="shared" ref="P6:P12" si="1">M6/1.12*0.01</f>
        <v>0</v>
      </c>
      <c r="Q6" s="18">
        <f t="shared" ref="Q6:Q12" si="2">M6/1.12*0.12</f>
        <v>0</v>
      </c>
      <c r="R6" s="17">
        <f t="shared" ref="R6:R12" si="3">M6+P6-Q6</f>
        <v>0</v>
      </c>
      <c r="S6" s="19"/>
      <c r="T6" s="19"/>
      <c r="U6" s="19"/>
      <c r="V6" s="19"/>
      <c r="W6" s="17"/>
      <c r="X6" s="20"/>
      <c r="Y6" s="19"/>
      <c r="Z6" s="19"/>
      <c r="AA6" s="19"/>
      <c r="AB6" s="19"/>
      <c r="AC6" s="19"/>
      <c r="AD6" s="19"/>
      <c r="AF6" s="19"/>
      <c r="AH6" s="17"/>
      <c r="AI6" s="19"/>
      <c r="AJ6" s="19"/>
      <c r="AK6" s="19"/>
      <c r="AL6" s="19"/>
      <c r="AM6" s="17"/>
      <c r="AN6" s="19"/>
      <c r="AO6" s="19"/>
      <c r="AP6" s="19"/>
      <c r="AQ6" s="19"/>
      <c r="AR6" s="19"/>
      <c r="AS6" s="21"/>
      <c r="AU6" s="19"/>
      <c r="AW6" s="22"/>
      <c r="AX6" s="19"/>
      <c r="AZ6" s="19"/>
      <c r="BC6" s="19"/>
      <c r="BD6" s="19"/>
      <c r="BE6" s="19"/>
      <c r="BF6" s="19"/>
      <c r="BG6" s="19"/>
      <c r="BH6" s="19"/>
      <c r="BI6" s="19"/>
      <c r="BJ6" s="19"/>
      <c r="BK6" s="13"/>
      <c r="BN6" s="19"/>
      <c r="BO6" s="17"/>
      <c r="BP6" s="19"/>
      <c r="BQ6" s="17"/>
      <c r="BR6" s="19"/>
      <c r="BS6" s="13"/>
      <c r="BU6" s="23"/>
      <c r="BV6" s="23"/>
      <c r="BW6" s="24"/>
      <c r="CA6" s="24"/>
      <c r="CB6" s="24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25"/>
      <c r="CW6" s="26"/>
    </row>
    <row r="7" spans="1:103" s="5" customFormat="1" x14ac:dyDescent="0.2">
      <c r="A7" s="2"/>
      <c r="B7" s="3"/>
      <c r="C7" s="4"/>
      <c r="E7" s="6"/>
      <c r="F7" s="7"/>
      <c r="G7" s="8"/>
      <c r="H7" s="9"/>
      <c r="I7" s="10"/>
      <c r="J7" s="11"/>
      <c r="K7" s="12"/>
      <c r="L7" s="13"/>
      <c r="M7" s="14">
        <f t="shared" si="0"/>
        <v>0</v>
      </c>
      <c r="N7" s="15"/>
      <c r="O7" s="16" t="s">
        <v>111</v>
      </c>
      <c r="P7" s="17">
        <f t="shared" si="1"/>
        <v>0</v>
      </c>
      <c r="Q7" s="18">
        <f t="shared" si="2"/>
        <v>0</v>
      </c>
      <c r="R7" s="17">
        <f t="shared" si="3"/>
        <v>0</v>
      </c>
      <c r="S7" s="19"/>
      <c r="T7" s="19"/>
      <c r="U7" s="19"/>
      <c r="V7" s="19"/>
      <c r="W7" s="17"/>
      <c r="X7" s="20"/>
      <c r="Y7" s="19"/>
      <c r="Z7" s="19"/>
      <c r="AA7" s="19"/>
      <c r="AB7" s="19"/>
      <c r="AC7" s="19"/>
      <c r="AD7" s="19"/>
      <c r="AF7" s="19"/>
      <c r="AH7" s="17"/>
      <c r="AI7" s="19"/>
      <c r="AJ7" s="19"/>
      <c r="AK7" s="19"/>
      <c r="AL7" s="19"/>
      <c r="AM7" s="17"/>
      <c r="AN7" s="19"/>
      <c r="AO7" s="19"/>
      <c r="AP7" s="19"/>
      <c r="AQ7" s="19"/>
      <c r="AR7" s="19"/>
      <c r="AS7" s="21"/>
      <c r="AU7" s="19"/>
      <c r="AW7" s="22"/>
      <c r="AX7" s="19"/>
      <c r="AZ7" s="19"/>
      <c r="BC7" s="19"/>
      <c r="BD7" s="19"/>
      <c r="BE7" s="19"/>
      <c r="BF7" s="19"/>
      <c r="BG7" s="19"/>
      <c r="BH7" s="19"/>
      <c r="BI7" s="19"/>
      <c r="BJ7" s="19"/>
      <c r="BK7" s="13"/>
      <c r="BN7" s="19"/>
      <c r="BO7" s="17"/>
      <c r="BP7" s="19"/>
      <c r="BQ7" s="17"/>
      <c r="BR7" s="19"/>
      <c r="BS7" s="13"/>
      <c r="BU7" s="23"/>
      <c r="BV7" s="23"/>
      <c r="BW7" s="24"/>
      <c r="CA7" s="24"/>
      <c r="CB7" s="24"/>
      <c r="CC7" s="24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25"/>
      <c r="CW7" s="26"/>
    </row>
    <row r="8" spans="1:103" s="5" customFormat="1" x14ac:dyDescent="0.2">
      <c r="A8" s="2"/>
      <c r="B8" s="3"/>
      <c r="C8" s="4"/>
      <c r="E8" s="6"/>
      <c r="F8" s="7"/>
      <c r="G8" s="8"/>
      <c r="H8" s="9"/>
      <c r="I8" s="10"/>
      <c r="J8" s="11"/>
      <c r="K8" s="12"/>
      <c r="L8" s="13"/>
      <c r="M8" s="14">
        <f t="shared" si="0"/>
        <v>0</v>
      </c>
      <c r="N8" s="15"/>
      <c r="O8" s="16" t="s">
        <v>111</v>
      </c>
      <c r="P8" s="17">
        <f t="shared" si="1"/>
        <v>0</v>
      </c>
      <c r="Q8" s="18">
        <f t="shared" si="2"/>
        <v>0</v>
      </c>
      <c r="R8" s="17">
        <f t="shared" si="3"/>
        <v>0</v>
      </c>
      <c r="S8" s="19"/>
      <c r="T8" s="19"/>
      <c r="U8" s="19"/>
      <c r="V8" s="19"/>
      <c r="W8" s="17"/>
      <c r="X8" s="20"/>
      <c r="Y8" s="19"/>
      <c r="Z8" s="19"/>
      <c r="AA8" s="19"/>
      <c r="AB8" s="19"/>
      <c r="AC8" s="19"/>
      <c r="AD8" s="19"/>
      <c r="AF8" s="19"/>
      <c r="AH8" s="17"/>
      <c r="AI8" s="19"/>
      <c r="AJ8" s="19"/>
      <c r="AK8" s="19"/>
      <c r="AL8" s="19"/>
      <c r="AM8" s="17"/>
      <c r="AN8" s="19"/>
      <c r="AO8" s="19"/>
      <c r="AP8" s="19"/>
      <c r="AQ8" s="19"/>
      <c r="AR8" s="19"/>
      <c r="AS8" s="21"/>
      <c r="AU8" s="19"/>
      <c r="AW8" s="22"/>
      <c r="AX8" s="19"/>
      <c r="AZ8" s="19"/>
      <c r="BC8" s="19"/>
      <c r="BD8" s="19"/>
      <c r="BE8" s="19"/>
      <c r="BF8" s="19"/>
      <c r="BG8" s="19"/>
      <c r="BH8" s="19"/>
      <c r="BI8" s="19"/>
      <c r="BJ8" s="19"/>
      <c r="BK8" s="13"/>
      <c r="BN8" s="19"/>
      <c r="BO8" s="17"/>
      <c r="BP8" s="19"/>
      <c r="BQ8" s="17"/>
      <c r="BR8" s="19"/>
      <c r="BS8" s="13"/>
      <c r="BU8" s="23"/>
      <c r="BV8" s="23"/>
      <c r="BW8" s="24"/>
      <c r="CA8" s="24"/>
      <c r="CB8" s="24"/>
      <c r="CC8" s="24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25"/>
      <c r="CW8" s="26"/>
    </row>
    <row r="9" spans="1:103" s="5" customFormat="1" x14ac:dyDescent="0.2">
      <c r="A9" s="2"/>
      <c r="B9" s="3"/>
      <c r="C9" s="4"/>
      <c r="E9" s="6"/>
      <c r="F9" s="7"/>
      <c r="G9" s="8"/>
      <c r="H9" s="9"/>
      <c r="I9" s="10"/>
      <c r="J9" s="11"/>
      <c r="K9" s="12"/>
      <c r="L9" s="13"/>
      <c r="M9" s="14">
        <f t="shared" si="0"/>
        <v>0</v>
      </c>
      <c r="N9" s="15"/>
      <c r="O9" s="16" t="s">
        <v>111</v>
      </c>
      <c r="P9" s="17">
        <f t="shared" si="1"/>
        <v>0</v>
      </c>
      <c r="Q9" s="18">
        <f t="shared" si="2"/>
        <v>0</v>
      </c>
      <c r="R9" s="17">
        <f t="shared" si="3"/>
        <v>0</v>
      </c>
      <c r="S9" s="19"/>
      <c r="T9" s="19"/>
      <c r="U9" s="19"/>
      <c r="V9" s="19"/>
      <c r="W9" s="17"/>
      <c r="X9" s="20"/>
      <c r="Y9" s="19"/>
      <c r="Z9" s="19"/>
      <c r="AA9" s="19"/>
      <c r="AB9" s="19"/>
      <c r="AC9" s="19"/>
      <c r="AD9" s="19"/>
      <c r="AF9" s="19"/>
      <c r="AH9" s="17"/>
      <c r="AI9" s="19"/>
      <c r="AJ9" s="19"/>
      <c r="AK9" s="19"/>
      <c r="AL9" s="19"/>
      <c r="AM9" s="17"/>
      <c r="AN9" s="19"/>
      <c r="AO9" s="19"/>
      <c r="AP9" s="19"/>
      <c r="AQ9" s="19"/>
      <c r="AR9" s="19"/>
      <c r="AS9" s="21"/>
      <c r="AU9" s="19"/>
      <c r="AW9" s="22"/>
      <c r="AX9" s="19"/>
      <c r="AZ9" s="19"/>
      <c r="BC9" s="19"/>
      <c r="BD9" s="19"/>
      <c r="BE9" s="19"/>
      <c r="BF9" s="19"/>
      <c r="BG9" s="19"/>
      <c r="BH9" s="19"/>
      <c r="BI9" s="19"/>
      <c r="BJ9" s="19"/>
      <c r="BK9" s="13"/>
      <c r="BN9" s="19"/>
      <c r="BO9" s="17"/>
      <c r="BP9" s="19"/>
      <c r="BQ9" s="17"/>
      <c r="BR9" s="19"/>
      <c r="BS9" s="13"/>
      <c r="BU9" s="23"/>
      <c r="BV9" s="23"/>
      <c r="BW9" s="24"/>
      <c r="CA9" s="24"/>
      <c r="CB9" s="24"/>
      <c r="CC9" s="24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25"/>
      <c r="CW9" s="26"/>
    </row>
    <row r="10" spans="1:103" s="5" customFormat="1" x14ac:dyDescent="0.2">
      <c r="A10" s="2"/>
      <c r="B10" s="3"/>
      <c r="C10" s="4"/>
      <c r="E10" s="6"/>
      <c r="F10" s="7"/>
      <c r="G10" s="8"/>
      <c r="H10" s="9"/>
      <c r="I10" s="10"/>
      <c r="J10" s="11"/>
      <c r="K10" s="12"/>
      <c r="L10" s="13"/>
      <c r="M10" s="14">
        <f t="shared" si="0"/>
        <v>0</v>
      </c>
      <c r="N10" s="15"/>
      <c r="O10" s="16" t="s">
        <v>111</v>
      </c>
      <c r="P10" s="17">
        <f t="shared" si="1"/>
        <v>0</v>
      </c>
      <c r="Q10" s="18">
        <f t="shared" si="2"/>
        <v>0</v>
      </c>
      <c r="R10" s="17">
        <f t="shared" si="3"/>
        <v>0</v>
      </c>
      <c r="S10" s="19"/>
      <c r="T10" s="19"/>
      <c r="U10" s="19"/>
      <c r="V10" s="19"/>
      <c r="W10" s="17"/>
      <c r="X10" s="20"/>
      <c r="Y10" s="19"/>
      <c r="Z10" s="19"/>
      <c r="AA10" s="19"/>
      <c r="AB10" s="19"/>
      <c r="AC10" s="19"/>
      <c r="AD10" s="19"/>
      <c r="AF10" s="19"/>
      <c r="AH10" s="17"/>
      <c r="AI10" s="19"/>
      <c r="AJ10" s="19"/>
      <c r="AK10" s="19"/>
      <c r="AL10" s="19"/>
      <c r="AM10" s="17"/>
      <c r="AN10" s="19"/>
      <c r="AO10" s="19"/>
      <c r="AP10" s="19"/>
      <c r="AQ10" s="19"/>
      <c r="AR10" s="19"/>
      <c r="AS10" s="21"/>
      <c r="AU10" s="19"/>
      <c r="AW10" s="22"/>
      <c r="AX10" s="19"/>
      <c r="AZ10" s="19"/>
      <c r="BC10" s="19"/>
      <c r="BD10" s="19"/>
      <c r="BE10" s="19"/>
      <c r="BF10" s="19"/>
      <c r="BG10" s="19"/>
      <c r="BH10" s="19"/>
      <c r="BI10" s="19"/>
      <c r="BJ10" s="19"/>
      <c r="BK10" s="13"/>
      <c r="BN10" s="19"/>
      <c r="BO10" s="17"/>
      <c r="BP10" s="19"/>
      <c r="BQ10" s="17"/>
      <c r="BR10" s="19"/>
      <c r="BS10" s="13"/>
      <c r="BU10" s="23"/>
      <c r="BV10" s="23"/>
      <c r="BW10" s="24"/>
      <c r="CA10" s="24"/>
      <c r="CB10" s="24"/>
      <c r="CC10" s="24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25"/>
      <c r="CW10" s="26"/>
    </row>
    <row r="11" spans="1:103" s="5" customFormat="1" x14ac:dyDescent="0.2">
      <c r="A11" s="2"/>
      <c r="B11" s="3"/>
      <c r="C11" s="4"/>
      <c r="E11" s="6"/>
      <c r="F11" s="7"/>
      <c r="G11" s="8"/>
      <c r="H11" s="9"/>
      <c r="I11" s="10"/>
      <c r="J11" s="11"/>
      <c r="K11" s="12"/>
      <c r="L11" s="13"/>
      <c r="M11" s="14">
        <f t="shared" si="0"/>
        <v>0</v>
      </c>
      <c r="N11" s="15"/>
      <c r="O11" s="16" t="s">
        <v>111</v>
      </c>
      <c r="P11" s="17">
        <f t="shared" si="1"/>
        <v>0</v>
      </c>
      <c r="Q11" s="18">
        <f t="shared" si="2"/>
        <v>0</v>
      </c>
      <c r="R11" s="17">
        <f t="shared" si="3"/>
        <v>0</v>
      </c>
      <c r="S11" s="19"/>
      <c r="T11" s="19"/>
      <c r="U11" s="19"/>
      <c r="V11" s="19"/>
      <c r="W11" s="17"/>
      <c r="X11" s="20"/>
      <c r="Y11" s="19"/>
      <c r="Z11" s="19"/>
      <c r="AA11" s="19"/>
      <c r="AB11" s="19"/>
      <c r="AC11" s="19"/>
      <c r="AD11" s="19"/>
      <c r="AF11" s="19"/>
      <c r="AH11" s="17"/>
      <c r="AI11" s="19"/>
      <c r="AJ11" s="19"/>
      <c r="AK11" s="19"/>
      <c r="AL11" s="19"/>
      <c r="AM11" s="17"/>
      <c r="AN11" s="19"/>
      <c r="AO11" s="19"/>
      <c r="AP11" s="19"/>
      <c r="AQ11" s="19"/>
      <c r="AR11" s="19"/>
      <c r="AS11" s="21"/>
      <c r="AU11" s="19"/>
      <c r="AW11" s="22"/>
      <c r="AX11" s="19"/>
      <c r="AZ11" s="19"/>
      <c r="BC11" s="19"/>
      <c r="BD11" s="19"/>
      <c r="BE11" s="19"/>
      <c r="BF11" s="19"/>
      <c r="BG11" s="19"/>
      <c r="BH11" s="19"/>
      <c r="BI11" s="19"/>
      <c r="BJ11" s="19"/>
      <c r="BK11" s="13"/>
      <c r="BN11" s="19"/>
      <c r="BO11" s="17"/>
      <c r="BP11" s="19"/>
      <c r="BQ11" s="17"/>
      <c r="BR11" s="19"/>
      <c r="BS11" s="13"/>
      <c r="BU11" s="23"/>
      <c r="BV11" s="23"/>
      <c r="BW11" s="24"/>
      <c r="CA11" s="24"/>
      <c r="CB11" s="24"/>
      <c r="CC11" s="24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25"/>
      <c r="CW11" s="26"/>
    </row>
    <row r="12" spans="1:103" s="5" customFormat="1" x14ac:dyDescent="0.2">
      <c r="A12" s="2"/>
      <c r="B12" s="3"/>
      <c r="C12" s="4"/>
      <c r="E12" s="6"/>
      <c r="F12" s="7"/>
      <c r="G12" s="8"/>
      <c r="H12" s="9"/>
      <c r="I12" s="10"/>
      <c r="J12" s="11"/>
      <c r="K12" s="12"/>
      <c r="L12" s="13"/>
      <c r="M12" s="14">
        <f t="shared" si="0"/>
        <v>0</v>
      </c>
      <c r="N12" s="15"/>
      <c r="O12" s="16" t="s">
        <v>111</v>
      </c>
      <c r="P12" s="17">
        <f t="shared" si="1"/>
        <v>0</v>
      </c>
      <c r="Q12" s="18">
        <f t="shared" si="2"/>
        <v>0</v>
      </c>
      <c r="R12" s="17">
        <f t="shared" si="3"/>
        <v>0</v>
      </c>
      <c r="S12" s="19"/>
      <c r="T12" s="19"/>
      <c r="U12" s="19"/>
      <c r="V12" s="19"/>
      <c r="W12" s="17"/>
      <c r="X12" s="20"/>
      <c r="Y12" s="19"/>
      <c r="Z12" s="19"/>
      <c r="AA12" s="19"/>
      <c r="AB12" s="19"/>
      <c r="AC12" s="19"/>
      <c r="AD12" s="19"/>
      <c r="AF12" s="19"/>
      <c r="AH12" s="17"/>
      <c r="AI12" s="19"/>
      <c r="AJ12" s="19"/>
      <c r="AK12" s="19"/>
      <c r="AL12" s="19"/>
      <c r="AM12" s="17"/>
      <c r="AN12" s="19"/>
      <c r="AO12" s="19"/>
      <c r="AP12" s="19"/>
      <c r="AQ12" s="19"/>
      <c r="AR12" s="19"/>
      <c r="AS12" s="21"/>
      <c r="AU12" s="19"/>
      <c r="AW12" s="22"/>
      <c r="AX12" s="19"/>
      <c r="AZ12" s="19"/>
      <c r="BC12" s="19"/>
      <c r="BD12" s="19"/>
      <c r="BE12" s="19"/>
      <c r="BF12" s="19"/>
      <c r="BG12" s="19"/>
      <c r="BH12" s="19"/>
      <c r="BI12" s="19"/>
      <c r="BJ12" s="19"/>
      <c r="BK12" s="13"/>
      <c r="BN12" s="19"/>
      <c r="BO12" s="17"/>
      <c r="BP12" s="19"/>
      <c r="BQ12" s="17"/>
      <c r="BR12" s="19"/>
      <c r="BS12" s="13"/>
      <c r="BU12" s="23"/>
      <c r="BV12" s="23"/>
      <c r="BW12" s="24"/>
      <c r="CA12" s="24"/>
      <c r="CB12" s="24"/>
      <c r="CC12" s="24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25"/>
      <c r="CW12" s="26"/>
    </row>
    <row r="13" spans="1:103" s="30" customFormat="1" ht="11.25" x14ac:dyDescent="0.2">
      <c r="A13" s="27"/>
      <c r="B13" s="28"/>
      <c r="C13" s="29"/>
      <c r="E13" s="31"/>
      <c r="F13" s="32"/>
      <c r="G13" s="33"/>
      <c r="H13" s="34"/>
      <c r="I13" s="34"/>
      <c r="J13" s="35"/>
      <c r="K13" s="36"/>
      <c r="L13" s="37"/>
      <c r="M13" s="38">
        <f>SUM(M5:M12)</f>
        <v>0</v>
      </c>
      <c r="N13" s="38">
        <f>M13</f>
        <v>0</v>
      </c>
      <c r="O13" s="39" t="s">
        <v>111</v>
      </c>
      <c r="P13" s="38">
        <f>SUM(P5:P12)</f>
        <v>0</v>
      </c>
      <c r="Q13" s="38">
        <f>SUM(Q5:Q12)</f>
        <v>0</v>
      </c>
      <c r="R13" s="38">
        <f>SUM(R5:R12)</f>
        <v>0</v>
      </c>
      <c r="S13" s="38">
        <f t="shared" ref="S13:AD13" si="4">SUM(S5:S5)</f>
        <v>0</v>
      </c>
      <c r="T13" s="38">
        <f t="shared" si="4"/>
        <v>0</v>
      </c>
      <c r="U13" s="38">
        <f t="shared" si="4"/>
        <v>0</v>
      </c>
      <c r="V13" s="38">
        <f t="shared" si="4"/>
        <v>0</v>
      </c>
      <c r="W13" s="38">
        <f t="shared" si="4"/>
        <v>0</v>
      </c>
      <c r="X13" s="38">
        <f t="shared" si="4"/>
        <v>0</v>
      </c>
      <c r="Y13" s="38">
        <f t="shared" si="4"/>
        <v>0</v>
      </c>
      <c r="Z13" s="38">
        <f t="shared" si="4"/>
        <v>0</v>
      </c>
      <c r="AA13" s="38">
        <f t="shared" si="4"/>
        <v>0</v>
      </c>
      <c r="AB13" s="38">
        <f t="shared" si="4"/>
        <v>0</v>
      </c>
      <c r="AC13" s="38">
        <f t="shared" si="4"/>
        <v>0</v>
      </c>
      <c r="AD13" s="38">
        <f t="shared" si="4"/>
        <v>0</v>
      </c>
      <c r="AF13" s="38">
        <f>SUM(AF5:AF5)</f>
        <v>0</v>
      </c>
      <c r="AH13" s="38">
        <f t="shared" ref="AH13:AZ13" si="5">SUM(AH5:AH5)</f>
        <v>0</v>
      </c>
      <c r="AI13" s="38">
        <f t="shared" si="5"/>
        <v>0</v>
      </c>
      <c r="AJ13" s="38">
        <f t="shared" si="5"/>
        <v>0</v>
      </c>
      <c r="AK13" s="38">
        <f t="shared" si="5"/>
        <v>0</v>
      </c>
      <c r="AL13" s="38">
        <f t="shared" si="5"/>
        <v>0</v>
      </c>
      <c r="AM13" s="38">
        <f t="shared" si="5"/>
        <v>0</v>
      </c>
      <c r="AN13" s="38">
        <f t="shared" si="5"/>
        <v>0</v>
      </c>
      <c r="AO13" s="38">
        <f t="shared" si="5"/>
        <v>0</v>
      </c>
      <c r="AP13" s="38">
        <f t="shared" si="5"/>
        <v>0</v>
      </c>
      <c r="AQ13" s="38">
        <f t="shared" si="5"/>
        <v>0</v>
      </c>
      <c r="AR13" s="38">
        <f t="shared" si="5"/>
        <v>0</v>
      </c>
      <c r="AS13" s="38">
        <f t="shared" si="5"/>
        <v>0</v>
      </c>
      <c r="AT13" s="38">
        <f t="shared" si="5"/>
        <v>0</v>
      </c>
      <c r="AU13" s="38">
        <f t="shared" si="5"/>
        <v>0</v>
      </c>
      <c r="AV13" s="38">
        <f t="shared" si="5"/>
        <v>0</v>
      </c>
      <c r="AW13" s="38">
        <f t="shared" si="5"/>
        <v>0</v>
      </c>
      <c r="AX13" s="38">
        <f t="shared" si="5"/>
        <v>0</v>
      </c>
      <c r="AY13" s="38">
        <f t="shared" si="5"/>
        <v>0</v>
      </c>
      <c r="AZ13" s="38">
        <f t="shared" si="5"/>
        <v>0</v>
      </c>
      <c r="BB13" s="38">
        <f t="shared" ref="BB13:CV13" si="6">SUM(BB5:BB5)</f>
        <v>0</v>
      </c>
      <c r="BC13" s="38">
        <f t="shared" si="6"/>
        <v>0</v>
      </c>
      <c r="BD13" s="38">
        <f t="shared" si="6"/>
        <v>0</v>
      </c>
      <c r="BE13" s="38">
        <f t="shared" si="6"/>
        <v>0</v>
      </c>
      <c r="BF13" s="38">
        <f t="shared" si="6"/>
        <v>0</v>
      </c>
      <c r="BG13" s="38">
        <f t="shared" si="6"/>
        <v>0</v>
      </c>
      <c r="BH13" s="38">
        <f t="shared" si="6"/>
        <v>0</v>
      </c>
      <c r="BI13" s="38">
        <f t="shared" si="6"/>
        <v>0</v>
      </c>
      <c r="BJ13" s="38">
        <f t="shared" si="6"/>
        <v>0</v>
      </c>
      <c r="BK13" s="38">
        <f t="shared" si="6"/>
        <v>0</v>
      </c>
      <c r="BL13" s="38">
        <f t="shared" si="6"/>
        <v>0</v>
      </c>
      <c r="BM13" s="38">
        <f t="shared" si="6"/>
        <v>0</v>
      </c>
      <c r="BN13" s="38">
        <f t="shared" si="6"/>
        <v>0</v>
      </c>
      <c r="BO13" s="38">
        <f t="shared" si="6"/>
        <v>0</v>
      </c>
      <c r="BP13" s="38">
        <f t="shared" si="6"/>
        <v>0</v>
      </c>
      <c r="BQ13" s="38">
        <f t="shared" si="6"/>
        <v>0</v>
      </c>
      <c r="BR13" s="38">
        <f t="shared" si="6"/>
        <v>0</v>
      </c>
      <c r="BS13" s="38">
        <f t="shared" si="6"/>
        <v>0</v>
      </c>
      <c r="BT13" s="38">
        <f t="shared" si="6"/>
        <v>0</v>
      </c>
      <c r="BU13" s="38">
        <f t="shared" si="6"/>
        <v>0</v>
      </c>
      <c r="BV13" s="38">
        <f t="shared" si="6"/>
        <v>0</v>
      </c>
      <c r="BW13" s="38">
        <f t="shared" si="6"/>
        <v>0</v>
      </c>
      <c r="BX13" s="38">
        <f t="shared" si="6"/>
        <v>0</v>
      </c>
      <c r="BY13" s="38">
        <f t="shared" si="6"/>
        <v>0</v>
      </c>
      <c r="BZ13" s="38">
        <f t="shared" si="6"/>
        <v>0</v>
      </c>
      <c r="CA13" s="38">
        <f t="shared" si="6"/>
        <v>0</v>
      </c>
      <c r="CB13" s="38">
        <f t="shared" si="6"/>
        <v>0</v>
      </c>
      <c r="CC13" s="38">
        <f t="shared" si="6"/>
        <v>0</v>
      </c>
      <c r="CD13" s="38">
        <f t="shared" si="6"/>
        <v>0</v>
      </c>
      <c r="CE13" s="38">
        <f t="shared" si="6"/>
        <v>0</v>
      </c>
      <c r="CF13" s="38">
        <f t="shared" si="6"/>
        <v>0</v>
      </c>
      <c r="CG13" s="38">
        <f t="shared" si="6"/>
        <v>0</v>
      </c>
      <c r="CH13" s="38">
        <f t="shared" si="6"/>
        <v>0</v>
      </c>
      <c r="CI13" s="38">
        <f t="shared" si="6"/>
        <v>0</v>
      </c>
      <c r="CJ13" s="38">
        <f t="shared" si="6"/>
        <v>0</v>
      </c>
      <c r="CK13" s="38">
        <f t="shared" si="6"/>
        <v>0</v>
      </c>
      <c r="CL13" s="38">
        <f t="shared" si="6"/>
        <v>0</v>
      </c>
      <c r="CM13" s="38">
        <f t="shared" si="6"/>
        <v>0</v>
      </c>
      <c r="CN13" s="38">
        <f t="shared" si="6"/>
        <v>0</v>
      </c>
      <c r="CO13" s="38">
        <f t="shared" si="6"/>
        <v>0</v>
      </c>
      <c r="CP13" s="38">
        <f t="shared" si="6"/>
        <v>0</v>
      </c>
      <c r="CQ13" s="38">
        <f t="shared" si="6"/>
        <v>0</v>
      </c>
      <c r="CR13" s="38">
        <f t="shared" si="6"/>
        <v>0</v>
      </c>
      <c r="CS13" s="38">
        <f t="shared" si="6"/>
        <v>0</v>
      </c>
      <c r="CT13" s="38">
        <f t="shared" si="6"/>
        <v>0</v>
      </c>
      <c r="CU13" s="38">
        <f t="shared" si="6"/>
        <v>0</v>
      </c>
      <c r="CV13" s="38">
        <f t="shared" si="6"/>
        <v>0</v>
      </c>
      <c r="CW13" s="40"/>
    </row>
    <row r="14" spans="1:103" customFormat="1" ht="15" x14ac:dyDescent="0.25"/>
    <row r="15" spans="1:103" customFormat="1" ht="15" x14ac:dyDescent="0.25">
      <c r="A15" s="41">
        <f>E5</f>
        <v>0</v>
      </c>
      <c r="B15" s="42"/>
      <c r="C15" s="43"/>
      <c r="D15" s="44"/>
      <c r="E15" s="44"/>
      <c r="F15" s="45"/>
      <c r="G15" s="46"/>
      <c r="H15" s="47"/>
      <c r="I15" s="48"/>
      <c r="J15" s="49"/>
      <c r="K15" s="50"/>
      <c r="L15" s="51"/>
      <c r="M15" s="52"/>
      <c r="N15" s="53"/>
      <c r="O15" s="54"/>
      <c r="P15" s="55"/>
    </row>
    <row r="16" spans="1:103" customFormat="1" ht="15" x14ac:dyDescent="0.25">
      <c r="A16" s="56"/>
      <c r="B16" s="57"/>
      <c r="C16" s="58"/>
      <c r="D16" s="59" t="s">
        <v>112</v>
      </c>
      <c r="E16" s="59" t="s">
        <v>113</v>
      </c>
      <c r="F16" s="60" t="s">
        <v>114</v>
      </c>
      <c r="G16" s="61"/>
      <c r="H16" s="62"/>
      <c r="I16" s="63"/>
      <c r="J16" s="64"/>
      <c r="K16" s="1"/>
      <c r="L16" s="65"/>
      <c r="M16" s="66"/>
      <c r="N16" s="67"/>
      <c r="O16" s="68"/>
      <c r="P16" s="69"/>
    </row>
    <row r="17" spans="1:16" customFormat="1" ht="13.5" customHeight="1" x14ac:dyDescent="0.25">
      <c r="A17" s="70"/>
      <c r="B17" s="71"/>
      <c r="C17" s="72"/>
      <c r="D17" s="73">
        <f>R13</f>
        <v>0</v>
      </c>
      <c r="E17" s="74"/>
      <c r="F17" s="75" t="str">
        <f>"In payment for using housefund received on " &amp; TEXT(A5, "mmmm dd, yyyy") &amp; " with SI# PR# RR#" &amp; " CPO#" &amp;B5</f>
        <v>In payment for using housefund received on January 00, 1900 with SI# PR# RR# CPO#</v>
      </c>
      <c r="G17" s="76"/>
      <c r="H17" s="77"/>
      <c r="I17" s="77"/>
      <c r="J17" s="76"/>
      <c r="K17" s="1"/>
      <c r="L17" s="65"/>
      <c r="M17" s="78"/>
      <c r="N17" s="79"/>
      <c r="O17" s="80"/>
      <c r="P17" s="81"/>
    </row>
    <row r="18" spans="1:16" customFormat="1" ht="15" x14ac:dyDescent="0.25">
      <c r="A18" s="70" t="s">
        <v>115</v>
      </c>
      <c r="B18" s="71"/>
      <c r="C18" s="72"/>
      <c r="D18" s="73">
        <f>Q13</f>
        <v>0</v>
      </c>
      <c r="E18" s="74"/>
      <c r="F18" s="64" t="str">
        <f>"Recording input VAT for expenses and purchases made using house fund for " &amp; TEXT(A5, "mmmm dd, yyyy")</f>
        <v>Recording input VAT for expenses and purchases made using house fund for January 00, 1900</v>
      </c>
      <c r="G18" s="82"/>
      <c r="H18" s="83"/>
      <c r="I18" s="84"/>
      <c r="J18" s="82"/>
      <c r="K18" s="1"/>
      <c r="L18" s="65"/>
      <c r="M18" s="66"/>
      <c r="N18" s="67"/>
      <c r="O18" s="68"/>
      <c r="P18" s="69"/>
    </row>
    <row r="19" spans="1:16" customFormat="1" ht="15" x14ac:dyDescent="0.25">
      <c r="A19" s="85" t="s">
        <v>116</v>
      </c>
      <c r="B19" s="86"/>
      <c r="C19" s="87"/>
      <c r="D19" s="88"/>
      <c r="E19" s="74">
        <f>P13</f>
        <v>0</v>
      </c>
      <c r="F19" s="89" t="str">
        <f>"Recording the tax withheld for expenses and purchases using the house fund received on " &amp; TEXT(A5, "mmmm dd, yyyy")</f>
        <v>Recording the tax withheld for expenses and purchases using the house fund received on January 00, 1900</v>
      </c>
      <c r="G19" s="82"/>
      <c r="H19" s="83"/>
      <c r="I19" s="84"/>
      <c r="J19" s="82"/>
      <c r="K19" s="1"/>
      <c r="L19" s="65"/>
      <c r="M19" s="66"/>
      <c r="N19" s="67"/>
      <c r="O19" s="68"/>
      <c r="P19" s="69"/>
    </row>
    <row r="20" spans="1:16" customFormat="1" ht="15" x14ac:dyDescent="0.25">
      <c r="A20" s="70" t="s">
        <v>117</v>
      </c>
      <c r="B20" s="86"/>
      <c r="C20" s="87"/>
      <c r="D20" s="90"/>
      <c r="E20" s="91">
        <f>M13</f>
        <v>0</v>
      </c>
      <c r="F20" s="89" t="str">
        <f>"Recording house fund expenses for replenishment on " &amp; TEXT(A5, "mmmm dd, yyyy")</f>
        <v>Recording house fund expenses for replenishment on January 00, 1900</v>
      </c>
      <c r="G20" s="82"/>
      <c r="H20" s="83"/>
      <c r="I20" s="84"/>
      <c r="J20" s="82"/>
      <c r="K20" s="1"/>
      <c r="L20" s="65"/>
      <c r="M20" s="66"/>
      <c r="N20" s="67"/>
      <c r="O20" s="68"/>
      <c r="P20" s="69"/>
    </row>
    <row r="21" spans="1:16" customFormat="1" ht="15" x14ac:dyDescent="0.25">
      <c r="A21" s="85"/>
      <c r="B21" s="86"/>
      <c r="C21" s="87"/>
      <c r="D21" s="88">
        <f>SUM(D17:D18)</f>
        <v>0</v>
      </c>
      <c r="E21" s="88">
        <f>SUM(E17:E20)</f>
        <v>0</v>
      </c>
      <c r="F21" s="92"/>
      <c r="G21" s="92"/>
      <c r="H21" s="93"/>
      <c r="I21" s="94"/>
      <c r="J21" s="92"/>
      <c r="K21" s="1"/>
      <c r="L21" s="65"/>
      <c r="M21" s="66"/>
      <c r="N21" s="67"/>
      <c r="O21" s="68"/>
      <c r="P21" s="69"/>
    </row>
    <row r="22" spans="1:16" customFormat="1" ht="15" x14ac:dyDescent="0.25">
      <c r="A22" s="95" t="s">
        <v>118</v>
      </c>
      <c r="B22" s="96" t="str">
        <f>"To record house fund expenses on " &amp; TEXT(A5, "mmmm dd, yyyy") &amp; " with PCV#" &amp; C5</f>
        <v>To record house fund expenses on January 00, 1900 with PCV#</v>
      </c>
      <c r="C22" s="97"/>
      <c r="D22" s="98"/>
      <c r="E22" s="98"/>
      <c r="F22" s="98"/>
      <c r="G22" s="92"/>
      <c r="H22" s="93"/>
      <c r="I22" s="94"/>
      <c r="J22" s="92"/>
      <c r="K22" s="1"/>
      <c r="L22" s="65"/>
      <c r="M22" s="66"/>
      <c r="N22" s="67"/>
      <c r="O22" s="68"/>
      <c r="P22" s="69"/>
    </row>
  </sheetData>
  <mergeCells count="4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Z3:BA3"/>
    <mergeCell ref="M3:M4"/>
    <mergeCell ref="N3:N4"/>
    <mergeCell ref="O3:O4"/>
    <mergeCell ref="P3:P4"/>
    <mergeCell ref="Q3:Q4"/>
    <mergeCell ref="R3:Z3"/>
    <mergeCell ref="AA3:AF3"/>
    <mergeCell ref="AG3:AG4"/>
    <mergeCell ref="AH3:AQ3"/>
    <mergeCell ref="AR3:AV3"/>
    <mergeCell ref="AX3:AY3"/>
    <mergeCell ref="BV3:BV4"/>
    <mergeCell ref="BB3:BC3"/>
    <mergeCell ref="BE3:BE4"/>
    <mergeCell ref="BF3:BG3"/>
    <mergeCell ref="BK3:BM3"/>
    <mergeCell ref="BN3:BO3"/>
    <mergeCell ref="BP3:BP4"/>
    <mergeCell ref="BQ3:BQ4"/>
    <mergeCell ref="BR3:BR4"/>
    <mergeCell ref="BS3:BS4"/>
    <mergeCell ref="BT3:BT4"/>
    <mergeCell ref="BU3:BU4"/>
    <mergeCell ref="CU3:CU4"/>
    <mergeCell ref="BW3:BW4"/>
    <mergeCell ref="BX3:BX4"/>
    <mergeCell ref="BY3:BY4"/>
    <mergeCell ref="BZ3:BZ4"/>
    <mergeCell ref="CA3:CA4"/>
    <mergeCell ref="CB3:CB4"/>
    <mergeCell ref="CE3:CE4"/>
    <mergeCell ref="CF3:CF4"/>
    <mergeCell ref="CG3:CP3"/>
    <mergeCell ref="CR3:CS3"/>
    <mergeCell ref="CT3:CT4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176</vt:i4>
      </vt:variant>
      <vt:variant>
        <vt:lpstr>Named Ranges</vt:lpstr>
      </vt:variant>
      <vt:variant>
        <vt:i4>1</vt:i4>
      </vt:variant>
    </vt:vector>
  </HeadingPairs>
  <TitlesOfParts>
    <vt:vector size="177" baseType="lpstr">
      <vt:lpstr>AUGUST 2025</vt:lpstr>
      <vt:lpstr>FOR CV</vt:lpstr>
      <vt:lpstr>PCV20843</vt:lpstr>
      <vt:lpstr>PCV20844</vt:lpstr>
      <vt:lpstr>PCV20845</vt:lpstr>
      <vt:lpstr>PCV20846</vt:lpstr>
      <vt:lpstr>PCV20847</vt:lpstr>
      <vt:lpstr>PCV20848</vt:lpstr>
      <vt:lpstr>PCV20849</vt:lpstr>
      <vt:lpstr>PCV20850</vt:lpstr>
      <vt:lpstr>PCV20851</vt:lpstr>
      <vt:lpstr>PCV20852</vt:lpstr>
      <vt:lpstr>PCV20853</vt:lpstr>
      <vt:lpstr>PCV20854</vt:lpstr>
      <vt:lpstr>PCV20855</vt:lpstr>
      <vt:lpstr>PCV20856</vt:lpstr>
      <vt:lpstr>PCV20857</vt:lpstr>
      <vt:lpstr>PCV20858</vt:lpstr>
      <vt:lpstr>PCV20859</vt:lpstr>
      <vt:lpstr>PCV20860</vt:lpstr>
      <vt:lpstr>PCV20861</vt:lpstr>
      <vt:lpstr>PCV20862</vt:lpstr>
      <vt:lpstr>PCV20863</vt:lpstr>
      <vt:lpstr>PCV20864</vt:lpstr>
      <vt:lpstr>PCV20865</vt:lpstr>
      <vt:lpstr>PCV20866</vt:lpstr>
      <vt:lpstr>PCV20867</vt:lpstr>
      <vt:lpstr>PCV20868</vt:lpstr>
      <vt:lpstr>PCV20869</vt:lpstr>
      <vt:lpstr>PCV20870</vt:lpstr>
      <vt:lpstr>PCV20871</vt:lpstr>
      <vt:lpstr>PCV20872</vt:lpstr>
      <vt:lpstr>PCV20873</vt:lpstr>
      <vt:lpstr>PCV20874</vt:lpstr>
      <vt:lpstr>PCV20875</vt:lpstr>
      <vt:lpstr>PCV20876</vt:lpstr>
      <vt:lpstr>PCV20877</vt:lpstr>
      <vt:lpstr>PCV20878</vt:lpstr>
      <vt:lpstr>PCV20879</vt:lpstr>
      <vt:lpstr>PCV20880</vt:lpstr>
      <vt:lpstr>PCV20881</vt:lpstr>
      <vt:lpstr>PCV20882</vt:lpstr>
      <vt:lpstr>PCV20883</vt:lpstr>
      <vt:lpstr>PCV20884</vt:lpstr>
      <vt:lpstr>PCV20885</vt:lpstr>
      <vt:lpstr>PCV20886</vt:lpstr>
      <vt:lpstr>PCV20887</vt:lpstr>
      <vt:lpstr>PCV20888</vt:lpstr>
      <vt:lpstr>PCV20889</vt:lpstr>
      <vt:lpstr>PCV20890</vt:lpstr>
      <vt:lpstr>PCV20891</vt:lpstr>
      <vt:lpstr>PCV20892</vt:lpstr>
      <vt:lpstr>PCV20893</vt:lpstr>
      <vt:lpstr>PCV20894</vt:lpstr>
      <vt:lpstr>PCV20895</vt:lpstr>
      <vt:lpstr>PCV20896</vt:lpstr>
      <vt:lpstr>PCV20897</vt:lpstr>
      <vt:lpstr>PCV20898</vt:lpstr>
      <vt:lpstr>PCV20899</vt:lpstr>
      <vt:lpstr>PCV20900</vt:lpstr>
      <vt:lpstr>PCV20901</vt:lpstr>
      <vt:lpstr>PCV20902</vt:lpstr>
      <vt:lpstr>PCV20903</vt:lpstr>
      <vt:lpstr>PCV20904</vt:lpstr>
      <vt:lpstr>PCV20905</vt:lpstr>
      <vt:lpstr>PCV20906</vt:lpstr>
      <vt:lpstr>PCV20907</vt:lpstr>
      <vt:lpstr>PCV20908</vt:lpstr>
      <vt:lpstr>PCV20909</vt:lpstr>
      <vt:lpstr>PCV20910</vt:lpstr>
      <vt:lpstr>PCV20911</vt:lpstr>
      <vt:lpstr>PCV20912</vt:lpstr>
      <vt:lpstr>PCV20913</vt:lpstr>
      <vt:lpstr>PCV20914</vt:lpstr>
      <vt:lpstr>PCV20915</vt:lpstr>
      <vt:lpstr>PCV20916</vt:lpstr>
      <vt:lpstr>PCV20917</vt:lpstr>
      <vt:lpstr>PCV20918</vt:lpstr>
      <vt:lpstr>PCV20919</vt:lpstr>
      <vt:lpstr>PCV20920</vt:lpstr>
      <vt:lpstr>PCV20921</vt:lpstr>
      <vt:lpstr>PCV20922</vt:lpstr>
      <vt:lpstr>PCV20923</vt:lpstr>
      <vt:lpstr>PCV20924</vt:lpstr>
      <vt:lpstr>PCV20925</vt:lpstr>
      <vt:lpstr>PCV20926</vt:lpstr>
      <vt:lpstr>PCV20927</vt:lpstr>
      <vt:lpstr>PCV20928</vt:lpstr>
      <vt:lpstr>PCV20929</vt:lpstr>
      <vt:lpstr>PCV20930</vt:lpstr>
      <vt:lpstr>PCV20931</vt:lpstr>
      <vt:lpstr>PCV20932</vt:lpstr>
      <vt:lpstr>PCV20933</vt:lpstr>
      <vt:lpstr>PCV20934</vt:lpstr>
      <vt:lpstr>PCV20935</vt:lpstr>
      <vt:lpstr>PCV20936</vt:lpstr>
      <vt:lpstr>PCV20937</vt:lpstr>
      <vt:lpstr>PCV20938</vt:lpstr>
      <vt:lpstr>PCV20939</vt:lpstr>
      <vt:lpstr>PCV20940</vt:lpstr>
      <vt:lpstr>PCV20941</vt:lpstr>
      <vt:lpstr>PCV20942</vt:lpstr>
      <vt:lpstr>PCV20943</vt:lpstr>
      <vt:lpstr>PCV20944</vt:lpstr>
      <vt:lpstr>PCV20945</vt:lpstr>
      <vt:lpstr>PCV20946</vt:lpstr>
      <vt:lpstr>PCV20947</vt:lpstr>
      <vt:lpstr>PCV20948</vt:lpstr>
      <vt:lpstr>PCV20949</vt:lpstr>
      <vt:lpstr>PCV20950</vt:lpstr>
      <vt:lpstr>PCV20951</vt:lpstr>
      <vt:lpstr>PCV20952</vt:lpstr>
      <vt:lpstr>PCV20953</vt:lpstr>
      <vt:lpstr>PCV20954</vt:lpstr>
      <vt:lpstr>PCV20955</vt:lpstr>
      <vt:lpstr>PCV20956</vt:lpstr>
      <vt:lpstr>PCV20957</vt:lpstr>
      <vt:lpstr>PCV20958</vt:lpstr>
      <vt:lpstr>PCV20959</vt:lpstr>
      <vt:lpstr>PCV20960</vt:lpstr>
      <vt:lpstr>PCV20961</vt:lpstr>
      <vt:lpstr>PCV20962</vt:lpstr>
      <vt:lpstr>PCV20963</vt:lpstr>
      <vt:lpstr>PCV20964</vt:lpstr>
      <vt:lpstr>PCV20965</vt:lpstr>
      <vt:lpstr>PCV20966</vt:lpstr>
      <vt:lpstr>PCV20967</vt:lpstr>
      <vt:lpstr>PCV20968</vt:lpstr>
      <vt:lpstr>PCV20969</vt:lpstr>
      <vt:lpstr>PCV20970</vt:lpstr>
      <vt:lpstr>PCV20971</vt:lpstr>
      <vt:lpstr>PCV20972</vt:lpstr>
      <vt:lpstr>PCV20973</vt:lpstr>
      <vt:lpstr>PCV20974</vt:lpstr>
      <vt:lpstr>PCV20975</vt:lpstr>
      <vt:lpstr>PCV20976</vt:lpstr>
      <vt:lpstr>PCV20977</vt:lpstr>
      <vt:lpstr>PCV20978</vt:lpstr>
      <vt:lpstr>PCV20979</vt:lpstr>
      <vt:lpstr>PCV20980</vt:lpstr>
      <vt:lpstr>PCV20981- NO RR</vt:lpstr>
      <vt:lpstr>PCV20982</vt:lpstr>
      <vt:lpstr>PCV20983</vt:lpstr>
      <vt:lpstr>PCV20984</vt:lpstr>
      <vt:lpstr>PCV20985</vt:lpstr>
      <vt:lpstr>PCV20986</vt:lpstr>
      <vt:lpstr>PCV20987</vt:lpstr>
      <vt:lpstr>PCV20988</vt:lpstr>
      <vt:lpstr>PCV20989</vt:lpstr>
      <vt:lpstr>PCV20990</vt:lpstr>
      <vt:lpstr>PCV20991</vt:lpstr>
      <vt:lpstr>PCV20992</vt:lpstr>
      <vt:lpstr>PCV20993</vt:lpstr>
      <vt:lpstr>PCV20994</vt:lpstr>
      <vt:lpstr>PCV20995</vt:lpstr>
      <vt:lpstr>PCV20996</vt:lpstr>
      <vt:lpstr>PCV20997</vt:lpstr>
      <vt:lpstr>PCV20998</vt:lpstr>
      <vt:lpstr>PCV20999</vt:lpstr>
      <vt:lpstr>PCV21000</vt:lpstr>
      <vt:lpstr>PCV21001</vt:lpstr>
      <vt:lpstr>PCV21002</vt:lpstr>
      <vt:lpstr>PCV21003</vt:lpstr>
      <vt:lpstr>PCV21004</vt:lpstr>
      <vt:lpstr>PCV21005</vt:lpstr>
      <vt:lpstr>PCV21006</vt:lpstr>
      <vt:lpstr>PCV21007</vt:lpstr>
      <vt:lpstr>PCV21008</vt:lpstr>
      <vt:lpstr>PCV21009</vt:lpstr>
      <vt:lpstr>PCV21010</vt:lpstr>
      <vt:lpstr>PCV21011</vt:lpstr>
      <vt:lpstr>PCV21012</vt:lpstr>
      <vt:lpstr>PCV21013</vt:lpstr>
      <vt:lpstr>PCV21014</vt:lpstr>
      <vt:lpstr>PCV21015</vt:lpstr>
      <vt:lpstr>--------LAST-------</vt:lpstr>
      <vt:lpstr>'FOR CV'!Print_Area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ARTERRA-PC5</dc:creator>
  <cp:lastModifiedBy>HP</cp:lastModifiedBy>
  <cp:lastPrinted>2025-09-06T07:22:15Z</cp:lastPrinted>
  <dcterms:created xsi:type="dcterms:W3CDTF">2025-05-10T03:52:08Z</dcterms:created>
  <dcterms:modified xsi:type="dcterms:W3CDTF">2025-09-09T18:00:18Z</dcterms:modified>
</cp:coreProperties>
</file>