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2.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drawings/drawing3.xml" ContentType="application/vnd.openxmlformats-officedocument.drawing+xml"/>
  <Override PartName="/xl/charts/chartEx1.xml" ContentType="application/vnd.ms-office.chartex+xml"/>
  <Override PartName="/xl/charts/style12.xml" ContentType="application/vnd.ms-office.chartstyle+xml"/>
  <Override PartName="/xl/charts/colors12.xml" ContentType="application/vnd.ms-office.chartcolorsty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drawings/drawing4.xml" ContentType="application/vnd.openxmlformats-officedocument.drawing+xml"/>
  <Override PartName="/xl/tables/table3.xml" ContentType="application/vnd.openxmlformats-officedocument.spreadsheetml.table+xml"/>
  <Override PartName="/xl/charts/chartEx2.xml" ContentType="application/vnd.ms-office.chartex+xml"/>
  <Override PartName="/xl/charts/style13.xml" ContentType="application/vnd.ms-office.chartstyle+xml"/>
  <Override PartName="/xl/charts/colors13.xml" ContentType="application/vnd.ms-office.chartcolorstyle+xml"/>
  <Override PartName="/xl/charts/chartEx3.xml" ContentType="application/vnd.ms-office.chartex+xml"/>
  <Override PartName="/xl/charts/style14.xml" ContentType="application/vnd.ms-office.chartstyle+xml"/>
  <Override PartName="/xl/charts/colors14.xml" ContentType="application/vnd.ms-office.chartcolorstyle+xml"/>
  <Override PartName="/xl/charts/chartEx4.xml" ContentType="application/vnd.ms-office.chartex+xml"/>
  <Override PartName="/xl/charts/style15.xml" ContentType="application/vnd.ms-office.chartstyle+xml"/>
  <Override PartName="/xl/charts/colors15.xml" ContentType="application/vnd.ms-office.chartcolorstyle+xml"/>
  <Override PartName="/xl/charts/chartEx5.xml" ContentType="application/vnd.ms-office.chartex+xml"/>
  <Override PartName="/xl/charts/style16.xml" ContentType="application/vnd.ms-office.chartstyle+xml"/>
  <Override PartName="/xl/charts/colors16.xml" ContentType="application/vnd.ms-office.chartcolorstyle+xml"/>
  <Override PartName="/xl/drawings/drawing5.xml" ContentType="application/vnd.openxmlformats-officedocument.drawing+xml"/>
  <Override PartName="/xl/charts/chart12.xml" ContentType="application/vnd.openxmlformats-officedocument.drawingml.chart+xml"/>
  <Override PartName="/xl/charts/style17.xml" ContentType="application/vnd.ms-office.chartstyle+xml"/>
  <Override PartName="/xl/charts/colors17.xml" ContentType="application/vnd.ms-office.chartcolorstyle+xml"/>
  <Override PartName="/xl/charts/chart13.xml" ContentType="application/vnd.openxmlformats-officedocument.drawingml.chart+xml"/>
  <Override PartName="/xl/charts/style18.xml" ContentType="application/vnd.ms-office.chartstyle+xml"/>
  <Override PartName="/xl/charts/colors18.xml" ContentType="application/vnd.ms-office.chartcolorstyle+xml"/>
  <Override PartName="/xl/charts/chartEx6.xml" ContentType="application/vnd.ms-office.chartex+xml"/>
  <Override PartName="/xl/charts/style19.xml" ContentType="application/vnd.ms-office.chartstyle+xml"/>
  <Override PartName="/xl/charts/colors19.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hidePivotFieldList="1" defaultThemeVersion="166925"/>
  <mc:AlternateContent xmlns:mc="http://schemas.openxmlformats.org/markup-compatibility/2006">
    <mc:Choice Requires="x15">
      <x15ac:absPath xmlns:x15ac="http://schemas.microsoft.com/office/spreadsheetml/2010/11/ac" url="E:\MBA\"/>
    </mc:Choice>
  </mc:AlternateContent>
  <xr:revisionPtr revIDLastSave="0" documentId="13_ncr:1_{5B702D6B-8671-4E4D-A19A-1C9FABC5DF37}" xr6:coauthVersionLast="47" xr6:coauthVersionMax="47" xr10:uidLastSave="{00000000-0000-0000-0000-000000000000}"/>
  <bookViews>
    <workbookView xWindow="-108" yWindow="-108" windowWidth="23256" windowHeight="12456" firstSheet="1" activeTab="2" xr2:uid="{33477505-D2BC-4D4F-97AF-C53C35B70504}"/>
  </bookViews>
  <sheets>
    <sheet name="Raw Data" sheetId="1" r:id="rId1"/>
    <sheet name="Excel Tracker" sheetId="3" r:id="rId2"/>
    <sheet name="Dashboard" sheetId="9" r:id="rId3"/>
    <sheet name="General Analysis" sheetId="8" state="hidden" r:id="rId4"/>
    <sheet name="Order Tracker" sheetId="4" r:id="rId5"/>
    <sheet name="Defect Insights" sheetId="5" r:id="rId6"/>
    <sheet name="Risk Assessment" sheetId="6" r:id="rId7"/>
    <sheet name="Order Quantity" sheetId="10" r:id="rId8"/>
  </sheets>
  <definedNames>
    <definedName name="_xlnm._FilterDatabase" localSheetId="3" hidden="1">'General Analysis'!$J$2:$K$5</definedName>
    <definedName name="_xlnm._FilterDatabase" localSheetId="7" hidden="1">'Order Quantity'!$Y$2:$Z$2</definedName>
    <definedName name="_xlnm._FilterDatabase" localSheetId="4" hidden="1">'Order Tracker'!$R$8:$R$13</definedName>
    <definedName name="_xlnm._FilterDatabase" localSheetId="6" hidden="1">'Risk Assessment'!$V$17:$X$17</definedName>
    <definedName name="_xlchart.v1.0" hidden="1">'Defect Insights'!$A$6</definedName>
    <definedName name="_xlchart.v1.1" hidden="1">'Defect Insights'!$A$7:$A$46</definedName>
    <definedName name="_xlchart.v1.10" hidden="1">'Risk Assessment'!$AC$65</definedName>
    <definedName name="_xlchart.v1.11" hidden="1">'Risk Assessment'!$AC$66:$AC$105</definedName>
    <definedName name="_xlchart.v1.12" hidden="1">'Risk Assessment'!$R$52</definedName>
    <definedName name="_xlchart.v1.13" hidden="1">'Risk Assessment'!$R$53:$R$92</definedName>
    <definedName name="_xlchart.v1.14" hidden="1">'Risk Assessment'!$S$52</definedName>
    <definedName name="_xlchart.v1.15" hidden="1">'Risk Assessment'!$S$53:$S$92</definedName>
    <definedName name="_xlchart.v1.16" hidden="1">'Risk Assessment'!$T$52</definedName>
    <definedName name="_xlchart.v1.17" hidden="1">'Risk Assessment'!$T$53:$T$92</definedName>
    <definedName name="_xlchart.v1.18" hidden="1">'Risk Assessment'!$P$10:$P$109</definedName>
    <definedName name="_xlchart.v1.19" hidden="1">'Risk Assessment'!$X$18:$X$108</definedName>
    <definedName name="_xlchart.v1.2" hidden="1">'Defect Insights'!$B$6</definedName>
    <definedName name="_xlchart.v1.20" hidden="1">'Order Quantity'!$AA$31</definedName>
    <definedName name="_xlchart.v1.21" hidden="1">'Order Quantity'!$W$31</definedName>
    <definedName name="_xlchart.v1.22" hidden="1">'Order Quantity'!$W$32:$W$55</definedName>
    <definedName name="_xlchart.v1.23" hidden="1">'Order Quantity'!$W$32:$W$58</definedName>
    <definedName name="_xlchart.v1.24" hidden="1">'Order Quantity'!$X$31</definedName>
    <definedName name="_xlchart.v1.25" hidden="1">'Order Quantity'!$X$32:$X$58</definedName>
    <definedName name="_xlchart.v1.26" hidden="1">'Order Quantity'!$Y$31</definedName>
    <definedName name="_xlchart.v1.27" hidden="1">'Order Quantity'!$Y$32:$Y$58</definedName>
    <definedName name="_xlchart.v1.28" hidden="1">'Order Quantity'!$Z$31</definedName>
    <definedName name="_xlchart.v1.29" hidden="1">'Order Quantity'!$Z$32:$Z$58</definedName>
    <definedName name="_xlchart.v1.3" hidden="1">'Defect Insights'!$B$7:$B$46</definedName>
    <definedName name="_xlchart.v1.4" hidden="1">'Defect Insights'!$C$6</definedName>
    <definedName name="_xlchart.v1.5" hidden="1">'Defect Insights'!$C$7:$C$46</definedName>
    <definedName name="_xlchart.v1.6" hidden="1">'Risk Assessment'!$AA$65</definedName>
    <definedName name="_xlchart.v1.7" hidden="1">'Risk Assessment'!$AA$66:$AA$105</definedName>
    <definedName name="_xlchart.v1.8" hidden="1">'Risk Assessment'!$AB$65</definedName>
    <definedName name="_xlchart.v1.9" hidden="1">'Risk Assessment'!$AB$66:$AB$105</definedName>
  </definedNames>
  <calcPr calcId="191029"/>
  <pivotCaches>
    <pivotCache cacheId="0" r:id="rId9"/>
    <pivotCache cacheId="1" r:id="rId10"/>
    <pivotCache cacheId="2" r:id="rId11"/>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A3" i="10" l="1" a="1"/>
  <c r="AA3" i="10" s="1"/>
  <c r="Z3" i="10" a="1"/>
  <c r="Z3" i="10" s="1"/>
  <c r="Y3" i="10" a="1"/>
  <c r="Y3" i="10" s="1"/>
  <c r="X3" i="10" a="1"/>
  <c r="X3" i="10" s="1"/>
  <c r="W3" i="10" a="1"/>
  <c r="W3" i="10" s="1"/>
  <c r="W2" i="10" a="1"/>
  <c r="W2" i="10" s="1"/>
  <c r="F101" i="10"/>
  <c r="E101" i="10"/>
  <c r="C101" i="10"/>
  <c r="F100" i="10"/>
  <c r="E100" i="10"/>
  <c r="C100" i="10"/>
  <c r="F99" i="10"/>
  <c r="E99" i="10"/>
  <c r="C99" i="10"/>
  <c r="F98" i="10"/>
  <c r="E98" i="10"/>
  <c r="C98" i="10"/>
  <c r="F97" i="10"/>
  <c r="E97" i="10"/>
  <c r="C97" i="10"/>
  <c r="F96" i="10"/>
  <c r="E96" i="10"/>
  <c r="C96" i="10"/>
  <c r="F95" i="10"/>
  <c r="E95" i="10"/>
  <c r="C95" i="10"/>
  <c r="F94" i="10"/>
  <c r="E94" i="10"/>
  <c r="C94" i="10"/>
  <c r="F93" i="10"/>
  <c r="E93" i="10"/>
  <c r="C93" i="10"/>
  <c r="F92" i="10"/>
  <c r="E92" i="10"/>
  <c r="C92" i="10"/>
  <c r="F91" i="10"/>
  <c r="E91" i="10"/>
  <c r="C91" i="10"/>
  <c r="F90" i="10"/>
  <c r="E90" i="10"/>
  <c r="C90" i="10"/>
  <c r="F89" i="10"/>
  <c r="E89" i="10"/>
  <c r="C89" i="10"/>
  <c r="F88" i="10"/>
  <c r="E88" i="10"/>
  <c r="C88" i="10"/>
  <c r="F87" i="10"/>
  <c r="E87" i="10"/>
  <c r="C87" i="10"/>
  <c r="F86" i="10"/>
  <c r="E86" i="10"/>
  <c r="C86" i="10"/>
  <c r="F85" i="10"/>
  <c r="E85" i="10"/>
  <c r="C85" i="10"/>
  <c r="F84" i="10"/>
  <c r="E84" i="10"/>
  <c r="C84" i="10"/>
  <c r="F83" i="10"/>
  <c r="E83" i="10"/>
  <c r="C83" i="10"/>
  <c r="F82" i="10"/>
  <c r="E82" i="10"/>
  <c r="C82" i="10"/>
  <c r="F81" i="10"/>
  <c r="E81" i="10"/>
  <c r="C81" i="10"/>
  <c r="F80" i="10"/>
  <c r="E80" i="10"/>
  <c r="C80" i="10"/>
  <c r="F79" i="10"/>
  <c r="E79" i="10"/>
  <c r="C79" i="10"/>
  <c r="F78" i="10"/>
  <c r="E78" i="10"/>
  <c r="C78" i="10"/>
  <c r="F77" i="10"/>
  <c r="E77" i="10"/>
  <c r="C77" i="10"/>
  <c r="F76" i="10"/>
  <c r="E76" i="10"/>
  <c r="C76" i="10"/>
  <c r="F75" i="10"/>
  <c r="E75" i="10"/>
  <c r="C75" i="10"/>
  <c r="F74" i="10"/>
  <c r="E74" i="10"/>
  <c r="C74" i="10"/>
  <c r="F73" i="10"/>
  <c r="E73" i="10"/>
  <c r="C73" i="10"/>
  <c r="F72" i="10"/>
  <c r="E72" i="10"/>
  <c r="C72" i="10"/>
  <c r="F71" i="10"/>
  <c r="E71" i="10"/>
  <c r="C71" i="10"/>
  <c r="F70" i="10"/>
  <c r="E70" i="10"/>
  <c r="C70" i="10"/>
  <c r="F69" i="10"/>
  <c r="E69" i="10"/>
  <c r="C69" i="10"/>
  <c r="F68" i="10"/>
  <c r="E68" i="10"/>
  <c r="C68" i="10"/>
  <c r="F67" i="10"/>
  <c r="E67" i="10"/>
  <c r="C67" i="10"/>
  <c r="F66" i="10"/>
  <c r="E66" i="10"/>
  <c r="C66" i="10"/>
  <c r="F65" i="10"/>
  <c r="E65" i="10"/>
  <c r="C65" i="10"/>
  <c r="F64" i="10"/>
  <c r="E64" i="10"/>
  <c r="C64" i="10"/>
  <c r="F63" i="10"/>
  <c r="E63" i="10"/>
  <c r="C63" i="10"/>
  <c r="F62" i="10"/>
  <c r="E62" i="10"/>
  <c r="C62" i="10"/>
  <c r="F61" i="10"/>
  <c r="E61" i="10"/>
  <c r="C61" i="10"/>
  <c r="F60" i="10"/>
  <c r="E60" i="10"/>
  <c r="C60" i="10"/>
  <c r="F59" i="10"/>
  <c r="E59" i="10"/>
  <c r="C59" i="10"/>
  <c r="F58" i="10"/>
  <c r="E58" i="10"/>
  <c r="C58" i="10"/>
  <c r="F57" i="10"/>
  <c r="E57" i="10"/>
  <c r="C57" i="10"/>
  <c r="F56" i="10"/>
  <c r="E56" i="10"/>
  <c r="C56" i="10"/>
  <c r="F55" i="10"/>
  <c r="E55" i="10"/>
  <c r="C55" i="10"/>
  <c r="F54" i="10"/>
  <c r="E54" i="10"/>
  <c r="C54" i="10"/>
  <c r="F53" i="10"/>
  <c r="E53" i="10"/>
  <c r="C53" i="10"/>
  <c r="F52" i="10"/>
  <c r="E52" i="10"/>
  <c r="C52" i="10"/>
  <c r="F51" i="10"/>
  <c r="E51" i="10"/>
  <c r="C51" i="10"/>
  <c r="F50" i="10"/>
  <c r="E50" i="10"/>
  <c r="C50" i="10"/>
  <c r="F49" i="10"/>
  <c r="E49" i="10"/>
  <c r="C49" i="10"/>
  <c r="F48" i="10"/>
  <c r="E48" i="10"/>
  <c r="C48" i="10"/>
  <c r="F47" i="10"/>
  <c r="E47" i="10"/>
  <c r="C47" i="10"/>
  <c r="F46" i="10"/>
  <c r="E46" i="10"/>
  <c r="C46" i="10"/>
  <c r="F45" i="10"/>
  <c r="E45" i="10"/>
  <c r="C45" i="10"/>
  <c r="F44" i="10"/>
  <c r="E44" i="10"/>
  <c r="C44" i="10"/>
  <c r="F43" i="10"/>
  <c r="E43" i="10"/>
  <c r="C43" i="10"/>
  <c r="F42" i="10"/>
  <c r="E42" i="10"/>
  <c r="C42" i="10"/>
  <c r="F41" i="10"/>
  <c r="E41" i="10"/>
  <c r="C41" i="10"/>
  <c r="F40" i="10"/>
  <c r="E40" i="10"/>
  <c r="C40" i="10"/>
  <c r="F39" i="10"/>
  <c r="E39" i="10"/>
  <c r="C39" i="10"/>
  <c r="F38" i="10"/>
  <c r="E38" i="10"/>
  <c r="C38" i="10"/>
  <c r="F37" i="10"/>
  <c r="E37" i="10"/>
  <c r="C37" i="10"/>
  <c r="F36" i="10"/>
  <c r="E36" i="10"/>
  <c r="C36" i="10"/>
  <c r="F35" i="10"/>
  <c r="E35" i="10"/>
  <c r="C35" i="10"/>
  <c r="F34" i="10"/>
  <c r="E34" i="10"/>
  <c r="C34" i="10"/>
  <c r="F33" i="10"/>
  <c r="E33" i="10"/>
  <c r="C33" i="10"/>
  <c r="F32" i="10"/>
  <c r="E32" i="10"/>
  <c r="C32" i="10"/>
  <c r="F31" i="10"/>
  <c r="E31" i="10"/>
  <c r="C31" i="10"/>
  <c r="F30" i="10"/>
  <c r="E30" i="10"/>
  <c r="C30" i="10"/>
  <c r="F29" i="10"/>
  <c r="E29" i="10"/>
  <c r="C29" i="10"/>
  <c r="F28" i="10"/>
  <c r="E28" i="10"/>
  <c r="C28" i="10"/>
  <c r="F27" i="10"/>
  <c r="E27" i="10"/>
  <c r="C27" i="10"/>
  <c r="F26" i="10"/>
  <c r="E26" i="10"/>
  <c r="C26" i="10"/>
  <c r="F25" i="10"/>
  <c r="E25" i="10"/>
  <c r="C25" i="10"/>
  <c r="F24" i="10"/>
  <c r="E24" i="10"/>
  <c r="C24" i="10"/>
  <c r="F23" i="10"/>
  <c r="E23" i="10"/>
  <c r="C23" i="10"/>
  <c r="F22" i="10"/>
  <c r="E22" i="10"/>
  <c r="C22" i="10"/>
  <c r="F21" i="10"/>
  <c r="E21" i="10"/>
  <c r="C21" i="10"/>
  <c r="F20" i="10"/>
  <c r="E20" i="10"/>
  <c r="C20" i="10"/>
  <c r="F19" i="10"/>
  <c r="E19" i="10"/>
  <c r="C19" i="10"/>
  <c r="F18" i="10"/>
  <c r="E18" i="10"/>
  <c r="C18" i="10"/>
  <c r="F17" i="10"/>
  <c r="E17" i="10"/>
  <c r="C17" i="10"/>
  <c r="F16" i="10"/>
  <c r="E16" i="10"/>
  <c r="C16" i="10"/>
  <c r="F15" i="10"/>
  <c r="E15" i="10"/>
  <c r="C15" i="10"/>
  <c r="F14" i="10"/>
  <c r="E14" i="10"/>
  <c r="C14" i="10"/>
  <c r="F13" i="10"/>
  <c r="E13" i="10"/>
  <c r="C13" i="10"/>
  <c r="F12" i="10"/>
  <c r="E12" i="10"/>
  <c r="C12" i="10"/>
  <c r="F11" i="10"/>
  <c r="E11" i="10"/>
  <c r="C11" i="10"/>
  <c r="F10" i="10"/>
  <c r="E10" i="10"/>
  <c r="C10" i="10"/>
  <c r="F9" i="10"/>
  <c r="E9" i="10"/>
  <c r="C9" i="10"/>
  <c r="F8" i="10"/>
  <c r="E8" i="10"/>
  <c r="C8" i="10"/>
  <c r="F7" i="10"/>
  <c r="E7" i="10"/>
  <c r="C7" i="10"/>
  <c r="F6" i="10"/>
  <c r="E6" i="10"/>
  <c r="C6" i="10"/>
  <c r="F5" i="10"/>
  <c r="E5" i="10"/>
  <c r="C5" i="10"/>
  <c r="F4" i="10"/>
  <c r="E4" i="10"/>
  <c r="C4" i="10"/>
  <c r="F3" i="10"/>
  <c r="E3" i="10"/>
  <c r="C3" i="10"/>
  <c r="F2" i="10"/>
  <c r="E2" i="10"/>
  <c r="C2" i="10"/>
  <c r="Y3" i="3"/>
  <c r="Y4" i="3"/>
  <c r="Y5" i="3"/>
  <c r="Y6" i="3"/>
  <c r="U6" i="8" s="1"/>
  <c r="Y7" i="3"/>
  <c r="Y8" i="3"/>
  <c r="Y9" i="3"/>
  <c r="Y10" i="3"/>
  <c r="Z10" i="3" s="1"/>
  <c r="AA10" i="3" s="1"/>
  <c r="Y11" i="3"/>
  <c r="Y12" i="3"/>
  <c r="Y13" i="3"/>
  <c r="Y14" i="3"/>
  <c r="U14" i="8" s="1"/>
  <c r="Y15" i="3"/>
  <c r="Y16" i="3"/>
  <c r="Y17" i="3"/>
  <c r="Y18" i="3"/>
  <c r="U18" i="8" s="1"/>
  <c r="Y19" i="3"/>
  <c r="Y20" i="3"/>
  <c r="Y21" i="3"/>
  <c r="Y22" i="3"/>
  <c r="U22" i="8" s="1"/>
  <c r="Y23" i="3"/>
  <c r="Y24" i="3"/>
  <c r="Y25" i="3"/>
  <c r="Y26" i="3"/>
  <c r="Z26" i="3" s="1"/>
  <c r="AA26" i="3" s="1"/>
  <c r="Y27" i="3"/>
  <c r="Y28" i="3"/>
  <c r="Y29" i="3"/>
  <c r="Y30" i="3"/>
  <c r="U30" i="8" s="1"/>
  <c r="Y31" i="3"/>
  <c r="Y32" i="3"/>
  <c r="Y33" i="3"/>
  <c r="Y34" i="3"/>
  <c r="U34" i="8" s="1"/>
  <c r="Y35" i="3"/>
  <c r="Y36" i="3"/>
  <c r="Y37" i="3"/>
  <c r="Y38" i="3"/>
  <c r="U38" i="8" s="1"/>
  <c r="Y39" i="3"/>
  <c r="Y40" i="3"/>
  <c r="Y41" i="3"/>
  <c r="Y42" i="3"/>
  <c r="Z42" i="3" s="1"/>
  <c r="AA42" i="3" s="1"/>
  <c r="Y43" i="3"/>
  <c r="Y44" i="3"/>
  <c r="Y45" i="3"/>
  <c r="Y46" i="3"/>
  <c r="U46" i="8" s="1"/>
  <c r="Y47" i="3"/>
  <c r="Y48" i="3"/>
  <c r="Y49" i="3"/>
  <c r="Y50" i="3"/>
  <c r="U50" i="8" s="1"/>
  <c r="Y51" i="3"/>
  <c r="Y52" i="3"/>
  <c r="Y53" i="3"/>
  <c r="Y54" i="3"/>
  <c r="U54" i="8" s="1"/>
  <c r="Y55" i="3"/>
  <c r="Y56" i="3"/>
  <c r="Y57" i="3"/>
  <c r="Y58" i="3"/>
  <c r="Z58" i="3" s="1"/>
  <c r="AA58" i="3" s="1"/>
  <c r="Y59" i="3"/>
  <c r="Y60" i="3"/>
  <c r="Y61" i="3"/>
  <c r="Y62" i="3"/>
  <c r="U62" i="8" s="1"/>
  <c r="Y63" i="3"/>
  <c r="Y64" i="3"/>
  <c r="Y65" i="3"/>
  <c r="Y66" i="3"/>
  <c r="U66" i="8" s="1"/>
  <c r="Y67" i="3"/>
  <c r="Y68" i="3"/>
  <c r="Y69" i="3"/>
  <c r="Y70" i="3"/>
  <c r="U70" i="8" s="1"/>
  <c r="Y71" i="3"/>
  <c r="Y72" i="3"/>
  <c r="Y73" i="3"/>
  <c r="Y74" i="3"/>
  <c r="Z74" i="3" s="1"/>
  <c r="AA74" i="3" s="1"/>
  <c r="Y75" i="3"/>
  <c r="Y76" i="3"/>
  <c r="Y77" i="3"/>
  <c r="Y78" i="3"/>
  <c r="U78" i="8" s="1"/>
  <c r="Y79" i="3"/>
  <c r="Y80" i="3"/>
  <c r="Y81" i="3"/>
  <c r="Y82" i="3"/>
  <c r="U82" i="8" s="1"/>
  <c r="Y83" i="3"/>
  <c r="Y84" i="3"/>
  <c r="Y85" i="3"/>
  <c r="Y86" i="3"/>
  <c r="U86" i="8" s="1"/>
  <c r="Y87" i="3"/>
  <c r="Y88" i="3"/>
  <c r="Y89" i="3"/>
  <c r="Y90" i="3"/>
  <c r="Z90" i="3" s="1"/>
  <c r="AA90" i="3" s="1"/>
  <c r="Y91" i="3"/>
  <c r="Y92" i="3"/>
  <c r="Y93" i="3"/>
  <c r="Y94" i="3"/>
  <c r="U94" i="8" s="1"/>
  <c r="Y95" i="3"/>
  <c r="Y96" i="3"/>
  <c r="Y97" i="3"/>
  <c r="Y98" i="3"/>
  <c r="U98" i="8" s="1"/>
  <c r="Y99" i="3"/>
  <c r="Y100" i="3"/>
  <c r="Y101" i="3"/>
  <c r="Y2" i="3"/>
  <c r="U4" i="8"/>
  <c r="Z5" i="3"/>
  <c r="U9" i="8"/>
  <c r="Z13" i="3"/>
  <c r="U16" i="8"/>
  <c r="Z17" i="3"/>
  <c r="U20" i="8"/>
  <c r="Z21" i="3"/>
  <c r="U25" i="8"/>
  <c r="Z29" i="3"/>
  <c r="U32" i="8"/>
  <c r="Z33" i="3"/>
  <c r="U36" i="8"/>
  <c r="Z37" i="3"/>
  <c r="U41" i="8"/>
  <c r="Z45" i="3"/>
  <c r="U48" i="8"/>
  <c r="Z49" i="3"/>
  <c r="U52" i="8"/>
  <c r="Z53" i="3"/>
  <c r="U57" i="8"/>
  <c r="Z61" i="3"/>
  <c r="U64" i="8"/>
  <c r="Z65" i="3"/>
  <c r="U68" i="8"/>
  <c r="Z69" i="3"/>
  <c r="U73" i="8"/>
  <c r="Z77" i="3"/>
  <c r="U80" i="8"/>
  <c r="Z81" i="3"/>
  <c r="U84" i="8"/>
  <c r="Z85" i="3"/>
  <c r="U89" i="8"/>
  <c r="Z93" i="3"/>
  <c r="U96" i="8"/>
  <c r="Z97" i="3"/>
  <c r="U100" i="8"/>
  <c r="Z101" i="3"/>
  <c r="U2" i="8"/>
  <c r="U3" i="8"/>
  <c r="U7" i="8"/>
  <c r="U11" i="8"/>
  <c r="U15" i="8"/>
  <c r="U19" i="8"/>
  <c r="U23" i="8"/>
  <c r="U27" i="8"/>
  <c r="U31" i="8"/>
  <c r="U35" i="8"/>
  <c r="U39" i="8"/>
  <c r="U43" i="8"/>
  <c r="U47" i="8"/>
  <c r="U51" i="8"/>
  <c r="U55" i="8"/>
  <c r="U59" i="8"/>
  <c r="U63" i="8"/>
  <c r="U67" i="8"/>
  <c r="U71" i="8"/>
  <c r="U75" i="8"/>
  <c r="U79" i="8"/>
  <c r="U83" i="8"/>
  <c r="U87" i="8"/>
  <c r="U91" i="8"/>
  <c r="U95" i="8"/>
  <c r="U99" i="8"/>
  <c r="U101" i="8"/>
  <c r="T101" i="8"/>
  <c r="T100" i="8"/>
  <c r="T99" i="8"/>
  <c r="T98" i="8"/>
  <c r="T97" i="8"/>
  <c r="T96" i="8"/>
  <c r="T95" i="8"/>
  <c r="T94" i="8"/>
  <c r="T93" i="8"/>
  <c r="U92" i="8"/>
  <c r="T92" i="8"/>
  <c r="T91" i="8"/>
  <c r="T90" i="8"/>
  <c r="T89" i="8"/>
  <c r="U88" i="8"/>
  <c r="T88" i="8"/>
  <c r="T87" i="8"/>
  <c r="T86" i="8"/>
  <c r="U85" i="8"/>
  <c r="T85" i="8"/>
  <c r="T84" i="8"/>
  <c r="T83" i="8"/>
  <c r="T82" i="8"/>
  <c r="T81" i="8"/>
  <c r="T80" i="8"/>
  <c r="T79" i="8"/>
  <c r="T78" i="8"/>
  <c r="T77" i="8"/>
  <c r="U76" i="8"/>
  <c r="T76" i="8"/>
  <c r="T75" i="8"/>
  <c r="T74" i="8"/>
  <c r="T73" i="8"/>
  <c r="U72" i="8"/>
  <c r="T72" i="8"/>
  <c r="T71" i="8"/>
  <c r="T70" i="8"/>
  <c r="U69" i="8"/>
  <c r="T69" i="8"/>
  <c r="T68" i="8"/>
  <c r="T67" i="8"/>
  <c r="T66" i="8"/>
  <c r="T65" i="8"/>
  <c r="T64" i="8"/>
  <c r="T63" i="8"/>
  <c r="T62" i="8"/>
  <c r="T61" i="8"/>
  <c r="U60" i="8"/>
  <c r="T60" i="8"/>
  <c r="T59" i="8"/>
  <c r="T58" i="8"/>
  <c r="T57" i="8"/>
  <c r="U56" i="8"/>
  <c r="T56" i="8"/>
  <c r="T55" i="8"/>
  <c r="T54" i="8"/>
  <c r="U53" i="8"/>
  <c r="T53" i="8"/>
  <c r="T52" i="8"/>
  <c r="T51" i="8"/>
  <c r="T50" i="8"/>
  <c r="T49" i="8"/>
  <c r="T48" i="8"/>
  <c r="T47" i="8"/>
  <c r="T46" i="8"/>
  <c r="T45" i="8"/>
  <c r="U44" i="8"/>
  <c r="T44" i="8"/>
  <c r="T43" i="8"/>
  <c r="T42" i="8"/>
  <c r="T41" i="8"/>
  <c r="U40" i="8"/>
  <c r="T40" i="8"/>
  <c r="T39" i="8"/>
  <c r="T38" i="8"/>
  <c r="U37" i="8"/>
  <c r="T37" i="8"/>
  <c r="T36" i="8"/>
  <c r="T35" i="8"/>
  <c r="T34" i="8"/>
  <c r="T33" i="8"/>
  <c r="T32" i="8"/>
  <c r="T31" i="8"/>
  <c r="T30" i="8"/>
  <c r="T29" i="8"/>
  <c r="U28" i="8"/>
  <c r="T28" i="8"/>
  <c r="T27" i="8"/>
  <c r="T26" i="8"/>
  <c r="T25" i="8"/>
  <c r="U24" i="8"/>
  <c r="T24" i="8"/>
  <c r="T23" i="8"/>
  <c r="T22" i="8"/>
  <c r="U21" i="8"/>
  <c r="T21" i="8"/>
  <c r="T20" i="8"/>
  <c r="T19" i="8"/>
  <c r="T18" i="8"/>
  <c r="T17" i="8"/>
  <c r="T16" i="8"/>
  <c r="T15" i="8"/>
  <c r="T14" i="8"/>
  <c r="T13" i="8"/>
  <c r="U12" i="8"/>
  <c r="T12" i="8"/>
  <c r="T11" i="8"/>
  <c r="T10" i="8"/>
  <c r="T9" i="8"/>
  <c r="U8" i="8"/>
  <c r="T8" i="8"/>
  <c r="T7" i="8"/>
  <c r="T6" i="8"/>
  <c r="U5" i="8"/>
  <c r="T5" i="8"/>
  <c r="T4" i="8"/>
  <c r="T3" i="8"/>
  <c r="T2" i="8"/>
  <c r="Z2" i="3"/>
  <c r="AA2" i="3" s="1"/>
  <c r="Z3" i="3"/>
  <c r="V3" i="8" s="1"/>
  <c r="Z4" i="3"/>
  <c r="AA4" i="3" s="1"/>
  <c r="Z7" i="3"/>
  <c r="V7" i="8" s="1"/>
  <c r="Z8" i="3"/>
  <c r="AA8" i="3" s="1"/>
  <c r="Z11" i="3"/>
  <c r="V11" i="8" s="1"/>
  <c r="Z12" i="3"/>
  <c r="AA12" i="3" s="1"/>
  <c r="Z15" i="3"/>
  <c r="V15" i="8" s="1"/>
  <c r="Z16" i="3"/>
  <c r="AA16" i="3" s="1"/>
  <c r="Z18" i="3"/>
  <c r="AA18" i="3" s="1"/>
  <c r="Z19" i="3"/>
  <c r="V19" i="8" s="1"/>
  <c r="Z20" i="3"/>
  <c r="AA20" i="3" s="1"/>
  <c r="Z23" i="3"/>
  <c r="V23" i="8" s="1"/>
  <c r="Z24" i="3"/>
  <c r="AA24" i="3" s="1"/>
  <c r="Z27" i="3"/>
  <c r="V27" i="8" s="1"/>
  <c r="Z28" i="3"/>
  <c r="AA28" i="3" s="1"/>
  <c r="Z31" i="3"/>
  <c r="V31" i="8" s="1"/>
  <c r="Z32" i="3"/>
  <c r="AA32" i="3" s="1"/>
  <c r="Z34" i="3"/>
  <c r="AA34" i="3" s="1"/>
  <c r="Z35" i="3"/>
  <c r="V35" i="8" s="1"/>
  <c r="Z36" i="3"/>
  <c r="AA36" i="3" s="1"/>
  <c r="Z39" i="3"/>
  <c r="V39" i="8" s="1"/>
  <c r="Z40" i="3"/>
  <c r="AA40" i="3" s="1"/>
  <c r="Z43" i="3"/>
  <c r="V43" i="8" s="1"/>
  <c r="Z44" i="3"/>
  <c r="AA44" i="3" s="1"/>
  <c r="Z47" i="3"/>
  <c r="V47" i="8" s="1"/>
  <c r="Z48" i="3"/>
  <c r="AA48" i="3" s="1"/>
  <c r="Z50" i="3"/>
  <c r="AA50" i="3" s="1"/>
  <c r="Z51" i="3"/>
  <c r="V51" i="8" s="1"/>
  <c r="Z52" i="3"/>
  <c r="AA52" i="3" s="1"/>
  <c r="Z55" i="3"/>
  <c r="V55" i="8" s="1"/>
  <c r="Z56" i="3"/>
  <c r="AA56" i="3" s="1"/>
  <c r="Z59" i="3"/>
  <c r="V59" i="8" s="1"/>
  <c r="Z60" i="3"/>
  <c r="AA60" i="3" s="1"/>
  <c r="Z63" i="3"/>
  <c r="V63" i="8" s="1"/>
  <c r="Z64" i="3"/>
  <c r="AA64" i="3" s="1"/>
  <c r="Z66" i="3"/>
  <c r="AA66" i="3" s="1"/>
  <c r="Z67" i="3"/>
  <c r="V67" i="8" s="1"/>
  <c r="Z68" i="3"/>
  <c r="AA68" i="3" s="1"/>
  <c r="Z71" i="3"/>
  <c r="V71" i="8" s="1"/>
  <c r="Z72" i="3"/>
  <c r="AA72" i="3" s="1"/>
  <c r="Z75" i="3"/>
  <c r="V75" i="8" s="1"/>
  <c r="Z76" i="3"/>
  <c r="AA76" i="3" s="1"/>
  <c r="Z79" i="3"/>
  <c r="V79" i="8" s="1"/>
  <c r="Z80" i="3"/>
  <c r="AA80" i="3" s="1"/>
  <c r="Z82" i="3"/>
  <c r="AA82" i="3" s="1"/>
  <c r="Z83" i="3"/>
  <c r="V83" i="8" s="1"/>
  <c r="Z84" i="3"/>
  <c r="AA84" i="3" s="1"/>
  <c r="Z87" i="3"/>
  <c r="V87" i="8" s="1"/>
  <c r="Z88" i="3"/>
  <c r="AA88" i="3" s="1"/>
  <c r="Z91" i="3"/>
  <c r="V91" i="8" s="1"/>
  <c r="Z92" i="3"/>
  <c r="AA92" i="3" s="1"/>
  <c r="Z95" i="3"/>
  <c r="V95" i="8" s="1"/>
  <c r="Z96" i="3"/>
  <c r="AA96" i="3" s="1"/>
  <c r="Z98" i="3"/>
  <c r="AA98" i="3" s="1"/>
  <c r="Z99" i="3"/>
  <c r="V99" i="8" s="1"/>
  <c r="Z100" i="3"/>
  <c r="AA100" i="3" s="1"/>
  <c r="J20" i="8"/>
  <c r="J21" i="8"/>
  <c r="J19" i="8"/>
  <c r="I20" i="8"/>
  <c r="I21" i="8"/>
  <c r="I19" i="8"/>
  <c r="D54" i="8"/>
  <c r="D57" i="8"/>
  <c r="D56" i="8"/>
  <c r="D55" i="8"/>
  <c r="E14" i="8"/>
  <c r="H21" i="8"/>
  <c r="H20" i="8"/>
  <c r="H19" i="8"/>
  <c r="E13" i="8"/>
  <c r="E12" i="8"/>
  <c r="E11" i="8"/>
  <c r="D7" i="8"/>
  <c r="D6" i="8"/>
  <c r="D5" i="8"/>
  <c r="D4" i="8"/>
  <c r="D3" i="8"/>
  <c r="K20" i="8" l="1"/>
  <c r="Z86" i="3"/>
  <c r="V86" i="8" s="1"/>
  <c r="Z70" i="3"/>
  <c r="AA70" i="3" s="1"/>
  <c r="Z54" i="3"/>
  <c r="AA54" i="3" s="1"/>
  <c r="Z38" i="3"/>
  <c r="AA38" i="3" s="1"/>
  <c r="Z22" i="3"/>
  <c r="AA22" i="3" s="1"/>
  <c r="Z6" i="3"/>
  <c r="AA6" i="3" s="1"/>
  <c r="U90" i="8"/>
  <c r="U74" i="8"/>
  <c r="U58" i="8"/>
  <c r="U42" i="8"/>
  <c r="U26" i="8"/>
  <c r="U10" i="8"/>
  <c r="Z94" i="3"/>
  <c r="V94" i="8" s="1"/>
  <c r="Z78" i="3"/>
  <c r="AA78" i="3" s="1"/>
  <c r="Z62" i="3"/>
  <c r="AA62" i="3" s="1"/>
  <c r="Z46" i="3"/>
  <c r="AA46" i="3" s="1"/>
  <c r="Z30" i="3"/>
  <c r="AA30" i="3" s="1"/>
  <c r="Z14" i="3"/>
  <c r="AA14" i="3" s="1"/>
  <c r="AA101" i="3"/>
  <c r="V101" i="8"/>
  <c r="AA97" i="3"/>
  <c r="V97" i="8"/>
  <c r="AA93" i="3"/>
  <c r="V93" i="8"/>
  <c r="AA85" i="3"/>
  <c r="V85" i="8"/>
  <c r="AA81" i="3"/>
  <c r="V81" i="8"/>
  <c r="AA77" i="3"/>
  <c r="V77" i="8"/>
  <c r="AA69" i="3"/>
  <c r="V69" i="8"/>
  <c r="AA65" i="3"/>
  <c r="V65" i="8"/>
  <c r="AA61" i="3"/>
  <c r="V61" i="8"/>
  <c r="AA53" i="3"/>
  <c r="V53" i="8"/>
  <c r="AA49" i="3"/>
  <c r="V49" i="8"/>
  <c r="AA45" i="3"/>
  <c r="V45" i="8"/>
  <c r="AA37" i="3"/>
  <c r="V37" i="8"/>
  <c r="AA33" i="3"/>
  <c r="V33" i="8"/>
  <c r="AA29" i="3"/>
  <c r="V29" i="8"/>
  <c r="AA21" i="3"/>
  <c r="V21" i="8"/>
  <c r="AA17" i="3"/>
  <c r="V17" i="8"/>
  <c r="AA13" i="3"/>
  <c r="V13" i="8"/>
  <c r="AA5" i="3"/>
  <c r="V5" i="8"/>
  <c r="U17" i="8"/>
  <c r="U33" i="8"/>
  <c r="U49" i="8"/>
  <c r="U65" i="8"/>
  <c r="U81" i="8"/>
  <c r="U97" i="8"/>
  <c r="U13" i="8"/>
  <c r="U29" i="8"/>
  <c r="U45" i="8"/>
  <c r="U61" i="8"/>
  <c r="U77" i="8"/>
  <c r="U93" i="8"/>
  <c r="Z89" i="3"/>
  <c r="Z73" i="3"/>
  <c r="Z57" i="3"/>
  <c r="Z41" i="3"/>
  <c r="Z25" i="3"/>
  <c r="Z9" i="3"/>
  <c r="AA95" i="3"/>
  <c r="AA87" i="3"/>
  <c r="AA79" i="3"/>
  <c r="AA63" i="3"/>
  <c r="AA47" i="3"/>
  <c r="AA31" i="3"/>
  <c r="AA15" i="3"/>
  <c r="AA94" i="3"/>
  <c r="AA86" i="3"/>
  <c r="AA75" i="3"/>
  <c r="AA59" i="3"/>
  <c r="AA43" i="3"/>
  <c r="AA27" i="3"/>
  <c r="AA11" i="3"/>
  <c r="V2" i="8"/>
  <c r="V6" i="8"/>
  <c r="V10" i="8"/>
  <c r="V14" i="8"/>
  <c r="V18" i="8"/>
  <c r="V22" i="8"/>
  <c r="V26" i="8"/>
  <c r="V30" i="8"/>
  <c r="V34" i="8"/>
  <c r="V42" i="8"/>
  <c r="V46" i="8"/>
  <c r="V50" i="8"/>
  <c r="V54" i="8"/>
  <c r="V58" i="8"/>
  <c r="V62" i="8"/>
  <c r="V66" i="8"/>
  <c r="V70" i="8"/>
  <c r="V74" i="8"/>
  <c r="V78" i="8"/>
  <c r="V82" i="8"/>
  <c r="V90" i="8"/>
  <c r="V98" i="8"/>
  <c r="AA99" i="3"/>
  <c r="AA91" i="3"/>
  <c r="AA83" i="3"/>
  <c r="AA71" i="3"/>
  <c r="AA55" i="3"/>
  <c r="AA39" i="3"/>
  <c r="AA23" i="3"/>
  <c r="AA7" i="3"/>
  <c r="AA67" i="3"/>
  <c r="AA51" i="3"/>
  <c r="AA35" i="3"/>
  <c r="AA19" i="3"/>
  <c r="AA3" i="3"/>
  <c r="V4" i="8"/>
  <c r="V8" i="8"/>
  <c r="V12" i="8"/>
  <c r="V16" i="8"/>
  <c r="V20" i="8"/>
  <c r="V24" i="8"/>
  <c r="V28" i="8"/>
  <c r="V32" i="8"/>
  <c r="V36" i="8"/>
  <c r="V40" i="8"/>
  <c r="V44" i="8"/>
  <c r="V48" i="8"/>
  <c r="V52" i="8"/>
  <c r="V56" i="8"/>
  <c r="V60" i="8"/>
  <c r="V64" i="8"/>
  <c r="V68" i="8"/>
  <c r="V72" i="8"/>
  <c r="V76" i="8"/>
  <c r="V80" i="8"/>
  <c r="V84" i="8"/>
  <c r="V88" i="8"/>
  <c r="V92" i="8"/>
  <c r="V96" i="8"/>
  <c r="V100" i="8"/>
  <c r="K21" i="8"/>
  <c r="K19" i="8"/>
  <c r="B3" i="4"/>
  <c r="C3" i="4" s="1"/>
  <c r="F3" i="4" s="1"/>
  <c r="B4" i="4"/>
  <c r="C4" i="4" s="1"/>
  <c r="F4" i="4" s="1"/>
  <c r="B5" i="4"/>
  <c r="C5" i="4" s="1"/>
  <c r="F5" i="4" s="1"/>
  <c r="B6" i="4"/>
  <c r="C6" i="4" s="1"/>
  <c r="F6" i="4" s="1"/>
  <c r="B7" i="4"/>
  <c r="C7" i="4" s="1"/>
  <c r="F7" i="4" s="1"/>
  <c r="B8" i="4"/>
  <c r="C8" i="4" s="1"/>
  <c r="F8" i="4" s="1"/>
  <c r="B9" i="4"/>
  <c r="C9" i="4" s="1"/>
  <c r="F9" i="4" s="1"/>
  <c r="B10" i="4"/>
  <c r="C10" i="4" s="1"/>
  <c r="F10" i="4" s="1"/>
  <c r="B11" i="4"/>
  <c r="C11" i="4" s="1"/>
  <c r="F11" i="4" s="1"/>
  <c r="B12" i="4"/>
  <c r="C12" i="4" s="1"/>
  <c r="F12" i="4" s="1"/>
  <c r="B13" i="4"/>
  <c r="C13" i="4" s="1"/>
  <c r="F13" i="4" s="1"/>
  <c r="B14" i="4"/>
  <c r="C14" i="4" s="1"/>
  <c r="F14" i="4" s="1"/>
  <c r="B15" i="4"/>
  <c r="C15" i="4" s="1"/>
  <c r="F15" i="4" s="1"/>
  <c r="B16" i="4"/>
  <c r="C16" i="4" s="1"/>
  <c r="F16" i="4" s="1"/>
  <c r="B17" i="4"/>
  <c r="C17" i="4" s="1"/>
  <c r="F17" i="4" s="1"/>
  <c r="B18" i="4"/>
  <c r="C18" i="4" s="1"/>
  <c r="F18" i="4" s="1"/>
  <c r="B19" i="4"/>
  <c r="C19" i="4" s="1"/>
  <c r="F19" i="4" s="1"/>
  <c r="B20" i="4"/>
  <c r="C20" i="4" s="1"/>
  <c r="F20" i="4" s="1"/>
  <c r="B21" i="4"/>
  <c r="C21" i="4" s="1"/>
  <c r="F21" i="4" s="1"/>
  <c r="B22" i="4"/>
  <c r="C22" i="4" s="1"/>
  <c r="F22" i="4" s="1"/>
  <c r="B23" i="4"/>
  <c r="C23" i="4" s="1"/>
  <c r="F23" i="4" s="1"/>
  <c r="B24" i="4"/>
  <c r="C24" i="4" s="1"/>
  <c r="F24" i="4" s="1"/>
  <c r="B25" i="4"/>
  <c r="C25" i="4" s="1"/>
  <c r="F25" i="4" s="1"/>
  <c r="B26" i="4"/>
  <c r="C26" i="4" s="1"/>
  <c r="F26" i="4" s="1"/>
  <c r="B27" i="4"/>
  <c r="C27" i="4" s="1"/>
  <c r="F27" i="4" s="1"/>
  <c r="B28" i="4"/>
  <c r="C28" i="4" s="1"/>
  <c r="F28" i="4" s="1"/>
  <c r="B29" i="4"/>
  <c r="C29" i="4" s="1"/>
  <c r="F29" i="4" s="1"/>
  <c r="B30" i="4"/>
  <c r="C30" i="4" s="1"/>
  <c r="F30" i="4" s="1"/>
  <c r="B31" i="4"/>
  <c r="C31" i="4" s="1"/>
  <c r="F31" i="4" s="1"/>
  <c r="B32" i="4"/>
  <c r="C32" i="4" s="1"/>
  <c r="F32" i="4" s="1"/>
  <c r="B33" i="4"/>
  <c r="C33" i="4" s="1"/>
  <c r="F33" i="4" s="1"/>
  <c r="B34" i="4"/>
  <c r="C34" i="4" s="1"/>
  <c r="F34" i="4" s="1"/>
  <c r="B35" i="4"/>
  <c r="C35" i="4" s="1"/>
  <c r="F35" i="4" s="1"/>
  <c r="B36" i="4"/>
  <c r="C36" i="4" s="1"/>
  <c r="F36" i="4" s="1"/>
  <c r="B37" i="4"/>
  <c r="C37" i="4" s="1"/>
  <c r="F37" i="4" s="1"/>
  <c r="B38" i="4"/>
  <c r="C38" i="4" s="1"/>
  <c r="F38" i="4" s="1"/>
  <c r="B39" i="4"/>
  <c r="C39" i="4" s="1"/>
  <c r="F39" i="4" s="1"/>
  <c r="B40" i="4"/>
  <c r="C40" i="4" s="1"/>
  <c r="F40" i="4" s="1"/>
  <c r="B41" i="4"/>
  <c r="C41" i="4" s="1"/>
  <c r="F41" i="4" s="1"/>
  <c r="B42" i="4"/>
  <c r="C42" i="4" s="1"/>
  <c r="F42" i="4" s="1"/>
  <c r="B43" i="4"/>
  <c r="C43" i="4" s="1"/>
  <c r="F43" i="4" s="1"/>
  <c r="B44" i="4"/>
  <c r="C44" i="4" s="1"/>
  <c r="F44" i="4" s="1"/>
  <c r="B45" i="4"/>
  <c r="C45" i="4" s="1"/>
  <c r="F45" i="4" s="1"/>
  <c r="B46" i="4"/>
  <c r="C46" i="4" s="1"/>
  <c r="F46" i="4" s="1"/>
  <c r="B47" i="4"/>
  <c r="C47" i="4" s="1"/>
  <c r="F47" i="4" s="1"/>
  <c r="B48" i="4"/>
  <c r="C48" i="4" s="1"/>
  <c r="F48" i="4" s="1"/>
  <c r="B49" i="4"/>
  <c r="C49" i="4" s="1"/>
  <c r="F49" i="4" s="1"/>
  <c r="B50" i="4"/>
  <c r="C50" i="4" s="1"/>
  <c r="F50" i="4" s="1"/>
  <c r="B51" i="4"/>
  <c r="C51" i="4" s="1"/>
  <c r="F51" i="4" s="1"/>
  <c r="B52" i="4"/>
  <c r="C52" i="4" s="1"/>
  <c r="F52" i="4" s="1"/>
  <c r="B53" i="4"/>
  <c r="C53" i="4" s="1"/>
  <c r="F53" i="4" s="1"/>
  <c r="B54" i="4"/>
  <c r="C54" i="4" s="1"/>
  <c r="F54" i="4" s="1"/>
  <c r="B55" i="4"/>
  <c r="C55" i="4" s="1"/>
  <c r="F55" i="4" s="1"/>
  <c r="B56" i="4"/>
  <c r="C56" i="4" s="1"/>
  <c r="F56" i="4" s="1"/>
  <c r="B57" i="4"/>
  <c r="C57" i="4" s="1"/>
  <c r="F57" i="4" s="1"/>
  <c r="B58" i="4"/>
  <c r="C58" i="4" s="1"/>
  <c r="F58" i="4" s="1"/>
  <c r="B59" i="4"/>
  <c r="C59" i="4" s="1"/>
  <c r="F59" i="4" s="1"/>
  <c r="B60" i="4"/>
  <c r="C60" i="4" s="1"/>
  <c r="F60" i="4" s="1"/>
  <c r="B61" i="4"/>
  <c r="C61" i="4" s="1"/>
  <c r="F61" i="4" s="1"/>
  <c r="B62" i="4"/>
  <c r="C62" i="4" s="1"/>
  <c r="F62" i="4" s="1"/>
  <c r="B63" i="4"/>
  <c r="C63" i="4" s="1"/>
  <c r="F63" i="4" s="1"/>
  <c r="B64" i="4"/>
  <c r="C64" i="4" s="1"/>
  <c r="F64" i="4" s="1"/>
  <c r="B65" i="4"/>
  <c r="C65" i="4" s="1"/>
  <c r="F65" i="4" s="1"/>
  <c r="B66" i="4"/>
  <c r="C66" i="4" s="1"/>
  <c r="F66" i="4" s="1"/>
  <c r="B67" i="4"/>
  <c r="C67" i="4" s="1"/>
  <c r="F67" i="4" s="1"/>
  <c r="B68" i="4"/>
  <c r="C68" i="4" s="1"/>
  <c r="F68" i="4" s="1"/>
  <c r="B69" i="4"/>
  <c r="C69" i="4" s="1"/>
  <c r="F69" i="4" s="1"/>
  <c r="B70" i="4"/>
  <c r="C70" i="4" s="1"/>
  <c r="F70" i="4" s="1"/>
  <c r="B71" i="4"/>
  <c r="C71" i="4" s="1"/>
  <c r="F71" i="4" s="1"/>
  <c r="B72" i="4"/>
  <c r="C72" i="4" s="1"/>
  <c r="F72" i="4" s="1"/>
  <c r="B73" i="4"/>
  <c r="C73" i="4" s="1"/>
  <c r="F73" i="4" s="1"/>
  <c r="B74" i="4"/>
  <c r="C74" i="4" s="1"/>
  <c r="F74" i="4" s="1"/>
  <c r="B75" i="4"/>
  <c r="C75" i="4" s="1"/>
  <c r="F75" i="4" s="1"/>
  <c r="B76" i="4"/>
  <c r="C76" i="4" s="1"/>
  <c r="F76" i="4" s="1"/>
  <c r="B77" i="4"/>
  <c r="C77" i="4" s="1"/>
  <c r="F77" i="4" s="1"/>
  <c r="B78" i="4"/>
  <c r="C78" i="4" s="1"/>
  <c r="F78" i="4" s="1"/>
  <c r="B79" i="4"/>
  <c r="C79" i="4" s="1"/>
  <c r="F79" i="4" s="1"/>
  <c r="B80" i="4"/>
  <c r="C80" i="4" s="1"/>
  <c r="F80" i="4" s="1"/>
  <c r="B81" i="4"/>
  <c r="C81" i="4" s="1"/>
  <c r="F81" i="4" s="1"/>
  <c r="B82" i="4"/>
  <c r="C82" i="4" s="1"/>
  <c r="F82" i="4" s="1"/>
  <c r="B83" i="4"/>
  <c r="C83" i="4" s="1"/>
  <c r="F83" i="4" s="1"/>
  <c r="B84" i="4"/>
  <c r="C84" i="4" s="1"/>
  <c r="F84" i="4" s="1"/>
  <c r="B85" i="4"/>
  <c r="C85" i="4" s="1"/>
  <c r="F85" i="4" s="1"/>
  <c r="B86" i="4"/>
  <c r="C86" i="4" s="1"/>
  <c r="F86" i="4" s="1"/>
  <c r="B87" i="4"/>
  <c r="C87" i="4" s="1"/>
  <c r="F87" i="4" s="1"/>
  <c r="B88" i="4"/>
  <c r="C88" i="4" s="1"/>
  <c r="F88" i="4" s="1"/>
  <c r="B89" i="4"/>
  <c r="C89" i="4" s="1"/>
  <c r="F89" i="4" s="1"/>
  <c r="B90" i="4"/>
  <c r="C90" i="4" s="1"/>
  <c r="F90" i="4" s="1"/>
  <c r="B91" i="4"/>
  <c r="C91" i="4" s="1"/>
  <c r="F91" i="4" s="1"/>
  <c r="B92" i="4"/>
  <c r="C92" i="4" s="1"/>
  <c r="F92" i="4" s="1"/>
  <c r="B93" i="4"/>
  <c r="C93" i="4" s="1"/>
  <c r="F93" i="4" s="1"/>
  <c r="B94" i="4"/>
  <c r="C94" i="4" s="1"/>
  <c r="F94" i="4" s="1"/>
  <c r="B95" i="4"/>
  <c r="C95" i="4" s="1"/>
  <c r="F95" i="4" s="1"/>
  <c r="B96" i="4"/>
  <c r="C96" i="4" s="1"/>
  <c r="F96" i="4" s="1"/>
  <c r="B97" i="4"/>
  <c r="C97" i="4" s="1"/>
  <c r="F97" i="4" s="1"/>
  <c r="B98" i="4"/>
  <c r="C98" i="4" s="1"/>
  <c r="F98" i="4" s="1"/>
  <c r="B99" i="4"/>
  <c r="C99" i="4" s="1"/>
  <c r="F99" i="4" s="1"/>
  <c r="B100" i="4"/>
  <c r="C100" i="4" s="1"/>
  <c r="F100" i="4" s="1"/>
  <c r="B101" i="4"/>
  <c r="C101" i="4" s="1"/>
  <c r="F101" i="4" s="1"/>
  <c r="B2" i="4"/>
  <c r="C2" i="4" s="1"/>
  <c r="T38" i="6" a="1"/>
  <c r="T38" i="6" s="1"/>
  <c r="T39" i="6" a="1"/>
  <c r="T39" i="6"/>
  <c r="T40" i="6" a="1"/>
  <c r="T40" i="6" s="1"/>
  <c r="T41" i="6" a="1"/>
  <c r="T41" i="6" s="1"/>
  <c r="T37" i="6" a="1"/>
  <c r="T37" i="6" s="1"/>
  <c r="T25" i="6" a="1"/>
  <c r="T25" i="6" s="1"/>
  <c r="T26" i="6" a="1"/>
  <c r="T26" i="6" s="1"/>
  <c r="T27" i="6" a="1"/>
  <c r="T27" i="6" s="1"/>
  <c r="T28" i="6" a="1"/>
  <c r="T28" i="6" s="1"/>
  <c r="T29" i="6" a="1"/>
  <c r="T29" i="6" s="1"/>
  <c r="T30" i="6" a="1"/>
  <c r="T30" i="6" s="1"/>
  <c r="T31" i="6" a="1"/>
  <c r="T31" i="6" s="1"/>
  <c r="T32" i="6" a="1"/>
  <c r="T32" i="6" s="1"/>
  <c r="T33" i="6" a="1"/>
  <c r="T33" i="6" s="1"/>
  <c r="T24" i="6" a="1"/>
  <c r="T24" i="6" s="1"/>
  <c r="L10" i="6"/>
  <c r="M11" i="6"/>
  <c r="M12" i="6"/>
  <c r="M13" i="6"/>
  <c r="M14" i="6"/>
  <c r="M15" i="6"/>
  <c r="M16" i="6"/>
  <c r="M17" i="6"/>
  <c r="M18" i="6"/>
  <c r="M19" i="6"/>
  <c r="M20" i="6"/>
  <c r="M21" i="6"/>
  <c r="M22" i="6"/>
  <c r="M23" i="6"/>
  <c r="M24" i="6"/>
  <c r="M25" i="6"/>
  <c r="M26" i="6"/>
  <c r="M27" i="6"/>
  <c r="M28" i="6"/>
  <c r="M29" i="6"/>
  <c r="M30" i="6"/>
  <c r="M31" i="6"/>
  <c r="M32" i="6"/>
  <c r="M33" i="6"/>
  <c r="M34" i="6"/>
  <c r="M35" i="6"/>
  <c r="M36" i="6"/>
  <c r="M37" i="6"/>
  <c r="M38" i="6"/>
  <c r="M39" i="6"/>
  <c r="M40" i="6"/>
  <c r="M41" i="6"/>
  <c r="M42" i="6"/>
  <c r="M43" i="6"/>
  <c r="M44" i="6"/>
  <c r="M45" i="6"/>
  <c r="M46" i="6"/>
  <c r="M47" i="6"/>
  <c r="M48" i="6"/>
  <c r="M49" i="6"/>
  <c r="M50" i="6"/>
  <c r="M51" i="6"/>
  <c r="M52" i="6"/>
  <c r="M53" i="6"/>
  <c r="M54" i="6"/>
  <c r="M55" i="6"/>
  <c r="M56" i="6"/>
  <c r="M57" i="6"/>
  <c r="M58" i="6"/>
  <c r="M59" i="6"/>
  <c r="M60" i="6"/>
  <c r="M61" i="6"/>
  <c r="M62" i="6"/>
  <c r="M63" i="6"/>
  <c r="M64" i="6"/>
  <c r="M65" i="6"/>
  <c r="M66" i="6"/>
  <c r="M67" i="6"/>
  <c r="M68" i="6"/>
  <c r="M69" i="6"/>
  <c r="M70" i="6"/>
  <c r="M71" i="6"/>
  <c r="M72" i="6"/>
  <c r="M73" i="6"/>
  <c r="M74" i="6"/>
  <c r="M75" i="6"/>
  <c r="M76" i="6"/>
  <c r="M77" i="6"/>
  <c r="M78" i="6"/>
  <c r="M79" i="6"/>
  <c r="M80" i="6"/>
  <c r="M81" i="6"/>
  <c r="M82" i="6"/>
  <c r="M83" i="6"/>
  <c r="M84" i="6"/>
  <c r="M85" i="6"/>
  <c r="M86" i="6"/>
  <c r="M87" i="6"/>
  <c r="M88" i="6"/>
  <c r="M89" i="6"/>
  <c r="M90" i="6"/>
  <c r="M91" i="6"/>
  <c r="M92" i="6"/>
  <c r="M93" i="6"/>
  <c r="M94" i="6"/>
  <c r="M95" i="6"/>
  <c r="M96" i="6"/>
  <c r="M97" i="6"/>
  <c r="M98" i="6"/>
  <c r="M99" i="6"/>
  <c r="M100" i="6"/>
  <c r="M101" i="6"/>
  <c r="M102" i="6"/>
  <c r="M103" i="6"/>
  <c r="M104" i="6"/>
  <c r="M105" i="6"/>
  <c r="M106" i="6"/>
  <c r="M107" i="6"/>
  <c r="M108" i="6"/>
  <c r="M109" i="6"/>
  <c r="M10" i="6"/>
  <c r="U3" i="6" s="1"/>
  <c r="L11" i="6"/>
  <c r="L12" i="6"/>
  <c r="L13" i="6"/>
  <c r="L14" i="6"/>
  <c r="L15" i="6"/>
  <c r="L16" i="6"/>
  <c r="L17" i="6"/>
  <c r="L18" i="6"/>
  <c r="L19" i="6"/>
  <c r="L20" i="6"/>
  <c r="L21" i="6"/>
  <c r="L22" i="6"/>
  <c r="L23" i="6"/>
  <c r="L24" i="6"/>
  <c r="L25" i="6"/>
  <c r="L26" i="6"/>
  <c r="L27" i="6"/>
  <c r="L28" i="6"/>
  <c r="L29" i="6"/>
  <c r="L30" i="6"/>
  <c r="L31" i="6"/>
  <c r="L32" i="6"/>
  <c r="L33" i="6"/>
  <c r="L34" i="6"/>
  <c r="L35" i="6"/>
  <c r="L36" i="6"/>
  <c r="L37" i="6"/>
  <c r="L38" i="6"/>
  <c r="L39" i="6"/>
  <c r="L40" i="6"/>
  <c r="L41" i="6"/>
  <c r="L42" i="6"/>
  <c r="L43" i="6"/>
  <c r="L44" i="6"/>
  <c r="L45" i="6"/>
  <c r="L46" i="6"/>
  <c r="L47" i="6"/>
  <c r="L48" i="6"/>
  <c r="L49" i="6"/>
  <c r="L50" i="6"/>
  <c r="L51" i="6"/>
  <c r="L52" i="6"/>
  <c r="L53" i="6"/>
  <c r="L54" i="6"/>
  <c r="L55" i="6"/>
  <c r="L56" i="6"/>
  <c r="L57" i="6"/>
  <c r="L58" i="6"/>
  <c r="L59" i="6"/>
  <c r="L60" i="6"/>
  <c r="L61" i="6"/>
  <c r="L62" i="6"/>
  <c r="L63" i="6"/>
  <c r="L64" i="6"/>
  <c r="L65" i="6"/>
  <c r="L66" i="6"/>
  <c r="L67" i="6"/>
  <c r="L68" i="6"/>
  <c r="L69" i="6"/>
  <c r="L70" i="6"/>
  <c r="L71" i="6"/>
  <c r="L72" i="6"/>
  <c r="L73" i="6"/>
  <c r="L74" i="6"/>
  <c r="L75" i="6"/>
  <c r="L76" i="6"/>
  <c r="L77" i="6"/>
  <c r="L78" i="6"/>
  <c r="L79" i="6"/>
  <c r="L80" i="6"/>
  <c r="L81" i="6"/>
  <c r="L82" i="6"/>
  <c r="L83" i="6"/>
  <c r="L84" i="6"/>
  <c r="L85" i="6"/>
  <c r="L86" i="6"/>
  <c r="L87" i="6"/>
  <c r="L88" i="6"/>
  <c r="L89" i="6"/>
  <c r="L90" i="6"/>
  <c r="L91" i="6"/>
  <c r="L92" i="6"/>
  <c r="L93" i="6"/>
  <c r="L94" i="6"/>
  <c r="L95" i="6"/>
  <c r="L96" i="6"/>
  <c r="L97" i="6"/>
  <c r="L98" i="6"/>
  <c r="L99" i="6"/>
  <c r="L100" i="6"/>
  <c r="L101" i="6"/>
  <c r="L102" i="6"/>
  <c r="L103" i="6"/>
  <c r="L104" i="6"/>
  <c r="L105" i="6"/>
  <c r="L106" i="6"/>
  <c r="L107" i="6"/>
  <c r="L108" i="6"/>
  <c r="L109" i="6"/>
  <c r="C7" i="5" a="1"/>
  <c r="C7" i="5" s="1"/>
  <c r="H34" i="5" s="1"/>
  <c r="B7" i="5" a="1"/>
  <c r="B7" i="5" s="1"/>
  <c r="G31" i="5" s="1"/>
  <c r="A7" i="5" a="1"/>
  <c r="A7" i="5" s="1"/>
  <c r="F33" i="5" s="1"/>
  <c r="V38" i="8" l="1"/>
  <c r="AA9" i="3"/>
  <c r="V9" i="8"/>
  <c r="AA73" i="3"/>
  <c r="V73" i="8"/>
  <c r="AA25" i="3"/>
  <c r="V25" i="8"/>
  <c r="AA89" i="3"/>
  <c r="V89" i="8"/>
  <c r="AA41" i="3"/>
  <c r="V41" i="8"/>
  <c r="AA57" i="3"/>
  <c r="V57" i="8"/>
  <c r="F2" i="4"/>
  <c r="R10" i="4" s="1" a="1"/>
  <c r="E50" i="4"/>
  <c r="E34" i="4"/>
  <c r="E97" i="4"/>
  <c r="E89" i="4"/>
  <c r="E81" i="4"/>
  <c r="E101" i="4"/>
  <c r="E93" i="4"/>
  <c r="E85" i="4"/>
  <c r="E77" i="4"/>
  <c r="E69" i="4"/>
  <c r="E61" i="4"/>
  <c r="E53" i="4"/>
  <c r="E45" i="4"/>
  <c r="E37" i="4"/>
  <c r="E29" i="4"/>
  <c r="E21" i="4"/>
  <c r="E13" i="4"/>
  <c r="E5" i="4"/>
  <c r="E2" i="4"/>
  <c r="E94" i="4"/>
  <c r="E86" i="4"/>
  <c r="E78" i="4"/>
  <c r="E70" i="4"/>
  <c r="E62" i="4"/>
  <c r="E54" i="4"/>
  <c r="E46" i="4"/>
  <c r="E38" i="4"/>
  <c r="E30" i="4"/>
  <c r="E22" i="4"/>
  <c r="E14" i="4"/>
  <c r="E6" i="4"/>
  <c r="E96" i="4"/>
  <c r="E88" i="4"/>
  <c r="E80" i="4"/>
  <c r="E72" i="4"/>
  <c r="E64" i="4"/>
  <c r="E60" i="4"/>
  <c r="E52" i="4"/>
  <c r="E44" i="4"/>
  <c r="E36" i="4"/>
  <c r="E28" i="4"/>
  <c r="E20" i="4"/>
  <c r="E12" i="4"/>
  <c r="E4" i="4"/>
  <c r="E99" i="4"/>
  <c r="E91" i="4"/>
  <c r="E79" i="4"/>
  <c r="E71" i="4"/>
  <c r="E63" i="4"/>
  <c r="E55" i="4"/>
  <c r="E47" i="4"/>
  <c r="E39" i="4"/>
  <c r="E31" i="4"/>
  <c r="E23" i="4"/>
  <c r="E15" i="4"/>
  <c r="E7" i="4"/>
  <c r="E98" i="4"/>
  <c r="E90" i="4"/>
  <c r="E82" i="4"/>
  <c r="E74" i="4"/>
  <c r="E66" i="4"/>
  <c r="E58" i="4"/>
  <c r="E42" i="4"/>
  <c r="E26" i="4"/>
  <c r="E18" i="4"/>
  <c r="E10" i="4"/>
  <c r="E100" i="4"/>
  <c r="E92" i="4"/>
  <c r="E84" i="4"/>
  <c r="E76" i="4"/>
  <c r="E68" i="4"/>
  <c r="E56" i="4"/>
  <c r="E48" i="4"/>
  <c r="E40" i="4"/>
  <c r="E32" i="4"/>
  <c r="E24" i="4"/>
  <c r="E16" i="4"/>
  <c r="E8" i="4"/>
  <c r="E95" i="4"/>
  <c r="E87" i="4"/>
  <c r="E83" i="4"/>
  <c r="E75" i="4"/>
  <c r="E67" i="4"/>
  <c r="E59" i="4"/>
  <c r="E51" i="4"/>
  <c r="E43" i="4"/>
  <c r="E35" i="4"/>
  <c r="E27" i="4"/>
  <c r="E19" i="4"/>
  <c r="E11" i="4"/>
  <c r="E3" i="4"/>
  <c r="E73" i="4"/>
  <c r="E65" i="4"/>
  <c r="E57" i="4"/>
  <c r="E49" i="4"/>
  <c r="E41" i="4"/>
  <c r="E33" i="4"/>
  <c r="E25" i="4"/>
  <c r="E17" i="4"/>
  <c r="E9" i="4"/>
  <c r="U2" i="6"/>
  <c r="U4" i="6" s="1"/>
  <c r="T3" i="6"/>
  <c r="T4" i="6" s="1"/>
  <c r="N67" i="6" s="1"/>
  <c r="T2" i="6"/>
  <c r="H33" i="5"/>
  <c r="F27" i="5"/>
  <c r="F34" i="5"/>
  <c r="F26" i="5"/>
  <c r="F32" i="5"/>
  <c r="F31" i="5"/>
  <c r="G34" i="5"/>
  <c r="G26" i="5"/>
  <c r="H32" i="5"/>
  <c r="G33" i="5"/>
  <c r="H27" i="5"/>
  <c r="H31" i="5"/>
  <c r="G32" i="5"/>
  <c r="H26" i="5"/>
  <c r="G27" i="5"/>
  <c r="R10" i="4" l="1"/>
  <c r="X13" i="4"/>
  <c r="X17" i="4"/>
  <c r="X21" i="4"/>
  <c r="X25" i="4"/>
  <c r="X29" i="4"/>
  <c r="X33" i="4"/>
  <c r="X37" i="4"/>
  <c r="X41" i="4"/>
  <c r="X45" i="4"/>
  <c r="X49" i="4"/>
  <c r="X53" i="4"/>
  <c r="X57" i="4"/>
  <c r="W12" i="4"/>
  <c r="W16" i="4"/>
  <c r="W20" i="4"/>
  <c r="W24" i="4"/>
  <c r="W28" i="4"/>
  <c r="W32" i="4"/>
  <c r="W36" i="4"/>
  <c r="W40" i="4"/>
  <c r="W44" i="4"/>
  <c r="W48" i="4"/>
  <c r="W52" i="4"/>
  <c r="W56" i="4"/>
  <c r="V11" i="4"/>
  <c r="V15" i="4"/>
  <c r="V19" i="4"/>
  <c r="V23" i="4"/>
  <c r="V27" i="4"/>
  <c r="V31" i="4"/>
  <c r="V35" i="4"/>
  <c r="V39" i="4"/>
  <c r="V43" i="4"/>
  <c r="V47" i="4"/>
  <c r="V51" i="4"/>
  <c r="V55" i="4"/>
  <c r="V59" i="4"/>
  <c r="U13" i="4"/>
  <c r="U17" i="4"/>
  <c r="U21" i="4"/>
  <c r="U25" i="4"/>
  <c r="U29" i="4"/>
  <c r="U33" i="4"/>
  <c r="U37" i="4"/>
  <c r="U41" i="4"/>
  <c r="U45" i="4"/>
  <c r="U49" i="4"/>
  <c r="U53" i="4"/>
  <c r="U57" i="4"/>
  <c r="T14" i="4"/>
  <c r="T18" i="4"/>
  <c r="T22" i="4"/>
  <c r="T26" i="4"/>
  <c r="T30" i="4"/>
  <c r="T34" i="4"/>
  <c r="T38" i="4"/>
  <c r="T42" i="4"/>
  <c r="T46" i="4"/>
  <c r="T50" i="4"/>
  <c r="T54" i="4"/>
  <c r="T58" i="4"/>
  <c r="S13" i="4"/>
  <c r="S17" i="4"/>
  <c r="S21" i="4"/>
  <c r="S25" i="4"/>
  <c r="S29" i="4"/>
  <c r="S33" i="4"/>
  <c r="S37" i="4"/>
  <c r="S41" i="4"/>
  <c r="S45" i="4"/>
  <c r="S49" i="4"/>
  <c r="S53" i="4"/>
  <c r="S57" i="4"/>
  <c r="X11" i="4"/>
  <c r="X15" i="4"/>
  <c r="X19" i="4"/>
  <c r="X14" i="4"/>
  <c r="X18" i="4"/>
  <c r="X22" i="4"/>
  <c r="X26" i="4"/>
  <c r="X30" i="4"/>
  <c r="X34" i="4"/>
  <c r="X38" i="4"/>
  <c r="X42" i="4"/>
  <c r="X46" i="4"/>
  <c r="X50" i="4"/>
  <c r="X54" i="4"/>
  <c r="X58" i="4"/>
  <c r="W13" i="4"/>
  <c r="W17" i="4"/>
  <c r="W21" i="4"/>
  <c r="W25" i="4"/>
  <c r="W29" i="4"/>
  <c r="W33" i="4"/>
  <c r="W37" i="4"/>
  <c r="W41" i="4"/>
  <c r="W45" i="4"/>
  <c r="W49" i="4"/>
  <c r="W53" i="4"/>
  <c r="W57" i="4"/>
  <c r="V12" i="4"/>
  <c r="V16" i="4"/>
  <c r="V20" i="4"/>
  <c r="V24" i="4"/>
  <c r="V28" i="4"/>
  <c r="V32" i="4"/>
  <c r="V36" i="4"/>
  <c r="V40" i="4"/>
  <c r="V44" i="4"/>
  <c r="V48" i="4"/>
  <c r="V52" i="4"/>
  <c r="V56" i="4"/>
  <c r="U14" i="4"/>
  <c r="U18" i="4"/>
  <c r="U22" i="4"/>
  <c r="U26" i="4"/>
  <c r="U30" i="4"/>
  <c r="U34" i="4"/>
  <c r="U38" i="4"/>
  <c r="U42" i="4"/>
  <c r="U46" i="4"/>
  <c r="U50" i="4"/>
  <c r="U54" i="4"/>
  <c r="U58" i="4"/>
  <c r="T11" i="4"/>
  <c r="T15" i="4"/>
  <c r="T19" i="4"/>
  <c r="T23" i="4"/>
  <c r="T27" i="4"/>
  <c r="T31" i="4"/>
  <c r="T35" i="4"/>
  <c r="T39" i="4"/>
  <c r="T43" i="4"/>
  <c r="T47" i="4"/>
  <c r="T51" i="4"/>
  <c r="T55" i="4"/>
  <c r="T59" i="4"/>
  <c r="S14" i="4"/>
  <c r="S18" i="4"/>
  <c r="S22" i="4"/>
  <c r="S26" i="4"/>
  <c r="S30" i="4"/>
  <c r="S34" i="4"/>
  <c r="S38" i="4"/>
  <c r="S42" i="4"/>
  <c r="S46" i="4"/>
  <c r="S50" i="4"/>
  <c r="S54" i="4"/>
  <c r="S58" i="4"/>
  <c r="X23" i="4"/>
  <c r="X31" i="4"/>
  <c r="X39" i="4"/>
  <c r="X47" i="4"/>
  <c r="X55" i="4"/>
  <c r="W14" i="4"/>
  <c r="W22" i="4"/>
  <c r="W30" i="4"/>
  <c r="W38" i="4"/>
  <c r="W46" i="4"/>
  <c r="W54" i="4"/>
  <c r="V13" i="4"/>
  <c r="V21" i="4"/>
  <c r="V29" i="4"/>
  <c r="V37" i="4"/>
  <c r="V45" i="4"/>
  <c r="V53" i="4"/>
  <c r="U11" i="4"/>
  <c r="U19" i="4"/>
  <c r="U27" i="4"/>
  <c r="U35" i="4"/>
  <c r="U43" i="4"/>
  <c r="U51" i="4"/>
  <c r="U59" i="4"/>
  <c r="T16" i="4"/>
  <c r="T24" i="4"/>
  <c r="T32" i="4"/>
  <c r="T40" i="4"/>
  <c r="T48" i="4"/>
  <c r="T56" i="4"/>
  <c r="S15" i="4"/>
  <c r="S23" i="4"/>
  <c r="S31" i="4"/>
  <c r="S39" i="4"/>
  <c r="S47" i="4"/>
  <c r="S55" i="4"/>
  <c r="V17" i="4"/>
  <c r="V25" i="4"/>
  <c r="V33" i="4"/>
  <c r="V41" i="4"/>
  <c r="V49" i="4"/>
  <c r="V57" i="4"/>
  <c r="U15" i="4"/>
  <c r="U23" i="4"/>
  <c r="U31" i="4"/>
  <c r="U39" i="4"/>
  <c r="U47" i="4"/>
  <c r="U55" i="4"/>
  <c r="T12" i="4"/>
  <c r="T28" i="4"/>
  <c r="T44" i="4"/>
  <c r="S11" i="4"/>
  <c r="S27" i="4"/>
  <c r="S43" i="4"/>
  <c r="S59" i="4"/>
  <c r="X20" i="4"/>
  <c r="X44" i="4"/>
  <c r="X52" i="4"/>
  <c r="W19" i="4"/>
  <c r="W35" i="4"/>
  <c r="W51" i="4"/>
  <c r="W59" i="4"/>
  <c r="V18" i="4"/>
  <c r="V26" i="4"/>
  <c r="V34" i="4"/>
  <c r="V42" i="4"/>
  <c r="V50" i="4"/>
  <c r="V58" i="4"/>
  <c r="U16" i="4"/>
  <c r="U24" i="4"/>
  <c r="U40" i="4"/>
  <c r="U56" i="4"/>
  <c r="T21" i="4"/>
  <c r="T37" i="4"/>
  <c r="T53" i="4"/>
  <c r="S20" i="4"/>
  <c r="S36" i="4"/>
  <c r="S52" i="4"/>
  <c r="X12" i="4"/>
  <c r="X24" i="4"/>
  <c r="X32" i="4"/>
  <c r="X40" i="4"/>
  <c r="X48" i="4"/>
  <c r="X56" i="4"/>
  <c r="W15" i="4"/>
  <c r="W23" i="4"/>
  <c r="W31" i="4"/>
  <c r="W39" i="4"/>
  <c r="W47" i="4"/>
  <c r="W55" i="4"/>
  <c r="V14" i="4"/>
  <c r="V22" i="4"/>
  <c r="V30" i="4"/>
  <c r="V38" i="4"/>
  <c r="V46" i="4"/>
  <c r="V54" i="4"/>
  <c r="U12" i="4"/>
  <c r="U20" i="4"/>
  <c r="U28" i="4"/>
  <c r="U36" i="4"/>
  <c r="U44" i="4"/>
  <c r="U52" i="4"/>
  <c r="T17" i="4"/>
  <c r="T25" i="4"/>
  <c r="T33" i="4"/>
  <c r="T41" i="4"/>
  <c r="T49" i="4"/>
  <c r="T57" i="4"/>
  <c r="S16" i="4"/>
  <c r="S24" i="4"/>
  <c r="S32" i="4"/>
  <c r="S40" i="4"/>
  <c r="S48" i="4"/>
  <c r="S56" i="4"/>
  <c r="X16" i="4"/>
  <c r="X27" i="4"/>
  <c r="X35" i="4"/>
  <c r="X43" i="4"/>
  <c r="X51" i="4"/>
  <c r="X59" i="4"/>
  <c r="W18" i="4"/>
  <c r="W26" i="4"/>
  <c r="W34" i="4"/>
  <c r="W42" i="4"/>
  <c r="W50" i="4"/>
  <c r="W58" i="4"/>
  <c r="T20" i="4"/>
  <c r="T36" i="4"/>
  <c r="T52" i="4"/>
  <c r="S19" i="4"/>
  <c r="S35" i="4"/>
  <c r="S51" i="4"/>
  <c r="X28" i="4"/>
  <c r="X36" i="4"/>
  <c r="W11" i="4"/>
  <c r="W27" i="4"/>
  <c r="W43" i="4"/>
  <c r="U32" i="4"/>
  <c r="U48" i="4"/>
  <c r="T13" i="4"/>
  <c r="T29" i="4"/>
  <c r="T45" i="4"/>
  <c r="S12" i="4"/>
  <c r="S28" i="4"/>
  <c r="S44" i="4"/>
  <c r="H10" i="4" a="1"/>
  <c r="O55" i="6"/>
  <c r="O27" i="6"/>
  <c r="O39" i="6"/>
  <c r="O96" i="6"/>
  <c r="O80" i="6"/>
  <c r="O64" i="6"/>
  <c r="O48" i="6"/>
  <c r="O32" i="6"/>
  <c r="O16" i="6"/>
  <c r="O103" i="6"/>
  <c r="O99" i="6"/>
  <c r="O79" i="6"/>
  <c r="O11" i="6"/>
  <c r="O108" i="6"/>
  <c r="O92" i="6"/>
  <c r="O76" i="6"/>
  <c r="O60" i="6"/>
  <c r="O44" i="6"/>
  <c r="O28" i="6"/>
  <c r="O12" i="6"/>
  <c r="O83" i="6"/>
  <c r="O87" i="6"/>
  <c r="O19" i="6"/>
  <c r="N51" i="6"/>
  <c r="N63" i="6"/>
  <c r="N40" i="6"/>
  <c r="N44" i="6"/>
  <c r="N48" i="6"/>
  <c r="P48" i="6" s="1"/>
  <c r="N52" i="6"/>
  <c r="N56" i="6"/>
  <c r="N60" i="6"/>
  <c r="N64" i="6"/>
  <c r="P64" i="6" s="1"/>
  <c r="N76" i="6"/>
  <c r="N92" i="6"/>
  <c r="P92" i="6" s="1"/>
  <c r="N108" i="6"/>
  <c r="N18" i="6"/>
  <c r="N26" i="6"/>
  <c r="N34" i="6"/>
  <c r="N42" i="6"/>
  <c r="N50" i="6"/>
  <c r="N58" i="6"/>
  <c r="N66" i="6"/>
  <c r="N72" i="6"/>
  <c r="N77" i="6"/>
  <c r="N82" i="6"/>
  <c r="N88" i="6"/>
  <c r="P88" i="6" s="1"/>
  <c r="N93" i="6"/>
  <c r="N109" i="6"/>
  <c r="N68" i="6"/>
  <c r="N84" i="6"/>
  <c r="N100" i="6"/>
  <c r="N10" i="6"/>
  <c r="P10" i="6" s="1"/>
  <c r="N98" i="6"/>
  <c r="N80" i="6"/>
  <c r="P80" i="6" s="1"/>
  <c r="N96" i="6"/>
  <c r="P96" i="6" s="1"/>
  <c r="N104" i="6"/>
  <c r="O71" i="6"/>
  <c r="N31" i="6"/>
  <c r="N95" i="6"/>
  <c r="O67" i="6"/>
  <c r="P67" i="6" s="1"/>
  <c r="N39" i="6"/>
  <c r="P39" i="6" s="1"/>
  <c r="N99" i="6"/>
  <c r="P99" i="6" s="1"/>
  <c r="O24" i="6"/>
  <c r="O40" i="6"/>
  <c r="O56" i="6"/>
  <c r="O72" i="6"/>
  <c r="O88" i="6"/>
  <c r="O104" i="6"/>
  <c r="N20" i="6"/>
  <c r="N36" i="6"/>
  <c r="O63" i="6"/>
  <c r="N23" i="6"/>
  <c r="N87" i="6"/>
  <c r="P87" i="6" s="1"/>
  <c r="O35" i="6"/>
  <c r="O91" i="6"/>
  <c r="N55" i="6"/>
  <c r="P55" i="6" s="1"/>
  <c r="N107" i="6"/>
  <c r="N105" i="6"/>
  <c r="O25" i="6"/>
  <c r="O41" i="6"/>
  <c r="O57" i="6"/>
  <c r="O73" i="6"/>
  <c r="O89" i="6"/>
  <c r="O105" i="6"/>
  <c r="N21" i="6"/>
  <c r="N45" i="6"/>
  <c r="N61" i="6"/>
  <c r="N81" i="6"/>
  <c r="O18" i="6"/>
  <c r="O50" i="6"/>
  <c r="O82" i="6"/>
  <c r="N38" i="6"/>
  <c r="P38" i="6" s="1"/>
  <c r="N70" i="6"/>
  <c r="N90" i="6"/>
  <c r="N24" i="6"/>
  <c r="P24" i="6" s="1"/>
  <c r="N43" i="6"/>
  <c r="O10" i="6"/>
  <c r="O14" i="6"/>
  <c r="O22" i="6"/>
  <c r="O30" i="6"/>
  <c r="O38" i="6"/>
  <c r="O46" i="6"/>
  <c r="O54" i="6"/>
  <c r="O78" i="6"/>
  <c r="O86" i="6"/>
  <c r="O94" i="6"/>
  <c r="O102" i="6"/>
  <c r="O62" i="6"/>
  <c r="O70" i="6"/>
  <c r="O43" i="6"/>
  <c r="N11" i="6"/>
  <c r="P11" i="6" s="1"/>
  <c r="N71" i="6"/>
  <c r="P71" i="6" s="1"/>
  <c r="N25" i="6"/>
  <c r="P25" i="6" s="1"/>
  <c r="O13" i="6"/>
  <c r="O29" i="6"/>
  <c r="O45" i="6"/>
  <c r="O61" i="6"/>
  <c r="O77" i="6"/>
  <c r="O93" i="6"/>
  <c r="O109" i="6"/>
  <c r="N33" i="6"/>
  <c r="N49" i="6"/>
  <c r="P49" i="6" s="1"/>
  <c r="N65" i="6"/>
  <c r="P65" i="6" s="1"/>
  <c r="N85" i="6"/>
  <c r="O26" i="6"/>
  <c r="O58" i="6"/>
  <c r="O90" i="6"/>
  <c r="N14" i="6"/>
  <c r="P14" i="6" s="1"/>
  <c r="N46" i="6"/>
  <c r="N74" i="6"/>
  <c r="N94" i="6"/>
  <c r="P94" i="6" s="1"/>
  <c r="N47" i="6"/>
  <c r="N12" i="6"/>
  <c r="P12" i="6" s="1"/>
  <c r="N28" i="6"/>
  <c r="P28" i="6" s="1"/>
  <c r="O31" i="6"/>
  <c r="O95" i="6"/>
  <c r="N59" i="6"/>
  <c r="O15" i="6"/>
  <c r="O59" i="6"/>
  <c r="N27" i="6"/>
  <c r="P27" i="6" s="1"/>
  <c r="N91" i="6"/>
  <c r="P91" i="6" s="1"/>
  <c r="N97" i="6"/>
  <c r="O17" i="6"/>
  <c r="O33" i="6"/>
  <c r="O49" i="6"/>
  <c r="O65" i="6"/>
  <c r="O81" i="6"/>
  <c r="O97" i="6"/>
  <c r="N13" i="6"/>
  <c r="N37" i="6"/>
  <c r="N53" i="6"/>
  <c r="P53" i="6" s="1"/>
  <c r="N69" i="6"/>
  <c r="P69" i="6" s="1"/>
  <c r="N89" i="6"/>
  <c r="P89" i="6" s="1"/>
  <c r="O34" i="6"/>
  <c r="O66" i="6"/>
  <c r="O98" i="6"/>
  <c r="N22" i="6"/>
  <c r="P22" i="6" s="1"/>
  <c r="N54" i="6"/>
  <c r="P54" i="6" s="1"/>
  <c r="N78" i="6"/>
  <c r="P78" i="6" s="1"/>
  <c r="N102" i="6"/>
  <c r="P102" i="6" s="1"/>
  <c r="N15" i="6"/>
  <c r="N79" i="6"/>
  <c r="P79" i="6" s="1"/>
  <c r="O51" i="6"/>
  <c r="N19" i="6"/>
  <c r="P19" i="6" s="1"/>
  <c r="N83" i="6"/>
  <c r="P83" i="6" s="1"/>
  <c r="O20" i="6"/>
  <c r="O36" i="6"/>
  <c r="O52" i="6"/>
  <c r="O68" i="6"/>
  <c r="O84" i="6"/>
  <c r="O100" i="6"/>
  <c r="N16" i="6"/>
  <c r="P16" i="6" s="1"/>
  <c r="N32" i="6"/>
  <c r="P32" i="6" s="1"/>
  <c r="O47" i="6"/>
  <c r="O107" i="6"/>
  <c r="N75" i="6"/>
  <c r="P75" i="6" s="1"/>
  <c r="O23" i="6"/>
  <c r="O75" i="6"/>
  <c r="N35" i="6"/>
  <c r="P35" i="6" s="1"/>
  <c r="N103" i="6"/>
  <c r="P103" i="6" s="1"/>
  <c r="N29" i="6"/>
  <c r="O21" i="6"/>
  <c r="O37" i="6"/>
  <c r="O53" i="6"/>
  <c r="O69" i="6"/>
  <c r="O85" i="6"/>
  <c r="O101" i="6"/>
  <c r="N17" i="6"/>
  <c r="N41" i="6"/>
  <c r="P41" i="6" s="1"/>
  <c r="N57" i="6"/>
  <c r="P57" i="6" s="1"/>
  <c r="N73" i="6"/>
  <c r="P73" i="6" s="1"/>
  <c r="N101" i="6"/>
  <c r="O42" i="6"/>
  <c r="O74" i="6"/>
  <c r="O106" i="6"/>
  <c r="N30" i="6"/>
  <c r="P30" i="6" s="1"/>
  <c r="N62" i="6"/>
  <c r="P62" i="6" s="1"/>
  <c r="N86" i="6"/>
  <c r="P86" i="6" s="1"/>
  <c r="N106" i="6"/>
  <c r="F28" i="5"/>
  <c r="F29" i="5" s="1"/>
  <c r="G28" i="5"/>
  <c r="G30" i="5" s="1"/>
  <c r="H28" i="5"/>
  <c r="H29" i="5" s="1"/>
  <c r="X10" i="4" l="1"/>
  <c r="S4" i="4" s="1"/>
  <c r="T10" i="4"/>
  <c r="V3" i="4" s="1" a="1"/>
  <c r="V3" i="4" s="1"/>
  <c r="S5" i="4"/>
  <c r="W10" i="4"/>
  <c r="S7" i="4" s="1"/>
  <c r="V10" i="4"/>
  <c r="S6" i="4" s="1"/>
  <c r="U10" i="4"/>
  <c r="U4" i="4" s="1" a="1"/>
  <c r="S10" i="4"/>
  <c r="N14" i="4"/>
  <c r="N18" i="4"/>
  <c r="N22" i="4"/>
  <c r="N26" i="4"/>
  <c r="N30" i="4"/>
  <c r="N34" i="4"/>
  <c r="N38" i="4"/>
  <c r="N42" i="4"/>
  <c r="N46" i="4"/>
  <c r="N50" i="4"/>
  <c r="N54" i="4"/>
  <c r="N58" i="4"/>
  <c r="N62" i="4"/>
  <c r="N66" i="4"/>
  <c r="N70" i="4"/>
  <c r="N74" i="4"/>
  <c r="N78" i="4"/>
  <c r="N82" i="4"/>
  <c r="N12" i="4"/>
  <c r="N20" i="4"/>
  <c r="N28" i="4"/>
  <c r="N40" i="4"/>
  <c r="N48" i="4"/>
  <c r="N60" i="4"/>
  <c r="N68" i="4"/>
  <c r="N80" i="4"/>
  <c r="N11" i="4"/>
  <c r="N15" i="4"/>
  <c r="N19" i="4"/>
  <c r="N23" i="4"/>
  <c r="N27" i="4"/>
  <c r="N31" i="4"/>
  <c r="N35" i="4"/>
  <c r="N39" i="4"/>
  <c r="N43" i="4"/>
  <c r="N47" i="4"/>
  <c r="N51" i="4"/>
  <c r="N55" i="4"/>
  <c r="N59" i="4"/>
  <c r="N63" i="4"/>
  <c r="N67" i="4"/>
  <c r="N71" i="4"/>
  <c r="N75" i="4"/>
  <c r="N79" i="4"/>
  <c r="N83" i="4"/>
  <c r="N32" i="4"/>
  <c r="N44" i="4"/>
  <c r="N52" i="4"/>
  <c r="N64" i="4"/>
  <c r="N76" i="4"/>
  <c r="N16" i="4"/>
  <c r="N24" i="4"/>
  <c r="N36" i="4"/>
  <c r="N56" i="4"/>
  <c r="N72" i="4"/>
  <c r="N17" i="4"/>
  <c r="N33" i="4"/>
  <c r="N49" i="4"/>
  <c r="N81" i="4"/>
  <c r="N69" i="4"/>
  <c r="N53" i="4"/>
  <c r="N25" i="4"/>
  <c r="N41" i="4"/>
  <c r="N57" i="4"/>
  <c r="N73" i="4"/>
  <c r="N13" i="4"/>
  <c r="N29" i="4"/>
  <c r="N45" i="4"/>
  <c r="N61" i="4"/>
  <c r="N77" i="4"/>
  <c r="N65" i="4"/>
  <c r="N21" i="4"/>
  <c r="N37" i="4"/>
  <c r="H10" i="4"/>
  <c r="M11" i="4"/>
  <c r="K13" i="4"/>
  <c r="L14" i="4"/>
  <c r="M15" i="4"/>
  <c r="K17" i="4"/>
  <c r="L18" i="4"/>
  <c r="M19" i="4"/>
  <c r="K21" i="4"/>
  <c r="L22" i="4"/>
  <c r="M23" i="4"/>
  <c r="K25" i="4"/>
  <c r="L26" i="4"/>
  <c r="M27" i="4"/>
  <c r="K29" i="4"/>
  <c r="L30" i="4"/>
  <c r="M31" i="4"/>
  <c r="K33" i="4"/>
  <c r="L34" i="4"/>
  <c r="M35" i="4"/>
  <c r="K37" i="4"/>
  <c r="L38" i="4"/>
  <c r="M39" i="4"/>
  <c r="K41" i="4"/>
  <c r="L42" i="4"/>
  <c r="M43" i="4"/>
  <c r="K45" i="4"/>
  <c r="L46" i="4"/>
  <c r="M47" i="4"/>
  <c r="K49" i="4"/>
  <c r="L50" i="4"/>
  <c r="M51" i="4"/>
  <c r="K53" i="4"/>
  <c r="L54" i="4"/>
  <c r="M55" i="4"/>
  <c r="K57" i="4"/>
  <c r="L58" i="4"/>
  <c r="M59" i="4"/>
  <c r="K61" i="4"/>
  <c r="L62" i="4"/>
  <c r="M63" i="4"/>
  <c r="K65" i="4"/>
  <c r="L66" i="4"/>
  <c r="M67" i="4"/>
  <c r="K69" i="4"/>
  <c r="L70" i="4"/>
  <c r="M71" i="4"/>
  <c r="K73" i="4"/>
  <c r="L74" i="4"/>
  <c r="M75" i="4"/>
  <c r="K77" i="4"/>
  <c r="L78" i="4"/>
  <c r="M79" i="4"/>
  <c r="K81" i="4"/>
  <c r="L82" i="4"/>
  <c r="M83" i="4"/>
  <c r="J14" i="4"/>
  <c r="J18" i="4"/>
  <c r="J22" i="4"/>
  <c r="J26" i="4"/>
  <c r="J30" i="4"/>
  <c r="J34" i="4"/>
  <c r="J38" i="4"/>
  <c r="J42" i="4"/>
  <c r="J46" i="4"/>
  <c r="J50" i="4"/>
  <c r="J54" i="4"/>
  <c r="J58" i="4"/>
  <c r="J62" i="4"/>
  <c r="J66" i="4"/>
  <c r="J70" i="4"/>
  <c r="J74" i="4"/>
  <c r="J78" i="4"/>
  <c r="J82" i="4"/>
  <c r="I12" i="4" a="1"/>
  <c r="I12" i="4" s="1"/>
  <c r="I17" i="4" a="1"/>
  <c r="I17" i="4" s="1"/>
  <c r="K12" i="4"/>
  <c r="L13" i="4"/>
  <c r="M14" i="4"/>
  <c r="K16" i="4"/>
  <c r="L17" i="4"/>
  <c r="M18" i="4"/>
  <c r="K20" i="4"/>
  <c r="L21" i="4"/>
  <c r="M22" i="4"/>
  <c r="K24" i="4"/>
  <c r="L25" i="4"/>
  <c r="M26" i="4"/>
  <c r="K28" i="4"/>
  <c r="L29" i="4"/>
  <c r="M30" i="4"/>
  <c r="K32" i="4"/>
  <c r="L33" i="4"/>
  <c r="M34" i="4"/>
  <c r="K36" i="4"/>
  <c r="L37" i="4"/>
  <c r="M38" i="4"/>
  <c r="K40" i="4"/>
  <c r="L41" i="4"/>
  <c r="M42" i="4"/>
  <c r="K44" i="4"/>
  <c r="L45" i="4"/>
  <c r="M46" i="4"/>
  <c r="K48" i="4"/>
  <c r="L49" i="4"/>
  <c r="M50" i="4"/>
  <c r="K52" i="4"/>
  <c r="L53" i="4"/>
  <c r="M54" i="4"/>
  <c r="K56" i="4"/>
  <c r="L57" i="4"/>
  <c r="M58" i="4"/>
  <c r="K60" i="4"/>
  <c r="L61" i="4"/>
  <c r="M62" i="4"/>
  <c r="K64" i="4"/>
  <c r="L65" i="4"/>
  <c r="M66" i="4"/>
  <c r="K68" i="4"/>
  <c r="L69" i="4"/>
  <c r="M70" i="4"/>
  <c r="K72" i="4"/>
  <c r="L73" i="4"/>
  <c r="M74" i="4"/>
  <c r="K76" i="4"/>
  <c r="L77" i="4"/>
  <c r="M78" i="4"/>
  <c r="K80" i="4"/>
  <c r="L81" i="4"/>
  <c r="M82" i="4"/>
  <c r="J11" i="4"/>
  <c r="J15" i="4"/>
  <c r="J19" i="4"/>
  <c r="J23" i="4"/>
  <c r="J27" i="4"/>
  <c r="J31" i="4"/>
  <c r="J35" i="4"/>
  <c r="J39" i="4"/>
  <c r="J43" i="4"/>
  <c r="J47" i="4"/>
  <c r="J51" i="4"/>
  <c r="J55" i="4"/>
  <c r="J59" i="4"/>
  <c r="J63" i="4"/>
  <c r="J67" i="4"/>
  <c r="J71" i="4"/>
  <c r="J75" i="4"/>
  <c r="J79" i="4"/>
  <c r="J83" i="4"/>
  <c r="I15" i="4" a="1"/>
  <c r="I15" i="4" s="1"/>
  <c r="I18" i="4" a="1"/>
  <c r="I18" i="4" s="1"/>
  <c r="I23" i="4" a="1"/>
  <c r="I23" i="4" s="1"/>
  <c r="I26" i="4" a="1"/>
  <c r="I26" i="4" s="1"/>
  <c r="I31" i="4" a="1"/>
  <c r="I31" i="4" s="1"/>
  <c r="I34" i="4" a="1"/>
  <c r="I34" i="4" s="1"/>
  <c r="I39" i="4" a="1"/>
  <c r="I39" i="4" s="1"/>
  <c r="K11" i="4"/>
  <c r="L12" i="4"/>
  <c r="M13" i="4"/>
  <c r="K15" i="4"/>
  <c r="L16" i="4"/>
  <c r="M17" i="4"/>
  <c r="K19" i="4"/>
  <c r="L20" i="4"/>
  <c r="M21" i="4"/>
  <c r="K23" i="4"/>
  <c r="L24" i="4"/>
  <c r="M25" i="4"/>
  <c r="K27" i="4"/>
  <c r="L28" i="4"/>
  <c r="M29" i="4"/>
  <c r="K31" i="4"/>
  <c r="L32" i="4"/>
  <c r="M33" i="4"/>
  <c r="K35" i="4"/>
  <c r="L36" i="4"/>
  <c r="M37" i="4"/>
  <c r="K39" i="4"/>
  <c r="L40" i="4"/>
  <c r="M41" i="4"/>
  <c r="K43" i="4"/>
  <c r="L44" i="4"/>
  <c r="M45" i="4"/>
  <c r="K47" i="4"/>
  <c r="L48" i="4"/>
  <c r="M49" i="4"/>
  <c r="K51" i="4"/>
  <c r="L52" i="4"/>
  <c r="M53" i="4"/>
  <c r="K55" i="4"/>
  <c r="L56" i="4"/>
  <c r="M57" i="4"/>
  <c r="K59" i="4"/>
  <c r="L60" i="4"/>
  <c r="M61" i="4"/>
  <c r="K63" i="4"/>
  <c r="L64" i="4"/>
  <c r="M65" i="4"/>
  <c r="K67" i="4"/>
  <c r="L68" i="4"/>
  <c r="M69" i="4"/>
  <c r="K71" i="4"/>
  <c r="L72" i="4"/>
  <c r="M73" i="4"/>
  <c r="K75" i="4"/>
  <c r="L76" i="4"/>
  <c r="M77" i="4"/>
  <c r="K79" i="4"/>
  <c r="L80" i="4"/>
  <c r="M81" i="4"/>
  <c r="K83" i="4"/>
  <c r="J12" i="4"/>
  <c r="J16" i="4"/>
  <c r="J20" i="4"/>
  <c r="J24" i="4"/>
  <c r="J28" i="4"/>
  <c r="J32" i="4"/>
  <c r="J36" i="4"/>
  <c r="J40" i="4"/>
  <c r="J44" i="4"/>
  <c r="J48" i="4"/>
  <c r="J52" i="4"/>
  <c r="J56" i="4"/>
  <c r="J60" i="4"/>
  <c r="J64" i="4"/>
  <c r="J68" i="4"/>
  <c r="J72" i="4"/>
  <c r="J76" i="4"/>
  <c r="J80" i="4"/>
  <c r="I13" i="4" a="1"/>
  <c r="I13" i="4" s="1"/>
  <c r="I16" i="4" a="1"/>
  <c r="I16" i="4" s="1"/>
  <c r="I21" i="4" a="1"/>
  <c r="I21" i="4" s="1"/>
  <c r="K14" i="4"/>
  <c r="L19" i="4"/>
  <c r="M24" i="4"/>
  <c r="K30" i="4"/>
  <c r="L35" i="4"/>
  <c r="M40" i="4"/>
  <c r="K46" i="4"/>
  <c r="L51" i="4"/>
  <c r="M56" i="4"/>
  <c r="K62" i="4"/>
  <c r="L67" i="4"/>
  <c r="M72" i="4"/>
  <c r="K78" i="4"/>
  <c r="L83" i="4"/>
  <c r="J21" i="4"/>
  <c r="J37" i="4"/>
  <c r="J53" i="4"/>
  <c r="J69" i="4"/>
  <c r="I11" i="4" a="1"/>
  <c r="I11" i="4" s="1"/>
  <c r="I20" i="4" a="1"/>
  <c r="I20" i="4" s="1"/>
  <c r="I28" i="4" a="1"/>
  <c r="I28" i="4" s="1"/>
  <c r="I32" i="4" a="1"/>
  <c r="I32" i="4" s="1"/>
  <c r="I35" i="4" a="1"/>
  <c r="I35" i="4" s="1"/>
  <c r="I42" i="4" a="1"/>
  <c r="I42" i="4" s="1"/>
  <c r="I47" i="4" a="1"/>
  <c r="I47" i="4" s="1"/>
  <c r="I50" i="4" a="1"/>
  <c r="I50" i="4" s="1"/>
  <c r="I55" i="4" a="1"/>
  <c r="I55" i="4" s="1"/>
  <c r="I58" i="4" a="1"/>
  <c r="I58" i="4" s="1"/>
  <c r="I63" i="4" a="1"/>
  <c r="I63" i="4" s="1"/>
  <c r="I66" i="4" a="1"/>
  <c r="I66" i="4" s="1"/>
  <c r="I71" i="4" a="1"/>
  <c r="I71" i="4" s="1"/>
  <c r="I74" i="4" a="1"/>
  <c r="I74" i="4" s="1"/>
  <c r="I79" i="4" a="1"/>
  <c r="I79" i="4" s="1"/>
  <c r="I82" i="4" a="1"/>
  <c r="I82" i="4" s="1"/>
  <c r="K18" i="4"/>
  <c r="M28" i="4"/>
  <c r="M44" i="4"/>
  <c r="L55" i="4"/>
  <c r="K66" i="4"/>
  <c r="M76" i="4"/>
  <c r="K82" i="4"/>
  <c r="J33" i="4"/>
  <c r="J65" i="4"/>
  <c r="I19" i="4" a="1"/>
  <c r="I19" i="4" s="1"/>
  <c r="I27" i="4" a="1"/>
  <c r="I27" i="4" s="1"/>
  <c r="I41" i="4" a="1"/>
  <c r="I41" i="4" s="1"/>
  <c r="I49" i="4" a="1"/>
  <c r="I49" i="4" s="1"/>
  <c r="I57" i="4" a="1"/>
  <c r="I57" i="4" s="1"/>
  <c r="I68" i="4" a="1"/>
  <c r="I68" i="4" s="1"/>
  <c r="I73" i="4" a="1"/>
  <c r="I73" i="4" s="1"/>
  <c r="I81" i="4" a="1"/>
  <c r="I81" i="4" s="1"/>
  <c r="L15" i="4"/>
  <c r="M20" i="4"/>
  <c r="K26" i="4"/>
  <c r="L31" i="4"/>
  <c r="M36" i="4"/>
  <c r="K42" i="4"/>
  <c r="L47" i="4"/>
  <c r="M52" i="4"/>
  <c r="K58" i="4"/>
  <c r="L63" i="4"/>
  <c r="M68" i="4"/>
  <c r="K74" i="4"/>
  <c r="L79" i="4"/>
  <c r="J25" i="4"/>
  <c r="J41" i="4"/>
  <c r="J57" i="4"/>
  <c r="J73" i="4"/>
  <c r="I14" i="4" a="1"/>
  <c r="I14" i="4" s="1"/>
  <c r="I22" i="4" a="1"/>
  <c r="I22" i="4" s="1"/>
  <c r="I25" i="4" a="1"/>
  <c r="I25" i="4" s="1"/>
  <c r="I29" i="4" a="1"/>
  <c r="I29" i="4" s="1"/>
  <c r="I36" i="4" a="1"/>
  <c r="I36" i="4" s="1"/>
  <c r="I40" i="4" a="1"/>
  <c r="I40" i="4" s="1"/>
  <c r="I45" i="4" a="1"/>
  <c r="I45" i="4" s="1"/>
  <c r="I48" i="4" a="1"/>
  <c r="I48" i="4" s="1"/>
  <c r="I53" i="4" a="1"/>
  <c r="I53" i="4" s="1"/>
  <c r="I56" i="4" a="1"/>
  <c r="I56" i="4" s="1"/>
  <c r="I61" i="4" a="1"/>
  <c r="I61" i="4" s="1"/>
  <c r="I64" i="4" a="1"/>
  <c r="I64" i="4" s="1"/>
  <c r="I69" i="4" a="1"/>
  <c r="I69" i="4" s="1"/>
  <c r="I72" i="4" a="1"/>
  <c r="I72" i="4" s="1"/>
  <c r="I77" i="4" a="1"/>
  <c r="I77" i="4" s="1"/>
  <c r="I80" i="4" a="1"/>
  <c r="I80" i="4" s="1"/>
  <c r="M12" i="4"/>
  <c r="L23" i="4"/>
  <c r="L39" i="4"/>
  <c r="K50" i="4"/>
  <c r="M60" i="4"/>
  <c r="L71" i="4"/>
  <c r="J17" i="4"/>
  <c r="J49" i="4"/>
  <c r="J81" i="4"/>
  <c r="I24" i="4" a="1"/>
  <c r="I24" i="4" s="1"/>
  <c r="I38" i="4" a="1"/>
  <c r="I38" i="4" s="1"/>
  <c r="I44" i="4" a="1"/>
  <c r="I44" i="4" s="1"/>
  <c r="I52" i="4" a="1"/>
  <c r="I52" i="4" s="1"/>
  <c r="I60" i="4" a="1"/>
  <c r="I60" i="4" s="1"/>
  <c r="I65" i="4" a="1"/>
  <c r="I65" i="4" s="1"/>
  <c r="I76" i="4" a="1"/>
  <c r="I76" i="4" s="1"/>
  <c r="L11" i="4"/>
  <c r="M16" i="4"/>
  <c r="K22" i="4"/>
  <c r="L27" i="4"/>
  <c r="M32" i="4"/>
  <c r="K38" i="4"/>
  <c r="L43" i="4"/>
  <c r="M48" i="4"/>
  <c r="K54" i="4"/>
  <c r="L59" i="4"/>
  <c r="M64" i="4"/>
  <c r="K70" i="4"/>
  <c r="L75" i="4"/>
  <c r="M80" i="4"/>
  <c r="J13" i="4"/>
  <c r="J29" i="4"/>
  <c r="J45" i="4"/>
  <c r="J61" i="4"/>
  <c r="J77" i="4"/>
  <c r="I30" i="4" a="1"/>
  <c r="I30" i="4" s="1"/>
  <c r="I33" i="4" a="1"/>
  <c r="I33" i="4" s="1"/>
  <c r="I37" i="4" a="1"/>
  <c r="I37" i="4" s="1"/>
  <c r="I43" i="4" a="1"/>
  <c r="I43" i="4" s="1"/>
  <c r="I46" i="4" a="1"/>
  <c r="I46" i="4" s="1"/>
  <c r="I51" i="4" a="1"/>
  <c r="I51" i="4" s="1"/>
  <c r="I54" i="4" a="1"/>
  <c r="I54" i="4" s="1"/>
  <c r="I59" i="4" a="1"/>
  <c r="I59" i="4" s="1"/>
  <c r="I62" i="4" a="1"/>
  <c r="I62" i="4" s="1"/>
  <c r="I67" i="4" a="1"/>
  <c r="I67" i="4" s="1"/>
  <c r="I70" i="4" a="1"/>
  <c r="I70" i="4" s="1"/>
  <c r="I75" i="4" a="1"/>
  <c r="I75" i="4" s="1"/>
  <c r="I78" i="4" a="1"/>
  <c r="I78" i="4" s="1"/>
  <c r="I83" i="4" a="1"/>
  <c r="I83" i="4" s="1"/>
  <c r="K34" i="4"/>
  <c r="T53" i="6" a="1"/>
  <c r="T53" i="6" s="1"/>
  <c r="P61" i="6"/>
  <c r="P95" i="6"/>
  <c r="P100" i="6"/>
  <c r="P93" i="6"/>
  <c r="P72" i="6"/>
  <c r="P42" i="6"/>
  <c r="P108" i="6"/>
  <c r="P60" i="6"/>
  <c r="P44" i="6"/>
  <c r="P106" i="6"/>
  <c r="P37" i="6"/>
  <c r="P97" i="6"/>
  <c r="P74" i="6"/>
  <c r="P90" i="6"/>
  <c r="P45" i="6"/>
  <c r="P105" i="6"/>
  <c r="P36" i="6"/>
  <c r="P31" i="6"/>
  <c r="P84" i="6"/>
  <c r="P66" i="6"/>
  <c r="P34" i="6"/>
  <c r="P56" i="6"/>
  <c r="P40" i="6"/>
  <c r="P29" i="6"/>
  <c r="P15" i="6"/>
  <c r="P13" i="6"/>
  <c r="P59" i="6"/>
  <c r="P46" i="6"/>
  <c r="P33" i="6"/>
  <c r="P70" i="6"/>
  <c r="P21" i="6"/>
  <c r="P107" i="6"/>
  <c r="P20" i="6"/>
  <c r="P98" i="6"/>
  <c r="P68" i="6"/>
  <c r="P82" i="6"/>
  <c r="P58" i="6"/>
  <c r="P26" i="6"/>
  <c r="P76" i="6"/>
  <c r="P52" i="6"/>
  <c r="P63" i="6"/>
  <c r="P101" i="6"/>
  <c r="P17" i="6"/>
  <c r="P47" i="6"/>
  <c r="P85" i="6"/>
  <c r="P43" i="6"/>
  <c r="P81" i="6"/>
  <c r="P23" i="6"/>
  <c r="P104" i="6"/>
  <c r="P109" i="6"/>
  <c r="S53" i="6" s="1" a="1"/>
  <c r="S53" i="6" s="1"/>
  <c r="P77" i="6"/>
  <c r="P50" i="6"/>
  <c r="P18" i="6"/>
  <c r="R17" i="6" s="1" a="1"/>
  <c r="P51" i="6"/>
  <c r="G29" i="5"/>
  <c r="F30" i="5"/>
  <c r="H30" i="5"/>
  <c r="U4" i="4" l="1"/>
  <c r="X5" i="4"/>
  <c r="V6" i="4"/>
  <c r="X6" i="4"/>
  <c r="Y5" i="4"/>
  <c r="W6" i="4"/>
  <c r="Y6" i="4"/>
  <c r="V5" i="4"/>
  <c r="W5" i="4"/>
  <c r="N10" i="4"/>
  <c r="I4" i="4" s="1"/>
  <c r="I5" i="4"/>
  <c r="J10" i="4"/>
  <c r="M10" i="4"/>
  <c r="I6" i="4" s="1"/>
  <c r="L10" i="4"/>
  <c r="I10" i="4" a="1"/>
  <c r="I10" i="4" s="1"/>
  <c r="K10" i="4"/>
  <c r="R17" i="6"/>
  <c r="T18" i="6"/>
  <c r="S21" i="6"/>
  <c r="T19" i="6"/>
  <c r="S18" i="6"/>
  <c r="T21" i="6"/>
  <c r="S20" i="6"/>
  <c r="S19" i="6"/>
  <c r="T20" i="6"/>
  <c r="R53" i="6" a="1"/>
  <c r="R53" i="6" s="1"/>
  <c r="Z5" i="4" l="1"/>
  <c r="Z6" i="4"/>
  <c r="Y4" i="4"/>
  <c r="Y7" i="4" s="1"/>
  <c r="X4" i="4"/>
  <c r="X7" i="4" s="1"/>
  <c r="V4" i="4"/>
  <c r="W4" i="4"/>
  <c r="W7" i="4" s="1"/>
  <c r="L3" i="4" a="1"/>
  <c r="M4" i="4" s="1"/>
  <c r="L6" i="4" a="1"/>
  <c r="L6" i="4" s="1"/>
  <c r="L7" i="4" s="1"/>
  <c r="T17" i="6"/>
  <c r="S17" i="6"/>
  <c r="Z4" i="4" l="1"/>
  <c r="Z7" i="4" s="1"/>
  <c r="V7" i="4"/>
  <c r="M7" i="4"/>
  <c r="N7" i="4"/>
  <c r="L3" i="4"/>
  <c r="L4" i="4" s="1"/>
  <c r="P4" i="4"/>
  <c r="N4" i="4"/>
  <c r="O4" i="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tc={D0923FA8-6A07-4B5B-8D63-DD1F806563B9}</author>
    <author>tc={22082149-721C-4135-8116-7B93093438F5}</author>
    <author>tc={BC7728C4-0E18-4EA5-9824-F42FA6C227FA}</author>
  </authors>
  <commentList>
    <comment ref="B1" authorId="0" shapeId="0" xr:uid="{D0923FA8-6A07-4B5B-8D63-DD1F806563B9}">
      <text>
        <t>[Threaded comment]
Your version of Excel allows you to read this threaded comment; however, any edits to it will get removed if the file is opened in a newer version of Excel. Learn more: https://go.microsoft.com/fwlink/?linkid=870924
Comment:
    Assuming Original data refers to previous quarter sales record</t>
      </text>
    </comment>
    <comment ref="C1" authorId="1" shapeId="0" xr:uid="{22082149-721C-4135-8116-7B93093438F5}">
      <text>
        <t>[Threaded comment]
Your version of Excel allows you to read this threaded comment; however, any edits to it will get removed if the file is opened in a newer version of Excel. Learn more: https://go.microsoft.com/fwlink/?linkid=870924
Comment:
    Reorder Point = Sales Velocity * (Order Processing +Shipping Time)</t>
      </text>
    </comment>
    <comment ref="D1" authorId="2" shapeId="0" xr:uid="{BC7728C4-0E18-4EA5-9824-F42FA6C227FA}">
      <text>
        <t>[Threaded comment]
Your version of Excel allows you to read this threaded comment; however, any edits to it will get removed if the file is opened in a newer version of Excel. Learn more: https://go.microsoft.com/fwlink/?linkid=870924
Comment:
    Availability+Stock Level (at store end)</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<sst xmlns="http://schemas.openxmlformats.org/spreadsheetml/2006/main" count="3027" uniqueCount="241">
  <si>
    <t>Product type</t>
  </si>
  <si>
    <t>SKU</t>
  </si>
  <si>
    <t>Price</t>
  </si>
  <si>
    <t>Availability</t>
  </si>
  <si>
    <t>Number of products sold</t>
  </si>
  <si>
    <t>Revenue generated</t>
  </si>
  <si>
    <t>Customer demographics</t>
  </si>
  <si>
    <t>Stock levels</t>
  </si>
  <si>
    <t>Lead times</t>
  </si>
  <si>
    <t>Order quantities</t>
  </si>
  <si>
    <t>Shipping times</t>
  </si>
  <si>
    <t>Shipping carriers</t>
  </si>
  <si>
    <t>Shipping costs</t>
  </si>
  <si>
    <t>Supplier name</t>
  </si>
  <si>
    <t>Location</t>
  </si>
  <si>
    <t>Lead time</t>
  </si>
  <si>
    <t>Production volumes</t>
  </si>
  <si>
    <t>Manufacturing lead time</t>
  </si>
  <si>
    <t>Manufacturing costs</t>
  </si>
  <si>
    <t>Inspection results</t>
  </si>
  <si>
    <t>Defect rates</t>
  </si>
  <si>
    <t>Transportation modes</t>
  </si>
  <si>
    <t>Routes</t>
  </si>
  <si>
    <t>Costs</t>
  </si>
  <si>
    <t>haircare</t>
  </si>
  <si>
    <t>SKU0</t>
  </si>
  <si>
    <t>Non-binary</t>
  </si>
  <si>
    <t>Carrier B</t>
  </si>
  <si>
    <t>Supplier 3</t>
  </si>
  <si>
    <t>Mumbai</t>
  </si>
  <si>
    <t>Pending</t>
  </si>
  <si>
    <t>Road</t>
  </si>
  <si>
    <t>Route B</t>
  </si>
  <si>
    <t>skincare</t>
  </si>
  <si>
    <t>SKU1</t>
  </si>
  <si>
    <t>Female</t>
  </si>
  <si>
    <t>Carrier A</t>
  </si>
  <si>
    <t>SKU2</t>
  </si>
  <si>
    <t>Unknown</t>
  </si>
  <si>
    <t>Supplier 1</t>
  </si>
  <si>
    <t>Air</t>
  </si>
  <si>
    <t>Route C</t>
  </si>
  <si>
    <t>SKU3</t>
  </si>
  <si>
    <t>Carrier C</t>
  </si>
  <si>
    <t>Supplier 5</t>
  </si>
  <si>
    <t>Kolkata</t>
  </si>
  <si>
    <t>Fail</t>
  </si>
  <si>
    <t>Rail</t>
  </si>
  <si>
    <t>Route A</t>
  </si>
  <si>
    <t>SKU4</t>
  </si>
  <si>
    <t>Delhi</t>
  </si>
  <si>
    <t>SKU5</t>
  </si>
  <si>
    <t>Supplier 4</t>
  </si>
  <si>
    <t>Bangalore</t>
  </si>
  <si>
    <t>SKU6</t>
  </si>
  <si>
    <t>Male</t>
  </si>
  <si>
    <t>Sea</t>
  </si>
  <si>
    <t>cosmetics</t>
  </si>
  <si>
    <t>SKU7</t>
  </si>
  <si>
    <t>SKU8</t>
  </si>
  <si>
    <t>SKU9</t>
  </si>
  <si>
    <t>Supplier 2</t>
  </si>
  <si>
    <t>Chennai</t>
  </si>
  <si>
    <t>SKU10</t>
  </si>
  <si>
    <t>Pass</t>
  </si>
  <si>
    <t>SKU11</t>
  </si>
  <si>
    <t>SKU12</t>
  </si>
  <si>
    <t>SKU13</t>
  </si>
  <si>
    <t>SKU14</t>
  </si>
  <si>
    <t>SKU15</t>
  </si>
  <si>
    <t>SKU16</t>
  </si>
  <si>
    <t>SKU17</t>
  </si>
  <si>
    <t>SKU18</t>
  </si>
  <si>
    <t>SKU19</t>
  </si>
  <si>
    <t>SKU20</t>
  </si>
  <si>
    <t>SKU21</t>
  </si>
  <si>
    <t>SKU22</t>
  </si>
  <si>
    <t>SKU23</t>
  </si>
  <si>
    <t>SKU24</t>
  </si>
  <si>
    <t>SKU25</t>
  </si>
  <si>
    <t>SKU26</t>
  </si>
  <si>
    <t>SKU27</t>
  </si>
  <si>
    <t>SKU28</t>
  </si>
  <si>
    <t>SKU29</t>
  </si>
  <si>
    <t>SKU30</t>
  </si>
  <si>
    <t>SKU31</t>
  </si>
  <si>
    <t>SKU32</t>
  </si>
  <si>
    <t>SKU33</t>
  </si>
  <si>
    <t>SKU34</t>
  </si>
  <si>
    <t>SKU35</t>
  </si>
  <si>
    <t>SKU36</t>
  </si>
  <si>
    <t>SKU37</t>
  </si>
  <si>
    <t>SKU38</t>
  </si>
  <si>
    <t>SKU39</t>
  </si>
  <si>
    <t>SKU40</t>
  </si>
  <si>
    <t>SKU41</t>
  </si>
  <si>
    <t>SKU42</t>
  </si>
  <si>
    <t>SKU43</t>
  </si>
  <si>
    <t>SKU44</t>
  </si>
  <si>
    <t>SKU45</t>
  </si>
  <si>
    <t>SKU46</t>
  </si>
  <si>
    <t>SKU47</t>
  </si>
  <si>
    <t>SKU48</t>
  </si>
  <si>
    <t>SKU49</t>
  </si>
  <si>
    <t>SKU50</t>
  </si>
  <si>
    <t>SKU51</t>
  </si>
  <si>
    <t>SKU52</t>
  </si>
  <si>
    <t>SKU53</t>
  </si>
  <si>
    <t>SKU54</t>
  </si>
  <si>
    <t>SKU55</t>
  </si>
  <si>
    <t>SKU56</t>
  </si>
  <si>
    <t>SKU57</t>
  </si>
  <si>
    <t>SKU58</t>
  </si>
  <si>
    <t>SKU59</t>
  </si>
  <si>
    <t>SKU60</t>
  </si>
  <si>
    <t>SKU61</t>
  </si>
  <si>
    <t>SKU62</t>
  </si>
  <si>
    <t>SKU63</t>
  </si>
  <si>
    <t>SKU64</t>
  </si>
  <si>
    <t>SKU65</t>
  </si>
  <si>
    <t>SKU66</t>
  </si>
  <si>
    <t>SKU67</t>
  </si>
  <si>
    <t>SKU68</t>
  </si>
  <si>
    <t>SKU69</t>
  </si>
  <si>
    <t>SKU70</t>
  </si>
  <si>
    <t>SKU71</t>
  </si>
  <si>
    <t>SKU72</t>
  </si>
  <si>
    <t>SKU73</t>
  </si>
  <si>
    <t>SKU74</t>
  </si>
  <si>
    <t>SKU75</t>
  </si>
  <si>
    <t>SKU76</t>
  </si>
  <si>
    <t>SKU77</t>
  </si>
  <si>
    <t>SKU78</t>
  </si>
  <si>
    <t>SKU79</t>
  </si>
  <si>
    <t>SKU80</t>
  </si>
  <si>
    <t>SKU81</t>
  </si>
  <si>
    <t>SKU82</t>
  </si>
  <si>
    <t>SKU83</t>
  </si>
  <si>
    <t>SKU84</t>
  </si>
  <si>
    <t>SKU85</t>
  </si>
  <si>
    <t>SKU86</t>
  </si>
  <si>
    <t>SKU87</t>
  </si>
  <si>
    <t>SKU88</t>
  </si>
  <si>
    <t>SKU89</t>
  </si>
  <si>
    <t>SKU90</t>
  </si>
  <si>
    <t>SKU91</t>
  </si>
  <si>
    <t>SKU92</t>
  </si>
  <si>
    <t>SKU93</t>
  </si>
  <si>
    <t>SKU94</t>
  </si>
  <si>
    <t>SKU95</t>
  </si>
  <si>
    <t>SKU96</t>
  </si>
  <si>
    <t>SKU97</t>
  </si>
  <si>
    <t>SKU98</t>
  </si>
  <si>
    <t>SKU99</t>
  </si>
  <si>
    <t>Product Type</t>
  </si>
  <si>
    <t>Haircare</t>
  </si>
  <si>
    <t>Skincare</t>
  </si>
  <si>
    <t>Cosmetics</t>
  </si>
  <si>
    <t>Lead Time</t>
  </si>
  <si>
    <t>Customer Demographics</t>
  </si>
  <si>
    <t>Non-Binary</t>
  </si>
  <si>
    <t>Shipping Carriers</t>
  </si>
  <si>
    <t>Supplier Name</t>
  </si>
  <si>
    <t>Inspection Results</t>
  </si>
  <si>
    <t>Transportation Modes</t>
  </si>
  <si>
    <t>Number Of Products Sold</t>
  </si>
  <si>
    <t>Revenue Generated</t>
  </si>
  <si>
    <t>Stock Levels</t>
  </si>
  <si>
    <t>Lead Times</t>
  </si>
  <si>
    <t>Order Quantities</t>
  </si>
  <si>
    <t>Shipping Times</t>
  </si>
  <si>
    <t>Shipping Costs</t>
  </si>
  <si>
    <t>Production Volumes</t>
  </si>
  <si>
    <t>Manufacturing Lead Time</t>
  </si>
  <si>
    <t>Manufacturing Costs</t>
  </si>
  <si>
    <t>Defect Rates</t>
  </si>
  <si>
    <t>Q1</t>
  </si>
  <si>
    <t>Q3</t>
  </si>
  <si>
    <t>IQR</t>
  </si>
  <si>
    <t>Lower Bound</t>
  </si>
  <si>
    <t>Upper Bound</t>
  </si>
  <si>
    <t>Mean</t>
  </si>
  <si>
    <t>Min</t>
  </si>
  <si>
    <t>Max</t>
  </si>
  <si>
    <t>Reorder Point</t>
  </si>
  <si>
    <t>Difference</t>
  </si>
  <si>
    <t>Average</t>
  </si>
  <si>
    <t>Defect Rate</t>
  </si>
  <si>
    <t>Median</t>
  </si>
  <si>
    <t xml:space="preserve">Stock Velocity </t>
  </si>
  <si>
    <t>Stock Out Risk</t>
  </si>
  <si>
    <t>Carrying Cost Risk</t>
  </si>
  <si>
    <t>Normalised SO Risk</t>
  </si>
  <si>
    <t>Normalised CC Risk</t>
  </si>
  <si>
    <t>Consolidated Score</t>
  </si>
  <si>
    <t>Row Labels</t>
  </si>
  <si>
    <t>Grand Total</t>
  </si>
  <si>
    <t>Average of Consolidated Score</t>
  </si>
  <si>
    <t>Column Labels</t>
  </si>
  <si>
    <t>Conslidated Score</t>
  </si>
  <si>
    <t>Product Category</t>
  </si>
  <si>
    <t>Outlier SKU</t>
  </si>
  <si>
    <t>Normalisation Table</t>
  </si>
  <si>
    <t>Products with Highest Risk</t>
  </si>
  <si>
    <t>Products with Lowest Risk</t>
  </si>
  <si>
    <t>Consolidated Risk by Product</t>
  </si>
  <si>
    <t>Outlier Removed Data</t>
  </si>
  <si>
    <t>Risk Without Outliers</t>
  </si>
  <si>
    <t>Sales Velocity (Daily)</t>
  </si>
  <si>
    <t>Inventory Management System</t>
  </si>
  <si>
    <t>Inventory Value</t>
  </si>
  <si>
    <t>Unique Products</t>
  </si>
  <si>
    <t>Cost to Supplier</t>
  </si>
  <si>
    <t>Cost to Shipper</t>
  </si>
  <si>
    <t>Supplier</t>
  </si>
  <si>
    <t xml:space="preserve">Shop to Supplier Interface </t>
  </si>
  <si>
    <t>Manufacuring Reorder</t>
  </si>
  <si>
    <t>Supplier ReOrder</t>
  </si>
  <si>
    <t>Supplier to Manufacturer Interface</t>
  </si>
  <si>
    <t>Transportation Costs</t>
  </si>
  <si>
    <t>Total</t>
  </si>
  <si>
    <t>Manufacturing Cost</t>
  </si>
  <si>
    <t>Order Summary</t>
  </si>
  <si>
    <t>EOQ</t>
  </si>
  <si>
    <t>Cost Per Order</t>
  </si>
  <si>
    <t>Sum of Revenue Generated</t>
  </si>
  <si>
    <t>Sum of Number Of Products Sold</t>
  </si>
  <si>
    <t>Revenue Per Order</t>
  </si>
  <si>
    <t>Gender</t>
  </si>
  <si>
    <t>Count of SKU</t>
  </si>
  <si>
    <t>Average of Lead Time</t>
  </si>
  <si>
    <t>Average of Shipping Times</t>
  </si>
  <si>
    <t>Average of Lead Times</t>
  </si>
  <si>
    <t>Count of Inspection Results</t>
  </si>
  <si>
    <t>Price Per Order</t>
  </si>
  <si>
    <t>Profit Per Order</t>
  </si>
  <si>
    <t>Carrier</t>
  </si>
  <si>
    <t>Route</t>
  </si>
  <si>
    <t>Optimum No of Orders</t>
  </si>
  <si>
    <t>Order Frequency (Days)</t>
  </si>
  <si>
    <t>Present Order Quantities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</si>
</sst>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 #,##0.00"/>
    <numFmt numFmtId="165" formatCode="0.0"/>
  </numFmts>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6"/>
      <color rgb="FF073673"/>
      <name val="Calibri"/>
      <family val="2"/>
      <scheme val="minor"/>
    </font>
    <font>
      <b/>
      <sz val="12"/>
      <color theme="1"/>
      <name val="Calibri"/>
      <family val="2"/>
      <scheme val="minor"/>
    </font>
    <font>
      <b/>
      <sz val="16"/>
      <color rgb="FF002060"/>
      <name val="Calibri"/>
      <family val="2"/>
      <scheme val="minor"/>
    </font>
    <font>
      <b/>
      <sz val="14"/>
      <color theme="1"/>
      <name val="Calibri"/>
      <family val="2"/>
      <scheme val="minor"/>
    </font>
    <font>
      <b/>
      <sz val="11"/>
      <name val="Calibri"/>
      <family val="2"/>
      <scheme val="minor"/>
    </font>
  </fonts>
  <fills count="5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bgColor theme="4"/>
      </patternFill>
    </fill>
    <fill>
      <patternFill patternType="solid">
        <fgColor theme="4" tint="0.79998168889431442"/>
        <bgColor theme="4" tint="0.79998168889431442"/>
      </patternFill>
    </fill>
    <fill>
      <patternFill patternType="solid">
        <fgColor theme="3" tint="0.79998168889431442"/>
        <bgColor indexed="64"/>
      </patternFill>
    </fill>
    <fill>
      <patternFill patternType="solid">
        <fgColor theme="3" tint="0.79998168889431442"/>
        <bgColor theme="4" tint="0.79998168889431442"/>
      </patternFill>
    </fill>
    <fill>
      <patternFill patternType="solid">
        <fgColor theme="0"/>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8" tint="0.79998168889431442"/>
        <bgColor indexed="64"/>
      </patternFill>
    </fill>
    <fill>
      <patternFill patternType="solid">
        <fgColor theme="6" tint="0.79998168889431442"/>
        <bgColor indexed="64"/>
      </patternFill>
    </fill>
    <fill>
      <patternFill patternType="solid">
        <fgColor theme="3" tint="0.79998168889431442"/>
        <bgColor theme="9" tint="0.79998168889431442"/>
      </patternFill>
    </fill>
    <fill>
      <patternFill patternType="solid">
        <fgColor theme="6" tint="-0.499984740745262"/>
        <bgColor theme="4"/>
      </patternFill>
    </fill>
    <fill>
      <patternFill patternType="solid">
        <fgColor theme="6" tint="-0.499984740745262"/>
        <bgColor indexed="64"/>
      </patternFill>
    </fill>
    <fill>
      <patternFill patternType="solid">
        <fgColor theme="4" tint="-0.249977111117893"/>
        <bgColor theme="4" tint="0.79998168889431442"/>
      </patternFill>
    </fill>
    <fill>
      <patternFill patternType="solid">
        <fgColor theme="4" tint="-0.249977111117893"/>
        <bgColor indexed="64"/>
      </patternFill>
    </fill>
    <fill>
      <patternFill patternType="solid">
        <fgColor theme="4" tint="-0.249977111117893"/>
        <bgColor theme="9" tint="0.79998168889431442"/>
      </patternFill>
    </fill>
    <fill>
      <patternFill patternType="solid">
        <fgColor theme="4" tint="-0.249977111117893"/>
        <bgColor theme="4"/>
      </patternFill>
    </fill>
    <fill>
      <patternFill patternType="solid">
        <fgColor rgb="FFFFFF99"/>
        <bgColor indexed="64"/>
      </patternFill>
    </fill>
    <fill>
      <patternFill patternType="solid">
        <fgColor theme="0"/>
        <bgColor theme="4"/>
      </patternFill>
    </fill>
    <fill>
      <patternFill patternType="solid">
        <fgColor rgb="FF0070C0"/>
        <bgColor indexed="64"/>
      </patternFill>
    </fill>
    <fill>
      <patternFill patternType="solid">
        <fgColor rgb="FF0070C0"/>
        <bgColor theme="4"/>
      </patternFill>
    </fill>
    <fill>
      <patternFill patternType="solid">
        <fgColor theme="4" tint="0.39997558519241921"/>
        <bgColor indexed="64"/>
      </patternFill>
    </fill>
    <fill>
      <patternFill patternType="solid">
        <fgColor theme="0"/>
        <bgColor theme="4" tint="0.79998168889431442"/>
      </patternFill>
    </fill>
  </fills>
  <borders count="3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bottom/>
      <diagonal/>
    </border>
    <border>
      <left/>
      <right/>
      <top style="thin">
        <color theme="4" tint="0.39997558519241921"/>
      </top>
      <bottom style="thin">
        <color theme="4" tint="0.39997558519241921"/>
      </bottom>
      <diagonal/>
    </border>
    <border>
      <left/>
      <right/>
      <top style="thin">
        <color theme="4" tint="0.39997558519241921"/>
      </top>
      <bottom style="thin">
        <color indexed="64"/>
      </bottom>
      <diagonal/>
    </border>
    <border>
      <left style="thin">
        <color theme="9" tint="0.39997558519241921"/>
      </left>
      <right style="thin">
        <color theme="9" tint="0.39997558519241921"/>
      </right>
      <top style="thin">
        <color theme="9" tint="0.39997558519241921"/>
      </top>
      <bottom style="thin">
        <color theme="9" tint="0.39997558519241921"/>
      </bottom>
      <diagonal/>
    </border>
    <border>
      <left/>
      <right/>
      <top style="thin">
        <color theme="4" tint="0.39997558519241921"/>
      </top>
      <bottom/>
      <diagonal/>
    </border>
    <border>
      <left/>
      <right/>
      <top/>
      <bottom style="thin">
        <color theme="4" tint="0.39997558519241921"/>
      </bottom>
      <diagonal/>
    </border>
    <border>
      <left style="thin">
        <color theme="9" tint="0.39997558519241921"/>
      </left>
      <right/>
      <top/>
      <bottom/>
      <diagonal/>
    </border>
    <border>
      <left/>
      <right/>
      <top style="thin">
        <color indexed="64"/>
      </top>
      <bottom style="thin">
        <color indexed="64"/>
      </bottom>
      <diagonal/>
    </border>
    <border>
      <left style="thin">
        <color indexed="64"/>
      </left>
      <right style="thin">
        <color indexed="64"/>
      </right>
      <top style="thin">
        <color theme="4" tint="0.39997558519241921"/>
      </top>
      <bottom style="thin">
        <color indexed="64"/>
      </bottom>
      <diagonal/>
    </border>
    <border>
      <left/>
      <right style="thin">
        <color indexed="64"/>
      </right>
      <top style="thin">
        <color theme="4" tint="0.39997558519241921"/>
      </top>
      <bottom style="thin">
        <color theme="4" tint="0.39997558519241921"/>
      </bottom>
      <diagonal/>
    </border>
    <border>
      <left/>
      <right style="thin">
        <color indexed="64"/>
      </right>
      <top style="thin">
        <color theme="4" tint="0.39997558519241921"/>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1">
    <xf numFmtId="0" fontId="0" fillId="0" borderId="0" xfId="0"/>
    <xf numFmtId="164" fontId="0" fillId="0" borderId="0" xfId="0" applyNumberFormat="1"/>
    <xf numFmtId="0" fontId="0" fillId="0" borderId="10" xfId="0" applyBorder="1" applyAlignment="1">
      <alignment horizontal="center"/>
    </xf>
    <xf numFmtId="164" fontId="0" fillId="0" borderId="10" xfId="0" applyNumberFormat="1" applyBorder="1" applyAlignment="1">
      <alignment horizontal="center"/>
    </xf>
    <xf numFmtId="0" fontId="0" fillId="0" borderId="11" xfId="0" applyBorder="1" applyAlignment="1">
      <alignment horizontal="center"/>
    </xf>
    <xf numFmtId="0" fontId="16" fillId="0" borderId="13" xfId="0" applyFont="1" applyBorder="1" applyAlignment="1">
      <alignment horizontal="center"/>
    </xf>
    <xf numFmtId="0" fontId="16" fillId="0" borderId="14" xfId="0" applyFont="1" applyBorder="1" applyAlignment="1">
      <alignment horizontal="center"/>
    </xf>
    <xf numFmtId="0" fontId="0" fillId="0" borderId="16" xfId="0" applyBorder="1" applyAlignment="1">
      <alignment horizontal="center"/>
    </xf>
    <xf numFmtId="0" fontId="0" fillId="0" borderId="17" xfId="0" applyBorder="1" applyAlignment="1">
      <alignment horizontal="center"/>
    </xf>
    <xf numFmtId="164" fontId="0" fillId="0" borderId="17" xfId="0" applyNumberFormat="1" applyBorder="1" applyAlignment="1">
      <alignment horizontal="center"/>
    </xf>
    <xf numFmtId="0" fontId="13" fillId="33" borderId="10" xfId="0" applyFont="1" applyFill="1" applyBorder="1" applyAlignment="1">
      <alignment horizontal="center"/>
    </xf>
    <xf numFmtId="0" fontId="0" fillId="34" borderId="20" xfId="0" applyFill="1" applyBorder="1" applyAlignment="1">
      <alignment horizontal="center"/>
    </xf>
    <xf numFmtId="0" fontId="0" fillId="0" borderId="20" xfId="0" applyBorder="1" applyAlignment="1">
      <alignment horizontal="center"/>
    </xf>
    <xf numFmtId="0" fontId="0" fillId="0" borderId="21" xfId="0" applyBorder="1" applyAlignment="1">
      <alignment horizontal="center"/>
    </xf>
    <xf numFmtId="0" fontId="0" fillId="0" borderId="10" xfId="0" applyBorder="1"/>
    <xf numFmtId="0" fontId="0" fillId="34" borderId="10" xfId="0" applyFill="1" applyBorder="1" applyAlignment="1">
      <alignment horizontal="center"/>
    </xf>
    <xf numFmtId="2" fontId="0" fillId="0" borderId="10" xfId="0" applyNumberFormat="1" applyBorder="1"/>
    <xf numFmtId="2" fontId="0" fillId="0" borderId="0" xfId="0" applyNumberFormat="1"/>
    <xf numFmtId="0" fontId="0" fillId="35" borderId="0" xfId="0" applyFill="1"/>
    <xf numFmtId="0" fontId="0" fillId="35" borderId="10" xfId="0" applyFill="1" applyBorder="1"/>
    <xf numFmtId="0" fontId="0" fillId="35" borderId="10" xfId="0" applyFill="1" applyBorder="1" applyAlignment="1">
      <alignment horizontal="center"/>
    </xf>
    <xf numFmtId="0" fontId="0" fillId="36" borderId="10" xfId="0" applyFill="1" applyBorder="1" applyAlignment="1">
      <alignment horizontal="center"/>
    </xf>
    <xf numFmtId="2" fontId="0" fillId="35" borderId="10" xfId="0" applyNumberFormat="1" applyFill="1" applyBorder="1"/>
    <xf numFmtId="164" fontId="0" fillId="34" borderId="10" xfId="0" applyNumberFormat="1" applyFill="1" applyBorder="1" applyAlignment="1">
      <alignment horizontal="center"/>
    </xf>
    <xf numFmtId="2" fontId="0" fillId="35" borderId="0" xfId="0" applyNumberFormat="1" applyFill="1"/>
    <xf numFmtId="0" fontId="13" fillId="33" borderId="11" xfId="0" applyFont="1" applyFill="1" applyBorder="1" applyAlignment="1">
      <alignment horizontal="center"/>
    </xf>
    <xf numFmtId="0" fontId="0" fillId="34" borderId="11" xfId="0" applyFill="1" applyBorder="1" applyAlignment="1">
      <alignment horizontal="center"/>
    </xf>
    <xf numFmtId="0" fontId="0" fillId="0" borderId="0" xfId="0" pivotButton="1"/>
    <xf numFmtId="0" fontId="0" fillId="0" borderId="0" xfId="0" applyAlignment="1">
      <alignment horizontal="left"/>
    </xf>
    <xf numFmtId="0" fontId="16" fillId="34" borderId="24" xfId="0" applyFont="1" applyFill="1" applyBorder="1"/>
    <xf numFmtId="0" fontId="0" fillId="37" borderId="10" xfId="0" applyFill="1" applyBorder="1"/>
    <xf numFmtId="2" fontId="0" fillId="37" borderId="10" xfId="0" applyNumberFormat="1" applyFill="1" applyBorder="1"/>
    <xf numFmtId="0" fontId="0" fillId="37" borderId="0" xfId="0" applyFill="1"/>
    <xf numFmtId="0" fontId="16" fillId="38" borderId="0" xfId="0" applyFont="1" applyFill="1"/>
    <xf numFmtId="0" fontId="0" fillId="39" borderId="10" xfId="0" applyFill="1" applyBorder="1" applyAlignment="1">
      <alignment horizontal="left"/>
    </xf>
    <xf numFmtId="2" fontId="0" fillId="39" borderId="10" xfId="0" applyNumberFormat="1" applyFill="1" applyBorder="1"/>
    <xf numFmtId="0" fontId="0" fillId="39" borderId="10" xfId="0" applyFill="1" applyBorder="1"/>
    <xf numFmtId="0" fontId="16" fillId="38" borderId="0" xfId="0" applyFont="1" applyFill="1" applyAlignment="1">
      <alignment wrapText="1"/>
    </xf>
    <xf numFmtId="0" fontId="0" fillId="37" borderId="10" xfId="0" applyFill="1" applyBorder="1" applyAlignment="1">
      <alignment wrapText="1"/>
    </xf>
    <xf numFmtId="0" fontId="0" fillId="40" borderId="0" xfId="0" applyFill="1"/>
    <xf numFmtId="0" fontId="0" fillId="0" borderId="10" xfId="0" applyBorder="1" applyAlignment="1">
      <alignment horizontal="left"/>
    </xf>
    <xf numFmtId="0" fontId="0" fillId="0" borderId="0" xfId="0" pivotButton="1" applyAlignment="1">
      <alignment wrapText="1"/>
    </xf>
    <xf numFmtId="0" fontId="0" fillId="38" borderId="0" xfId="0" applyFill="1" applyAlignment="1">
      <alignment wrapText="1"/>
    </xf>
    <xf numFmtId="0" fontId="0" fillId="0" borderId="10" xfId="0" pivotButton="1" applyBorder="1" applyAlignment="1">
      <alignment wrapText="1"/>
    </xf>
    <xf numFmtId="0" fontId="0" fillId="41" borderId="10" xfId="0" applyFill="1" applyBorder="1" applyAlignment="1">
      <alignment horizontal="left"/>
    </xf>
    <xf numFmtId="0" fontId="0" fillId="42" borderId="0" xfId="0" applyFill="1" applyAlignment="1">
      <alignment horizontal="center"/>
    </xf>
    <xf numFmtId="0" fontId="0" fillId="36" borderId="0" xfId="0" applyFill="1" applyAlignment="1">
      <alignment horizontal="center"/>
    </xf>
    <xf numFmtId="0" fontId="13" fillId="43" borderId="10" xfId="0" applyFont="1" applyFill="1" applyBorder="1" applyAlignment="1">
      <alignment horizontal="center"/>
    </xf>
    <xf numFmtId="0" fontId="17" fillId="45" borderId="10" xfId="0" applyFont="1" applyFill="1" applyBorder="1" applyAlignment="1">
      <alignment horizontal="center"/>
    </xf>
    <xf numFmtId="2" fontId="17" fillId="46" borderId="22" xfId="0" applyNumberFormat="1" applyFont="1" applyFill="1" applyBorder="1"/>
    <xf numFmtId="0" fontId="17" fillId="47" borderId="10" xfId="0" applyFont="1" applyFill="1" applyBorder="1" applyAlignment="1">
      <alignment horizontal="center"/>
    </xf>
    <xf numFmtId="0" fontId="13" fillId="44" borderId="10" xfId="0" applyFont="1" applyFill="1" applyBorder="1" applyAlignment="1">
      <alignment wrapText="1"/>
    </xf>
    <xf numFmtId="0" fontId="13" fillId="46" borderId="0" xfId="0" applyFont="1" applyFill="1"/>
    <xf numFmtId="0" fontId="13" fillId="46" borderId="0" xfId="0" applyFont="1" applyFill="1" applyAlignment="1">
      <alignment wrapText="1"/>
    </xf>
    <xf numFmtId="3" fontId="19" fillId="49" borderId="10" xfId="0" applyNumberFormat="1" applyFont="1" applyFill="1" applyBorder="1" applyAlignment="1">
      <alignment horizontal="center"/>
    </xf>
    <xf numFmtId="0" fontId="13" fillId="48" borderId="19" xfId="0" applyFont="1" applyFill="1" applyBorder="1" applyAlignment="1">
      <alignment horizontal="center" wrapText="1"/>
    </xf>
    <xf numFmtId="164" fontId="19" fillId="49" borderId="10" xfId="0" applyNumberFormat="1" applyFont="1" applyFill="1" applyBorder="1" applyAlignment="1">
      <alignment horizontal="center"/>
    </xf>
    <xf numFmtId="3" fontId="19" fillId="37" borderId="0" xfId="0" applyNumberFormat="1" applyFont="1" applyFill="1" applyAlignment="1">
      <alignment horizontal="center"/>
    </xf>
    <xf numFmtId="164" fontId="19" fillId="49" borderId="10" xfId="0" applyNumberFormat="1" applyFont="1" applyFill="1" applyBorder="1"/>
    <xf numFmtId="0" fontId="13" fillId="50" borderId="0" xfId="0" applyFont="1" applyFill="1" applyAlignment="1">
      <alignment horizontal="center"/>
    </xf>
    <xf numFmtId="0" fontId="13" fillId="0" borderId="13" xfId="0" applyFont="1" applyBorder="1" applyAlignment="1">
      <alignment horizontal="center"/>
    </xf>
    <xf numFmtId="0" fontId="13" fillId="0" borderId="14" xfId="0" applyFont="1" applyBorder="1" applyAlignment="1">
      <alignment horizontal="center"/>
    </xf>
    <xf numFmtId="1" fontId="0" fillId="0" borderId="10" xfId="0" applyNumberFormat="1" applyBorder="1" applyAlignment="1">
      <alignment horizontal="center"/>
    </xf>
    <xf numFmtId="0" fontId="0" fillId="0" borderId="12" xfId="0" applyBorder="1"/>
    <xf numFmtId="1" fontId="0" fillId="0" borderId="17" xfId="0" applyNumberFormat="1" applyBorder="1" applyAlignment="1">
      <alignment horizontal="center"/>
    </xf>
    <xf numFmtId="0" fontId="0" fillId="0" borderId="17" xfId="0" applyBorder="1"/>
    <xf numFmtId="0" fontId="0" fillId="0" borderId="18" xfId="0" applyBorder="1"/>
    <xf numFmtId="0" fontId="13" fillId="48" borderId="14" xfId="0" applyFont="1" applyFill="1" applyBorder="1" applyAlignment="1">
      <alignment horizontal="center" wrapText="1"/>
    </xf>
    <xf numFmtId="0" fontId="13" fillId="48" borderId="14" xfId="0" applyFont="1" applyFill="1" applyBorder="1" applyAlignment="1">
      <alignment horizontal="center"/>
    </xf>
    <xf numFmtId="0" fontId="18" fillId="37" borderId="0" xfId="0" applyFont="1" applyFill="1"/>
    <xf numFmtId="0" fontId="20" fillId="37" borderId="0" xfId="0" applyFont="1" applyFill="1"/>
    <xf numFmtId="0" fontId="0" fillId="37" borderId="0" xfId="0" applyFill="1" applyAlignment="1">
      <alignment wrapText="1"/>
    </xf>
    <xf numFmtId="164" fontId="19" fillId="37" borderId="0" xfId="0" applyNumberFormat="1" applyFont="1" applyFill="1"/>
    <xf numFmtId="0" fontId="13" fillId="0" borderId="14" xfId="0" applyFont="1" applyBorder="1" applyAlignment="1">
      <alignment horizontal="center" wrapText="1"/>
    </xf>
    <xf numFmtId="0" fontId="13" fillId="0" borderId="15" xfId="0" applyFont="1" applyBorder="1" applyAlignment="1">
      <alignment horizontal="center" wrapText="1"/>
    </xf>
    <xf numFmtId="164" fontId="0" fillId="37" borderId="0" xfId="0" applyNumberFormat="1" applyFill="1"/>
    <xf numFmtId="164" fontId="0" fillId="37" borderId="10" xfId="0" applyNumberFormat="1" applyFill="1" applyBorder="1"/>
    <xf numFmtId="164" fontId="16" fillId="37" borderId="0" xfId="0" applyNumberFormat="1" applyFont="1" applyFill="1"/>
    <xf numFmtId="0" fontId="13" fillId="51" borderId="0" xfId="0" applyFont="1" applyFill="1" applyAlignment="1">
      <alignment horizontal="center" vertical="center"/>
    </xf>
    <xf numFmtId="0" fontId="13" fillId="51" borderId="0" xfId="0" applyFont="1" applyFill="1" applyAlignment="1">
      <alignment horizontal="center" vertical="center" wrapText="1"/>
    </xf>
    <xf numFmtId="0" fontId="13" fillId="52" borderId="17" xfId="0" applyFont="1" applyFill="1" applyBorder="1" applyAlignment="1">
      <alignment horizontal="center" vertical="center" wrapText="1"/>
    </xf>
    <xf numFmtId="0" fontId="13" fillId="52" borderId="17" xfId="0" applyFont="1" applyFill="1" applyBorder="1" applyAlignment="1">
      <alignment horizontal="center" vertical="center"/>
    </xf>
    <xf numFmtId="0" fontId="21" fillId="37" borderId="0" xfId="0" applyFont="1" applyFill="1"/>
    <xf numFmtId="0" fontId="0" fillId="40" borderId="0" xfId="0" applyFill="1" applyAlignment="1">
      <alignment horizontal="left"/>
    </xf>
    <xf numFmtId="164" fontId="0" fillId="40" borderId="0" xfId="0" applyNumberFormat="1" applyFill="1"/>
    <xf numFmtId="0" fontId="0" fillId="40" borderId="0" xfId="0" applyFill="1" applyAlignment="1">
      <alignment wrapText="1"/>
    </xf>
    <xf numFmtId="0" fontId="0" fillId="40" borderId="0" xfId="0" applyFill="1" applyAlignment="1">
      <alignment horizontal="center" wrapText="1"/>
    </xf>
    <xf numFmtId="165" fontId="0" fillId="0" borderId="0" xfId="0" applyNumberFormat="1"/>
    <xf numFmtId="1" fontId="0" fillId="0" borderId="0" xfId="0" applyNumberFormat="1"/>
    <xf numFmtId="0" fontId="0" fillId="53" borderId="0" xfId="0" applyFill="1"/>
    <xf numFmtId="164" fontId="16" fillId="40" borderId="23" xfId="0" applyNumberFormat="1" applyFont="1" applyFill="1" applyBorder="1"/>
    <xf numFmtId="0" fontId="16" fillId="40" borderId="23" xfId="0" applyFont="1" applyFill="1" applyBorder="1"/>
    <xf numFmtId="0" fontId="16" fillId="34" borderId="23" xfId="0" applyFont="1" applyFill="1" applyBorder="1"/>
    <xf numFmtId="1" fontId="0" fillId="0" borderId="14" xfId="0" applyNumberFormat="1" applyBorder="1" applyAlignment="1">
      <alignment horizontal="center"/>
    </xf>
    <xf numFmtId="1" fontId="0" fillId="0" borderId="0" xfId="0" applyNumberFormat="1" applyAlignment="1">
      <alignment horizontal="center"/>
    </xf>
    <xf numFmtId="1" fontId="0" fillId="34" borderId="27" xfId="0" applyNumberFormat="1" applyFill="1" applyBorder="1" applyAlignment="1">
      <alignment horizontal="center"/>
    </xf>
    <xf numFmtId="1" fontId="0" fillId="34" borderId="28" xfId="0" applyNumberFormat="1" applyFill="1" applyBorder="1" applyAlignment="1">
      <alignment horizontal="center"/>
    </xf>
    <xf numFmtId="1" fontId="0" fillId="0" borderId="28" xfId="0" applyNumberFormat="1" applyBorder="1" applyAlignment="1">
      <alignment horizontal="center"/>
    </xf>
    <xf numFmtId="1" fontId="0" fillId="34" borderId="10" xfId="0" applyNumberFormat="1" applyFill="1" applyBorder="1" applyAlignment="1">
      <alignment horizontal="center"/>
    </xf>
    <xf numFmtId="1" fontId="0" fillId="0" borderId="29" xfId="0" applyNumberFormat="1" applyBorder="1" applyAlignment="1">
      <alignment horizontal="center"/>
    </xf>
    <xf numFmtId="1" fontId="0" fillId="37" borderId="0" xfId="0" applyNumberFormat="1" applyFill="1"/>
    <xf numFmtId="0" fontId="0" fillId="37" borderId="0" xfId="0" applyFill="1" applyAlignment="1">
      <alignment horizontal="center"/>
    </xf>
    <xf numFmtId="0" fontId="0" fillId="54" borderId="0" xfId="0" applyFill="1" applyAlignment="1">
      <alignment horizontal="center"/>
    </xf>
    <xf numFmtId="0" fontId="13" fillId="33" borderId="10" xfId="0" applyFont="1" applyFill="1" applyBorder="1" applyAlignment="1">
      <alignment horizontal="center" wrapText="1"/>
    </xf>
    <xf numFmtId="0" fontId="0" fillId="54" borderId="0" xfId="0" applyFill="1" applyAlignment="1">
      <alignment vertical="center"/>
    </xf>
    <xf numFmtId="0" fontId="0" fillId="37" borderId="0" xfId="0" applyFill="1" applyAlignment="1">
      <alignment vertical="center"/>
    </xf>
    <xf numFmtId="1" fontId="0" fillId="54" borderId="0" xfId="0" applyNumberFormat="1" applyFill="1" applyAlignment="1">
      <alignment vertical="center"/>
    </xf>
    <xf numFmtId="1" fontId="0" fillId="37" borderId="0" xfId="0" applyNumberFormat="1" applyFill="1" applyAlignment="1">
      <alignment vertical="center"/>
    </xf>
    <xf numFmtId="0" fontId="22" fillId="37" borderId="10" xfId="0" applyFont="1" applyFill="1" applyBorder="1"/>
    <xf numFmtId="0" fontId="22" fillId="50" borderId="10" xfId="0" applyFont="1" applyFill="1" applyBorder="1" applyAlignment="1">
      <alignment vertical="center"/>
    </xf>
    <xf numFmtId="0" fontId="0" fillId="37" borderId="10" xfId="0" applyFill="1" applyBorder="1" applyAlignment="1">
      <alignment vertical="center"/>
    </xf>
    <xf numFmtId="1" fontId="0" fillId="37" borderId="10" xfId="0" applyNumberFormat="1" applyFill="1" applyBorder="1" applyAlignment="1">
      <alignment vertical="center"/>
    </xf>
    <xf numFmtId="0" fontId="0" fillId="54" borderId="10" xfId="0" applyFill="1" applyBorder="1" applyAlignment="1">
      <alignment vertical="center"/>
    </xf>
    <xf numFmtId="1" fontId="0" fillId="54" borderId="10" xfId="0" applyNumberFormat="1" applyFill="1" applyBorder="1" applyAlignment="1">
      <alignment vertical="center"/>
    </xf>
    <xf numFmtId="1" fontId="0" fillId="37" borderId="10" xfId="0" applyNumberFormat="1" applyFill="1" applyBorder="1"/>
    <xf numFmtId="0" fontId="0" fillId="35" borderId="25" xfId="0" applyFill="1" applyBorder="1" applyAlignment="1">
      <alignment horizontal="center"/>
    </xf>
    <xf numFmtId="0" fontId="0" fillId="35" borderId="0" xfId="0" applyFill="1" applyAlignment="1">
      <alignment horizontal="center"/>
    </xf>
    <xf numFmtId="0" fontId="0" fillId="35" borderId="12" xfId="0" applyFill="1" applyBorder="1" applyAlignment="1">
      <alignment horizontal="center"/>
    </xf>
    <xf numFmtId="0" fontId="0" fillId="35" borderId="26" xfId="0" applyFill="1" applyBorder="1" applyAlignment="1">
      <alignment horizontal="center"/>
    </xf>
    <xf numFmtId="0" fontId="0" fillId="35" borderId="11" xfId="0" applyFill="1" applyBorder="1" applyAlignment="1">
      <alignment horizontal="center"/>
    </xf>
    <xf numFmtId="0" fontId="0" fillId="37" borderId="0" xfId="0" applyFill="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08">
    <dxf>
      <font>
        <color rgb="FF9C0006"/>
      </font>
      <fill>
        <patternFill>
          <bgColor rgb="FFFFC7CE"/>
        </patternFill>
      </fill>
    </dxf>
    <dxf>
      <font>
        <color rgb="FF9C0006"/>
      </font>
      <fill>
        <patternFill>
          <bgColor rgb="FFFFC7CE"/>
        </patternFill>
      </fill>
    </dxf>
    <dxf>
      <font>
        <color rgb="FF9C0006"/>
      </font>
      <fill>
        <patternFill>
          <bgColor rgb="FFFFC7CE"/>
        </patternFill>
      </fill>
    </dxf>
    <dxf>
      <numFmt numFmtId="2" formatCode="0.00"/>
      <fill>
        <patternFill patternType="solid">
          <fgColor indexed="64"/>
          <bgColor theme="3" tint="0.79998168889431442"/>
        </patternFill>
      </fill>
    </dxf>
    <dxf>
      <fill>
        <patternFill patternType="solid">
          <fgColor indexed="64"/>
          <bgColor theme="3" tint="0.79998168889431442"/>
        </patternFill>
      </fill>
    </dxf>
    <dxf>
      <fill>
        <patternFill patternType="solid">
          <fgColor indexed="64"/>
          <bgColor theme="3" tint="0.79998168889431442"/>
        </patternFill>
      </fill>
    </dxf>
    <dxf>
      <numFmt numFmtId="2" formatCode="0.00"/>
      <fill>
        <patternFill patternType="solid">
          <fgColor indexed="64"/>
          <bgColor theme="3" tint="0.79998168889431442"/>
        </patternFill>
      </fill>
    </dxf>
    <dxf>
      <fill>
        <patternFill patternType="solid">
          <fgColor indexed="64"/>
          <bgColor theme="3" tint="0.79998168889431442"/>
        </patternFill>
      </fill>
    </dxf>
    <dxf>
      <font>
        <b val="0"/>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numFmt numFmtId="164" formatCode="&quot;₹&quot;\ #,##0.00"/>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numFmt numFmtId="164" formatCode="&quot;₹&quot;\ #,##0.00"/>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numFmt numFmtId="164" formatCode="&quot;₹&quot;\ #,##0.00"/>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numFmt numFmtId="164" formatCode="&quot;₹&quot;\ #,##0.00"/>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border diagonalUp="0" diagonalDown="0">
        <left/>
        <right style="thin">
          <color indexed="64"/>
        </right>
        <top style="thin">
          <color indexed="64"/>
        </top>
        <bottom style="thin">
          <color indexed="64"/>
        </bottom>
        <vertical/>
        <horizontal/>
      </border>
    </dxf>
    <dxf>
      <border outline="0">
        <left style="thin">
          <color indexed="64"/>
        </left>
      </border>
    </dxf>
    <dxf>
      <fill>
        <patternFill patternType="solid">
          <fgColor indexed="64"/>
          <bgColor theme="3" tint="0.79998168889431442"/>
        </patternFill>
      </fill>
    </dxf>
    <dxf>
      <fill>
        <patternFill patternType="solid">
          <fgColor indexed="64"/>
          <bgColor theme="3" tint="0.79998168889431442"/>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wrapText="1"/>
    </dxf>
    <dxf>
      <alignment wrapText="1"/>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fill>
        <patternFill>
          <bgColor theme="5" tint="0.79998168889431442"/>
        </patternFill>
      </fill>
    </dxf>
    <dxf>
      <fill>
        <patternFill>
          <bgColor theme="5" tint="0.79998168889431442"/>
        </patternFill>
      </fill>
    </dxf>
    <dxf>
      <fill>
        <patternFill>
          <bgColor theme="7" tint="0.79998168889431442"/>
        </patternFill>
      </fill>
    </dxf>
    <dxf>
      <fill>
        <patternFill>
          <bgColor theme="7" tint="0.79998168889431442"/>
        </patternFill>
      </fill>
    </dxf>
    <dxf>
      <alignment wrapText="1"/>
    </dxf>
    <dxf>
      <fill>
        <patternFill>
          <bgColor theme="6" tint="0.79998168889431442"/>
        </patternFill>
      </fill>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alignment wrapText="1"/>
    </dxf>
    <dxf>
      <alignment wrapText="1"/>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bgColor theme="5" tint="0.79998168889431442"/>
        </patternFill>
      </fill>
    </dxf>
    <dxf>
      <fill>
        <patternFill>
          <bgColor theme="5" tint="0.79998168889431442"/>
        </patternFill>
      </fill>
    </dxf>
    <dxf>
      <fill>
        <patternFill patternType="solid">
          <bgColor theme="7" tint="0.79998168889431442"/>
        </patternFill>
      </fill>
    </dxf>
    <dxf>
      <fill>
        <patternFill patternType="solid">
          <bgColor theme="7" tint="0.79998168889431442"/>
        </patternFill>
      </fill>
    </dxf>
    <dxf>
      <font>
        <b/>
      </font>
    </dxf>
    <dxf>
      <font>
        <b/>
      </font>
    </dxf>
    <dxf>
      <fill>
        <patternFill patternType="solid">
          <bgColor theme="3" tint="0.79998168889431442"/>
        </patternFill>
      </fill>
    </dxf>
    <dxf>
      <fill>
        <patternFill patternType="solid">
          <bgColor theme="3" tint="0.79998168889431442"/>
        </patternFill>
      </fill>
    </dxf>
    <dxf>
      <alignment wrapText="1"/>
    </dxf>
    <dxf>
      <numFmt numFmtId="2" formatCode="0.00"/>
    </dxf>
    <dxf>
      <numFmt numFmtId="0" formatCode="General"/>
      <fill>
        <patternFill patternType="none">
          <fgColor indexed="64"/>
          <bgColor auto="1"/>
        </patternFill>
      </fill>
    </dxf>
    <dxf>
      <fill>
        <patternFill patternType="none">
          <fgColor indexed="64"/>
          <bgColor auto="1"/>
        </patternFill>
      </fill>
      <border diagonalUp="0" diagonalDown="0">
        <left style="thin">
          <color indexed="64"/>
        </left>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auto="1"/>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fill>
        <patternFill patternType="none">
          <fgColor indexed="64"/>
          <bgColor auto="1"/>
        </patternFill>
      </fill>
    </dxf>
    <dxf>
      <border>
        <bottom style="thin">
          <color indexed="64"/>
        </bottom>
      </border>
    </dxf>
    <dxf>
      <font>
        <b/>
        <i val="0"/>
        <strike val="0"/>
        <condense val="0"/>
        <extend val="0"/>
        <outline val="0"/>
        <shadow val="0"/>
        <u val="none"/>
        <vertAlign val="baseline"/>
        <sz val="11"/>
        <color theme="0"/>
        <name val="Calibri"/>
        <family val="2"/>
        <scheme val="minor"/>
      </font>
      <fill>
        <patternFill patternType="none">
          <fgColor indexed="64"/>
          <bgColor auto="1"/>
        </patternFill>
      </fill>
      <alignment horizontal="center" vertical="bottom"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
      <numFmt numFmtId="1" formatCode="0"/>
    </dxf>
    <dxf>
      <numFmt numFmtId="1" formatCode="0"/>
    </dxf>
    <dxf>
      <alignment wrapText="1"/>
    </dxf>
    <dxf>
      <alignment horizontal="center"/>
    </dxf>
    <dxf>
      <alignment wrapText="1"/>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numFmt numFmtId="1" formatCode="0"/>
    </dxf>
    <dxf>
      <numFmt numFmtId="1" formatCode="0"/>
    </dxf>
    <dxf>
      <numFmt numFmtId="1" formatCode="0"/>
      <alignment horizontal="center" vertical="bottom" textRotation="0" wrapText="0" indent="0" justifyLastLine="0" shrinkToFit="0" readingOrder="0"/>
    </dxf>
    <dxf>
      <numFmt numFmtId="1" formatCode="0"/>
      <alignment horizontal="center" vertical="bottom" textRotation="0" wrapText="0" indent="0" justifyLastLine="0" shrinkToFit="0" readingOrder="0"/>
      <border diagonalUp="0" diagonalDown="0" outline="0">
        <left style="thin">
          <color indexed="64"/>
        </left>
        <right/>
        <top style="thin">
          <color indexed="64"/>
        </top>
        <bottom style="thin">
          <color indexed="64"/>
        </bottom>
      </border>
    </dxf>
    <dxf>
      <numFmt numFmtId="1" formatCode="0"/>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border>
    </dxf>
    <dxf>
      <numFmt numFmtId="164" formatCode="&quot;₹&quot;\ #,##0.00"/>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quot;₹&quot;\ #,##0.00"/>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quot;₹&quot;\ #,##0.00"/>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quot;₹&quot;\ #,##0.00"/>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quot;₹&quot;\ #,##0.00"/>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bottom" textRotation="0" wrapText="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dxf>
    <dxf>
      <border>
        <bottom style="thin">
          <color indexed="64"/>
        </bottom>
      </border>
    </dxf>
    <dxf>
      <font>
        <b/>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s>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3.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pivotCacheDefinition" Target="pivotCache/pivotCacheDefinition2.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3.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Ex1.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Ex2.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Ex3.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Ex4.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Ex5.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Ex6.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cap="none" spc="0" normalizeH="0" baseline="0">
                <a:solidFill>
                  <a:schemeClr val="dk1">
                    <a:lumMod val="50000"/>
                    <a:lumOff val="50000"/>
                  </a:schemeClr>
                </a:solidFill>
                <a:latin typeface="+mj-lt"/>
                <a:ea typeface="+mj-ea"/>
                <a:cs typeface="+mj-cs"/>
              </a:defRPr>
            </a:pPr>
            <a:r>
              <a:rPr lang="en-IN" sz="1400"/>
              <a:t>Product by Sale Count and Revenue</a:t>
            </a:r>
          </a:p>
        </c:rich>
      </c:tx>
      <c:overlay val="0"/>
      <c:spPr>
        <a:noFill/>
        <a:ln>
          <a:noFill/>
        </a:ln>
        <a:effectLst/>
      </c:spPr>
      <c:txPr>
        <a:bodyPr rot="0" spcFirstLastPara="1" vertOverflow="ellipsis" vert="horz" wrap="square" anchor="ctr" anchorCtr="1"/>
        <a:lstStyle/>
        <a:p>
          <a:pPr>
            <a:defRPr sz="1400" b="1" i="0" u="none" strike="noStrike" kern="1200" cap="none" spc="0" normalizeH="0" baseline="0">
              <a:solidFill>
                <a:schemeClr val="dk1">
                  <a:lumMod val="50000"/>
                  <a:lumOff val="50000"/>
                </a:schemeClr>
              </a:solidFill>
              <a:latin typeface="+mj-lt"/>
              <a:ea typeface="+mj-ea"/>
              <a:cs typeface="+mj-cs"/>
            </a:defRPr>
          </a:pPr>
          <a:endParaRPr lang="en-US"/>
        </a:p>
      </c:txPr>
    </c:title>
    <c:autoTitleDeleted val="0"/>
    <c:plotArea>
      <c:layout/>
      <c:barChart>
        <c:barDir val="col"/>
        <c:grouping val="clustered"/>
        <c:varyColors val="0"/>
        <c:ser>
          <c:idx val="0"/>
          <c:order val="0"/>
          <c:tx>
            <c:strRef>
              <c:f>'General Analysis'!$A$43</c:f>
              <c:strCache>
                <c:ptCount val="1"/>
                <c:pt idx="0">
                  <c:v>Sum of Number Of Products Sold</c:v>
                </c:pt>
              </c:strCache>
            </c:strRef>
          </c:tx>
          <c:spPr>
            <a:solidFill>
              <a:schemeClr val="accent1"/>
            </a:solidFill>
            <a:ln>
              <a:noFill/>
            </a:ln>
            <a:effectLst/>
          </c:spPr>
          <c:invertIfNegative val="0"/>
          <c:cat>
            <c:strRef>
              <c:f>'General Analysis'!$B$42:$D$42</c:f>
              <c:strCache>
                <c:ptCount val="3"/>
                <c:pt idx="0">
                  <c:v>Cosmetics</c:v>
                </c:pt>
                <c:pt idx="1">
                  <c:v>Haircare</c:v>
                </c:pt>
                <c:pt idx="2">
                  <c:v>Skincare</c:v>
                </c:pt>
              </c:strCache>
            </c:strRef>
          </c:cat>
          <c:val>
            <c:numRef>
              <c:f>'General Analysis'!$B$43:$D$43</c:f>
              <c:numCache>
                <c:formatCode>General</c:formatCode>
                <c:ptCount val="3"/>
                <c:pt idx="0">
                  <c:v>11757</c:v>
                </c:pt>
                <c:pt idx="1">
                  <c:v>13611</c:v>
                </c:pt>
                <c:pt idx="2">
                  <c:v>20731</c:v>
                </c:pt>
              </c:numCache>
            </c:numRef>
          </c:val>
          <c:extLst>
            <c:ext xmlns:c16="http://schemas.microsoft.com/office/drawing/2014/chart" uri="{C3380CC4-5D6E-409C-BE32-E72D297353CC}">
              <c16:uniqueId val="{00000000-82C5-4B8E-8C5B-4285B9C1E9F6}"/>
            </c:ext>
          </c:extLst>
        </c:ser>
        <c:dLbls>
          <c:showLegendKey val="0"/>
          <c:showVal val="0"/>
          <c:showCatName val="0"/>
          <c:showSerName val="0"/>
          <c:showPercent val="0"/>
          <c:showBubbleSize val="0"/>
        </c:dLbls>
        <c:gapWidth val="247"/>
        <c:overlap val="-27"/>
        <c:axId val="222735967"/>
        <c:axId val="222737407"/>
      </c:barChart>
      <c:lineChart>
        <c:grouping val="standard"/>
        <c:varyColors val="0"/>
        <c:ser>
          <c:idx val="1"/>
          <c:order val="1"/>
          <c:tx>
            <c:strRef>
              <c:f>'General Analysis'!$A$44</c:f>
              <c:strCache>
                <c:ptCount val="1"/>
                <c:pt idx="0">
                  <c:v>Sum of Revenue Generated</c:v>
                </c:pt>
              </c:strCache>
            </c:strRef>
          </c:tx>
          <c:spPr>
            <a:ln w="22225" cap="rnd">
              <a:solidFill>
                <a:schemeClr val="accent2"/>
              </a:solidFill>
              <a:round/>
            </a:ln>
            <a:effectLst/>
          </c:spPr>
          <c:marker>
            <c:symbol val="none"/>
          </c:marker>
          <c:cat>
            <c:strRef>
              <c:f>'General Analysis'!$B$42:$D$42</c:f>
              <c:strCache>
                <c:ptCount val="3"/>
                <c:pt idx="0">
                  <c:v>Cosmetics</c:v>
                </c:pt>
                <c:pt idx="1">
                  <c:v>Haircare</c:v>
                </c:pt>
                <c:pt idx="2">
                  <c:v>Skincare</c:v>
                </c:pt>
              </c:strCache>
            </c:strRef>
          </c:cat>
          <c:val>
            <c:numRef>
              <c:f>'General Analysis'!$B$44:$D$44</c:f>
              <c:numCache>
                <c:formatCode>General</c:formatCode>
                <c:ptCount val="3"/>
                <c:pt idx="0">
                  <c:v>161521.26599948306</c:v>
                </c:pt>
                <c:pt idx="1">
                  <c:v>174455.39060546222</c:v>
                </c:pt>
                <c:pt idx="2">
                  <c:v>241628.16213306302</c:v>
                </c:pt>
              </c:numCache>
            </c:numRef>
          </c:val>
          <c:smooth val="0"/>
          <c:extLst>
            <c:ext xmlns:c16="http://schemas.microsoft.com/office/drawing/2014/chart" uri="{C3380CC4-5D6E-409C-BE32-E72D297353CC}">
              <c16:uniqueId val="{00000001-82C5-4B8E-8C5B-4285B9C1E9F6}"/>
            </c:ext>
          </c:extLst>
        </c:ser>
        <c:dLbls>
          <c:showLegendKey val="0"/>
          <c:showVal val="0"/>
          <c:showCatName val="0"/>
          <c:showSerName val="0"/>
          <c:showPercent val="0"/>
          <c:showBubbleSize val="0"/>
        </c:dLbls>
        <c:marker val="1"/>
        <c:smooth val="0"/>
        <c:axId val="222735487"/>
        <c:axId val="222745087"/>
      </c:lineChart>
      <c:catAx>
        <c:axId val="222735967"/>
        <c:scaling>
          <c:orientation val="minMax"/>
        </c:scaling>
        <c:delete val="0"/>
        <c:axPos val="b"/>
        <c:majorGridlines>
          <c:spPr>
            <a:ln w="9525" cap="flat" cmpd="sng" algn="ctr">
              <a:solidFill>
                <a:schemeClr val="dk1">
                  <a:lumMod val="15000"/>
                  <a:lumOff val="85000"/>
                </a:schemeClr>
              </a:solidFill>
              <a:round/>
            </a:ln>
            <a:effectLst/>
          </c:spPr>
        </c:majorGridlines>
        <c:numFmt formatCode="General" sourceLinked="1"/>
        <c:majorTickMark val="out"/>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dk1">
                    <a:lumMod val="65000"/>
                    <a:lumOff val="35000"/>
                  </a:schemeClr>
                </a:solidFill>
                <a:latin typeface="+mn-lt"/>
                <a:ea typeface="+mn-ea"/>
                <a:cs typeface="+mn-cs"/>
              </a:defRPr>
            </a:pPr>
            <a:endParaRPr lang="en-US"/>
          </a:p>
        </c:txPr>
        <c:crossAx val="222737407"/>
        <c:crosses val="autoZero"/>
        <c:auto val="1"/>
        <c:lblAlgn val="ctr"/>
        <c:lblOffset val="100"/>
        <c:noMultiLvlLbl val="0"/>
      </c:catAx>
      <c:valAx>
        <c:axId val="222737407"/>
        <c:scaling>
          <c:orientation val="minMax"/>
        </c:scaling>
        <c:delete val="0"/>
        <c:axPos val="l"/>
        <c:majorGridlines>
          <c:spPr>
            <a:ln w="9525" cap="flat" cmpd="sng" algn="ctr">
              <a:solidFill>
                <a:schemeClr val="dk1">
                  <a:lumMod val="15000"/>
                  <a:lumOff val="8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n-IN"/>
                  <a:t>Sale Count</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600" b="0" i="0" u="none" strike="noStrike" kern="1200" baseline="0">
                <a:solidFill>
                  <a:schemeClr val="dk1">
                    <a:lumMod val="65000"/>
                    <a:lumOff val="35000"/>
                  </a:schemeClr>
                </a:solidFill>
                <a:latin typeface="+mn-lt"/>
                <a:ea typeface="+mn-ea"/>
                <a:cs typeface="+mn-cs"/>
              </a:defRPr>
            </a:pPr>
            <a:endParaRPr lang="en-US"/>
          </a:p>
        </c:txPr>
        <c:crossAx val="222735967"/>
        <c:crosses val="autoZero"/>
        <c:crossBetween val="between"/>
      </c:valAx>
      <c:valAx>
        <c:axId val="222745087"/>
        <c:scaling>
          <c:orientation val="minMax"/>
        </c:scaling>
        <c:delete val="0"/>
        <c:axPos val="r"/>
        <c:title>
          <c:tx>
            <c:rich>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n-IN"/>
                  <a:t>Revenue</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600" b="0" i="0" u="none" strike="noStrike" kern="1200" baseline="0">
                <a:solidFill>
                  <a:schemeClr val="dk1">
                    <a:lumMod val="65000"/>
                    <a:lumOff val="35000"/>
                  </a:schemeClr>
                </a:solidFill>
                <a:latin typeface="+mn-lt"/>
                <a:ea typeface="+mn-ea"/>
                <a:cs typeface="+mn-cs"/>
              </a:defRPr>
            </a:pPr>
            <a:endParaRPr lang="en-US"/>
          </a:p>
        </c:txPr>
        <c:crossAx val="222735487"/>
        <c:crosses val="max"/>
        <c:crossBetween val="between"/>
      </c:valAx>
      <c:catAx>
        <c:axId val="222735487"/>
        <c:scaling>
          <c:orientation val="minMax"/>
        </c:scaling>
        <c:delete val="1"/>
        <c:axPos val="b"/>
        <c:numFmt formatCode="General" sourceLinked="1"/>
        <c:majorTickMark val="out"/>
        <c:minorTickMark val="none"/>
        <c:tickLblPos val="nextTo"/>
        <c:crossAx val="222745087"/>
        <c:crosses val="autoZero"/>
        <c:auto val="1"/>
        <c:lblAlgn val="ctr"/>
        <c:lblOffset val="100"/>
        <c:noMultiLvlLbl val="0"/>
      </c:catAx>
      <c:spPr>
        <a:pattFill prst="ltDnDiag">
          <a:fgClr>
            <a:schemeClr val="dk1">
              <a:lumMod val="15000"/>
              <a:lumOff val="85000"/>
            </a:schemeClr>
          </a:fgClr>
          <a:bgClr>
            <a:schemeClr val="lt1"/>
          </a:bgClr>
        </a:pattFill>
        <a:ln>
          <a:noFill/>
        </a:ln>
        <a:effectLst/>
      </c:spPr>
    </c:plotArea>
    <c:legend>
      <c:legendPos val="b"/>
      <c:layout>
        <c:manualLayout>
          <c:xMode val="edge"/>
          <c:yMode val="edge"/>
          <c:x val="2.0661369492822514E-2"/>
          <c:y val="0.77313027152744696"/>
          <c:w val="0.97006678265444612"/>
          <c:h val="0.19128253986045338"/>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900" b="1" i="0" u="none" strike="noStrike" kern="1200" baseline="0">
                <a:solidFill>
                  <a:schemeClr val="tx1">
                    <a:lumMod val="65000"/>
                    <a:lumOff val="35000"/>
                  </a:schemeClr>
                </a:solidFill>
                <a:latin typeface="+mj-lt"/>
                <a:ea typeface="+mn-ea"/>
                <a:cs typeface="+mn-cs"/>
              </a:defRPr>
            </a:pPr>
            <a:r>
              <a:rPr lang="en-IN" sz="900">
                <a:latin typeface="+mj-lt"/>
              </a:rPr>
              <a:t>Product Type By SKU Count and Revenue Per Order</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j-lt"/>
              <a:ea typeface="+mn-ea"/>
              <a:cs typeface="+mn-cs"/>
            </a:defRPr>
          </a:pPr>
          <a:endParaRPr lang="en-US"/>
        </a:p>
      </c:txPr>
    </c:title>
    <c:autoTitleDeleted val="0"/>
    <c:plotArea>
      <c:layout>
        <c:manualLayout>
          <c:layoutTarget val="inner"/>
          <c:xMode val="edge"/>
          <c:yMode val="edge"/>
          <c:x val="0.19919268712100643"/>
          <c:y val="0.19297581045612547"/>
          <c:w val="0.74119045464144573"/>
          <c:h val="0.75106050932822599"/>
        </c:manualLayout>
      </c:layout>
      <c:barChart>
        <c:barDir val="bar"/>
        <c:grouping val="clustered"/>
        <c:varyColors val="0"/>
        <c:ser>
          <c:idx val="0"/>
          <c:order val="0"/>
          <c:tx>
            <c:strRef>
              <c:f>'General Analysis'!$B$47</c:f>
              <c:strCache>
                <c:ptCount val="1"/>
                <c:pt idx="0">
                  <c:v>Count of SKU</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'General Analysis'!$A$48:$A$50</c:f>
              <c:strCache>
                <c:ptCount val="3"/>
                <c:pt idx="0">
                  <c:v>Skincare</c:v>
                </c:pt>
                <c:pt idx="1">
                  <c:v>Haircare</c:v>
                </c:pt>
                <c:pt idx="2">
                  <c:v>Cosmetics</c:v>
                </c:pt>
              </c:strCache>
            </c:strRef>
          </c:cat>
          <c:val>
            <c:numRef>
              <c:f>'General Analysis'!$B$48:$B$50</c:f>
              <c:numCache>
                <c:formatCode>General</c:formatCode>
                <c:ptCount val="3"/>
                <c:pt idx="0">
                  <c:v>40</c:v>
                </c:pt>
                <c:pt idx="1">
                  <c:v>34</c:v>
                </c:pt>
                <c:pt idx="2">
                  <c:v>26</c:v>
                </c:pt>
              </c:numCache>
            </c:numRef>
          </c:val>
          <c:extLst>
            <c:ext xmlns:c16="http://schemas.microsoft.com/office/drawing/2014/chart" uri="{C3380CC4-5D6E-409C-BE32-E72D297353CC}">
              <c16:uniqueId val="{00000000-7075-41A8-BF57-74D95F197C64}"/>
            </c:ext>
          </c:extLst>
        </c:ser>
        <c:ser>
          <c:idx val="1"/>
          <c:order val="1"/>
          <c:tx>
            <c:strRef>
              <c:f>'General Analysis'!$C$47</c:f>
              <c:strCache>
                <c:ptCount val="1"/>
                <c:pt idx="0">
                  <c:v>Revenue Per Order</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'General Analysis'!$A$48:$A$50</c:f>
              <c:strCache>
                <c:ptCount val="3"/>
                <c:pt idx="0">
                  <c:v>Skincare</c:v>
                </c:pt>
                <c:pt idx="1">
                  <c:v>Haircare</c:v>
                </c:pt>
                <c:pt idx="2">
                  <c:v>Cosmetics</c:v>
                </c:pt>
              </c:strCache>
            </c:strRef>
          </c:cat>
          <c:val>
            <c:numRef>
              <c:f>'General Analysis'!$C$48:$C$50</c:f>
              <c:numCache>
                <c:formatCode>"₹"\ #,##0.00</c:formatCode>
                <c:ptCount val="3"/>
                <c:pt idx="0">
                  <c:v>13.7383062005174</c:v>
                </c:pt>
                <c:pt idx="1">
                  <c:v>12.817235368853297</c:v>
                </c:pt>
                <c:pt idx="2">
                  <c:v>11.655403122524866</c:v>
                </c:pt>
              </c:numCache>
            </c:numRef>
          </c:val>
          <c:extLst>
            <c:ext xmlns:c16="http://schemas.microsoft.com/office/drawing/2014/chart" uri="{C3380CC4-5D6E-409C-BE32-E72D297353CC}">
              <c16:uniqueId val="{00000001-7075-41A8-BF57-74D95F197C64}"/>
            </c:ext>
          </c:extLst>
        </c:ser>
        <c:dLbls>
          <c:dLblPos val="outEnd"/>
          <c:showLegendKey val="0"/>
          <c:showVal val="1"/>
          <c:showCatName val="0"/>
          <c:showSerName val="0"/>
          <c:showPercent val="0"/>
          <c:showBubbleSize val="0"/>
        </c:dLbls>
        <c:gapWidth val="115"/>
        <c:overlap val="-20"/>
        <c:axId val="12884639"/>
        <c:axId val="12880319"/>
      </c:barChart>
      <c:catAx>
        <c:axId val="12884639"/>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80319"/>
        <c:crosses val="autoZero"/>
        <c:auto val="1"/>
        <c:lblAlgn val="ctr"/>
        <c:lblOffset val="100"/>
        <c:noMultiLvlLbl val="0"/>
      </c:catAx>
      <c:valAx>
        <c:axId val="12880319"/>
        <c:scaling>
          <c:orientation val="minMax"/>
        </c:scaling>
        <c:delete val="1"/>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12884639"/>
        <c:crosses val="autoZero"/>
        <c:crossBetween val="between"/>
      </c:valAx>
      <c:spPr>
        <a:noFill/>
        <a:ln>
          <a:noFill/>
        </a:ln>
        <a:effectLst/>
      </c:spPr>
    </c:plotArea>
    <c:legend>
      <c:legendPos val="tr"/>
      <c:layout>
        <c:manualLayout>
          <c:xMode val="edge"/>
          <c:yMode val="edge"/>
          <c:x val="0.64932301565752559"/>
          <c:y val="0.21608143576647515"/>
          <c:w val="0.327688478595348"/>
          <c:h val="0.30405618216641844"/>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050" b="1" i="0" u="none" strike="noStrike" kern="1200" spc="0" baseline="0">
                <a:solidFill>
                  <a:schemeClr val="bg2">
                    <a:lumMod val="50000"/>
                  </a:schemeClr>
                </a:solidFill>
                <a:latin typeface="+mj-lt"/>
                <a:ea typeface="+mn-ea"/>
                <a:cs typeface="+mn-cs"/>
              </a:defRPr>
            </a:pPr>
            <a:r>
              <a:rPr lang="en-IN" sz="1050" b="1">
                <a:solidFill>
                  <a:schemeClr val="bg2">
                    <a:lumMod val="50000"/>
                  </a:schemeClr>
                </a:solidFill>
                <a:latin typeface="+mj-lt"/>
              </a:rPr>
              <a:t>Customer Segmentation by Sale Volume, Total</a:t>
            </a:r>
            <a:r>
              <a:rPr lang="en-IN" sz="1050" b="1" baseline="0">
                <a:solidFill>
                  <a:schemeClr val="bg2">
                    <a:lumMod val="50000"/>
                  </a:schemeClr>
                </a:solidFill>
                <a:latin typeface="+mj-lt"/>
              </a:rPr>
              <a:t> and Per Order Revenue</a:t>
            </a:r>
            <a:endParaRPr lang="en-IN" sz="1050" b="1">
              <a:solidFill>
                <a:schemeClr val="bg2">
                  <a:lumMod val="50000"/>
                </a:schemeClr>
              </a:solidFill>
              <a:latin typeface="+mj-lt"/>
            </a:endParaRPr>
          </a:p>
        </c:rich>
      </c:tx>
      <c:layout>
        <c:manualLayout>
          <c:xMode val="edge"/>
          <c:yMode val="edge"/>
          <c:x val="0.13999835646730116"/>
          <c:y val="2.600780234070221E-2"/>
        </c:manualLayout>
      </c:layout>
      <c:overlay val="0"/>
      <c:spPr>
        <a:noFill/>
        <a:ln>
          <a:noFill/>
        </a:ln>
        <a:effectLst/>
      </c:spPr>
      <c:txPr>
        <a:bodyPr rot="0" spcFirstLastPara="1" vertOverflow="ellipsis" vert="horz" wrap="square" anchor="ctr" anchorCtr="1"/>
        <a:lstStyle/>
        <a:p>
          <a:pPr>
            <a:defRPr sz="1050" b="1" i="0" u="none" strike="noStrike" kern="1200" spc="0" baseline="0">
              <a:solidFill>
                <a:schemeClr val="bg2">
                  <a:lumMod val="50000"/>
                </a:schemeClr>
              </a:solidFill>
              <a:latin typeface="+mj-lt"/>
              <a:ea typeface="+mn-ea"/>
              <a:cs typeface="+mn-cs"/>
            </a:defRPr>
          </a:pPr>
          <a:endParaRPr lang="en-US"/>
        </a:p>
      </c:txPr>
    </c:title>
    <c:autoTitleDeleted val="0"/>
    <c:plotArea>
      <c:layout>
        <c:manualLayout>
          <c:layoutTarget val="inner"/>
          <c:xMode val="edge"/>
          <c:yMode val="edge"/>
          <c:x val="0.17967825896762904"/>
          <c:y val="0.14344925634295713"/>
          <c:w val="0.53415214830429658"/>
          <c:h val="0.74915135608048999"/>
        </c:manualLayout>
      </c:layout>
      <c:barChart>
        <c:barDir val="col"/>
        <c:grouping val="clustered"/>
        <c:varyColors val="0"/>
        <c:ser>
          <c:idx val="0"/>
          <c:order val="0"/>
          <c:tx>
            <c:strRef>
              <c:f>'General Analysis'!$B$53</c:f>
              <c:strCache>
                <c:ptCount val="1"/>
                <c:pt idx="0">
                  <c:v>Sum of Revenue Generated</c:v>
                </c:pt>
              </c:strCache>
            </c:strRef>
          </c:tx>
          <c:spPr>
            <a:solidFill>
              <a:schemeClr val="accent1"/>
            </a:solidFill>
            <a:ln>
              <a:noFill/>
            </a:ln>
            <a:effectLst/>
          </c:spPr>
          <c:invertIfNegative val="0"/>
          <c:cat>
            <c:strRef>
              <c:f>'General Analysis'!$A$54:$A$57</c:f>
              <c:strCache>
                <c:ptCount val="4"/>
                <c:pt idx="0">
                  <c:v>Female</c:v>
                </c:pt>
                <c:pt idx="1">
                  <c:v>Male</c:v>
                </c:pt>
                <c:pt idx="2">
                  <c:v>Non-Binary</c:v>
                </c:pt>
                <c:pt idx="3">
                  <c:v>Unknown</c:v>
                </c:pt>
              </c:strCache>
            </c:strRef>
          </c:cat>
          <c:val>
            <c:numRef>
              <c:f>'General Analysis'!$B$54:$B$57</c:f>
              <c:numCache>
                <c:formatCode>"₹"\ #,##0.00</c:formatCode>
                <c:ptCount val="4"/>
                <c:pt idx="0">
                  <c:v>161514.48912163053</c:v>
                </c:pt>
                <c:pt idx="1">
                  <c:v>126634.3942597939</c:v>
                </c:pt>
                <c:pt idx="2">
                  <c:v>116365.80151960922</c:v>
                </c:pt>
                <c:pt idx="3">
                  <c:v>173090.13383697456</c:v>
                </c:pt>
              </c:numCache>
            </c:numRef>
          </c:val>
          <c:extLst>
            <c:ext xmlns:c16="http://schemas.microsoft.com/office/drawing/2014/chart" uri="{C3380CC4-5D6E-409C-BE32-E72D297353CC}">
              <c16:uniqueId val="{00000000-0525-41B3-BB07-A2D4C8A8AFA0}"/>
            </c:ext>
          </c:extLst>
        </c:ser>
        <c:ser>
          <c:idx val="1"/>
          <c:order val="1"/>
          <c:tx>
            <c:strRef>
              <c:f>'General Analysis'!$C$53</c:f>
              <c:strCache>
                <c:ptCount val="1"/>
                <c:pt idx="0">
                  <c:v>Sum of Number Of Products Sold</c:v>
                </c:pt>
              </c:strCache>
            </c:strRef>
          </c:tx>
          <c:spPr>
            <a:solidFill>
              <a:schemeClr val="accent2"/>
            </a:solidFill>
            <a:ln>
              <a:noFill/>
            </a:ln>
            <a:effectLst/>
          </c:spPr>
          <c:invertIfNegative val="0"/>
          <c:cat>
            <c:strRef>
              <c:f>'General Analysis'!$A$54:$A$57</c:f>
              <c:strCache>
                <c:ptCount val="4"/>
                <c:pt idx="0">
                  <c:v>Female</c:v>
                </c:pt>
                <c:pt idx="1">
                  <c:v>Male</c:v>
                </c:pt>
                <c:pt idx="2">
                  <c:v>Non-Binary</c:v>
                </c:pt>
                <c:pt idx="3">
                  <c:v>Unknown</c:v>
                </c:pt>
              </c:strCache>
            </c:strRef>
          </c:cat>
          <c:val>
            <c:numRef>
              <c:f>'General Analysis'!$C$54:$C$57</c:f>
              <c:numCache>
                <c:formatCode>General</c:formatCode>
                <c:ptCount val="4"/>
                <c:pt idx="0">
                  <c:v>12801</c:v>
                </c:pt>
                <c:pt idx="1">
                  <c:v>7507</c:v>
                </c:pt>
                <c:pt idx="2">
                  <c:v>10580</c:v>
                </c:pt>
                <c:pt idx="3">
                  <c:v>15211</c:v>
                </c:pt>
              </c:numCache>
            </c:numRef>
          </c:val>
          <c:extLst>
            <c:ext xmlns:c16="http://schemas.microsoft.com/office/drawing/2014/chart" uri="{C3380CC4-5D6E-409C-BE32-E72D297353CC}">
              <c16:uniqueId val="{00000001-0525-41B3-BB07-A2D4C8A8AFA0}"/>
            </c:ext>
          </c:extLst>
        </c:ser>
        <c:dLbls>
          <c:showLegendKey val="0"/>
          <c:showVal val="0"/>
          <c:showCatName val="0"/>
          <c:showSerName val="0"/>
          <c:showPercent val="0"/>
          <c:showBubbleSize val="0"/>
        </c:dLbls>
        <c:gapWidth val="219"/>
        <c:overlap val="-27"/>
        <c:axId val="6857039"/>
        <c:axId val="6873839"/>
      </c:barChart>
      <c:lineChart>
        <c:grouping val="standard"/>
        <c:varyColors val="0"/>
        <c:ser>
          <c:idx val="2"/>
          <c:order val="2"/>
          <c:tx>
            <c:strRef>
              <c:f>'General Analysis'!$D$53</c:f>
              <c:strCache>
                <c:ptCount val="1"/>
                <c:pt idx="0">
                  <c:v>Revenue Per Order</c:v>
                </c:pt>
              </c:strCache>
            </c:strRef>
          </c:tx>
          <c:spPr>
            <a:ln w="28575" cap="rnd">
              <a:solidFill>
                <a:schemeClr val="accent3"/>
              </a:solidFill>
              <a:round/>
            </a:ln>
            <a:effectLst/>
          </c:spPr>
          <c:marker>
            <c:symbol val="none"/>
          </c:marker>
          <c:cat>
            <c:strRef>
              <c:f>'General Analysis'!$A$54:$A$57</c:f>
              <c:strCache>
                <c:ptCount val="4"/>
                <c:pt idx="0">
                  <c:v>Female</c:v>
                </c:pt>
                <c:pt idx="1">
                  <c:v>Male</c:v>
                </c:pt>
                <c:pt idx="2">
                  <c:v>Non-Binary</c:v>
                </c:pt>
                <c:pt idx="3">
                  <c:v>Unknown</c:v>
                </c:pt>
              </c:strCache>
            </c:strRef>
          </c:cat>
          <c:val>
            <c:numRef>
              <c:f>'General Analysis'!$D$54:$D$57</c:f>
              <c:numCache>
                <c:formatCode>General</c:formatCode>
                <c:ptCount val="4"/>
                <c:pt idx="0">
                  <c:v>12.617333733429462</c:v>
                </c:pt>
                <c:pt idx="1">
                  <c:v>16.868841649100027</c:v>
                </c:pt>
                <c:pt idx="2">
                  <c:v>10.998657988620909</c:v>
                </c:pt>
                <c:pt idx="3">
                  <c:v>11.379273804284699</c:v>
                </c:pt>
              </c:numCache>
            </c:numRef>
          </c:val>
          <c:smooth val="0"/>
          <c:extLst>
            <c:ext xmlns:c16="http://schemas.microsoft.com/office/drawing/2014/chart" uri="{C3380CC4-5D6E-409C-BE32-E72D297353CC}">
              <c16:uniqueId val="{00000002-0525-41B3-BB07-A2D4C8A8AFA0}"/>
            </c:ext>
          </c:extLst>
        </c:ser>
        <c:dLbls>
          <c:showLegendKey val="0"/>
          <c:showVal val="0"/>
          <c:showCatName val="0"/>
          <c:showSerName val="0"/>
          <c:showPercent val="0"/>
          <c:showBubbleSize val="0"/>
        </c:dLbls>
        <c:marker val="1"/>
        <c:smooth val="0"/>
        <c:axId val="6860399"/>
        <c:axId val="6881999"/>
      </c:lineChart>
      <c:catAx>
        <c:axId val="685703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600" b="0" i="0" u="none" strike="noStrike" kern="1200" baseline="0">
                <a:solidFill>
                  <a:schemeClr val="tx1">
                    <a:lumMod val="65000"/>
                    <a:lumOff val="35000"/>
                  </a:schemeClr>
                </a:solidFill>
                <a:latin typeface="+mn-lt"/>
                <a:ea typeface="+mn-ea"/>
                <a:cs typeface="+mn-cs"/>
              </a:defRPr>
            </a:pPr>
            <a:endParaRPr lang="en-US"/>
          </a:p>
        </c:txPr>
        <c:crossAx val="6873839"/>
        <c:crosses val="autoZero"/>
        <c:auto val="1"/>
        <c:lblAlgn val="ctr"/>
        <c:lblOffset val="100"/>
        <c:noMultiLvlLbl val="0"/>
      </c:catAx>
      <c:valAx>
        <c:axId val="6873839"/>
        <c:scaling>
          <c:orientation val="minMax"/>
        </c:scaling>
        <c:delete val="0"/>
        <c:axPos val="l"/>
        <c:majorGridlines>
          <c:spPr>
            <a:ln w="9525" cap="flat" cmpd="sng" algn="ctr">
              <a:solidFill>
                <a:schemeClr val="tx1">
                  <a:lumMod val="15000"/>
                  <a:lumOff val="85000"/>
                </a:schemeClr>
              </a:solidFill>
              <a:round/>
            </a:ln>
            <a:effectLst/>
          </c:spPr>
        </c:majorGridlines>
        <c:numFmt formatCode="&quot;₹&quot;\ #,##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57039"/>
        <c:crosses val="autoZero"/>
        <c:crossBetween val="between"/>
      </c:valAx>
      <c:valAx>
        <c:axId val="6881999"/>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60399"/>
        <c:crosses val="max"/>
        <c:crossBetween val="between"/>
      </c:valAx>
      <c:catAx>
        <c:axId val="6860399"/>
        <c:scaling>
          <c:orientation val="minMax"/>
        </c:scaling>
        <c:delete val="1"/>
        <c:axPos val="b"/>
        <c:numFmt formatCode="General" sourceLinked="1"/>
        <c:majorTickMark val="out"/>
        <c:minorTickMark val="none"/>
        <c:tickLblPos val="nextTo"/>
        <c:crossAx val="6881999"/>
        <c:crosses val="autoZero"/>
        <c:auto val="1"/>
        <c:lblAlgn val="ctr"/>
        <c:lblOffset val="100"/>
        <c:noMultiLvlLbl val="0"/>
      </c:catAx>
      <c:spPr>
        <a:noFill/>
        <a:ln>
          <a:noFill/>
        </a:ln>
        <a:effectLst/>
      </c:spPr>
    </c:plotArea>
    <c:legend>
      <c:legendPos val="r"/>
      <c:layout>
        <c:manualLayout>
          <c:xMode val="edge"/>
          <c:yMode val="edge"/>
          <c:x val="0.76488841409055364"/>
          <c:y val="0.15241254791135503"/>
          <c:w val="0.21844488188976374"/>
          <c:h val="0.75579031787693207"/>
        </c:manualLayout>
      </c:layout>
      <c:overlay val="0"/>
      <c:spPr>
        <a:noFill/>
        <a:ln>
          <a:noFill/>
        </a:ln>
        <a:effectLst/>
      </c:spPr>
      <c:txPr>
        <a:bodyPr rot="0" spcFirstLastPara="1" vertOverflow="ellipsis" vert="horz" wrap="square" anchor="ctr" anchorCtr="1"/>
        <a:lstStyle/>
        <a:p>
          <a:pPr>
            <a:defRPr sz="7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050" b="0" i="0" u="none" strike="noStrike" kern="1200" spc="0" baseline="0">
                <a:solidFill>
                  <a:schemeClr val="tx1">
                    <a:lumMod val="65000"/>
                    <a:lumOff val="35000"/>
                  </a:schemeClr>
                </a:solidFill>
                <a:latin typeface="+mn-lt"/>
                <a:ea typeface="+mn-ea"/>
                <a:cs typeface="+mn-cs"/>
              </a:defRPr>
            </a:pPr>
            <a:r>
              <a:rPr lang="en-US" sz="1050"/>
              <a:t>Average of Shipping Times by Carrier</a:t>
            </a:r>
          </a:p>
        </c:rich>
      </c:tx>
      <c:overlay val="0"/>
      <c:spPr>
        <a:noFill/>
        <a:ln>
          <a:noFill/>
        </a:ln>
        <a:effectLst/>
      </c:spPr>
      <c:txPr>
        <a:bodyPr rot="0" spcFirstLastPara="1" vertOverflow="ellipsis" vert="horz" wrap="square" anchor="ctr" anchorCtr="1"/>
        <a:lstStyle/>
        <a:p>
          <a:pPr>
            <a:defRPr sz="1050" b="0" i="0" u="none" strike="noStrike" kern="1200" spc="0" baseline="0">
              <a:solidFill>
                <a:schemeClr val="tx1">
                  <a:lumMod val="65000"/>
                  <a:lumOff val="35000"/>
                </a:schemeClr>
              </a:solidFill>
              <a:latin typeface="+mn-lt"/>
              <a:ea typeface="+mn-ea"/>
              <a:cs typeface="+mn-cs"/>
            </a:defRPr>
          </a:pPr>
          <a:endParaRPr lang="en-US"/>
        </a:p>
      </c:txPr>
    </c:title>
    <c:autoTitleDeleted val="0"/>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'General Analysis'!$K$2</c:f>
              <c:strCache>
                <c:ptCount val="1"/>
                <c:pt idx="0">
                  <c:v>Average of Shipping Times</c:v>
                </c:pt>
              </c:strCache>
            </c:strRef>
          </c:tx>
          <c:spPr>
            <a:solidFill>
              <a:schemeClr val="accent1"/>
            </a:solidFill>
            <a:ln>
              <a:noFill/>
            </a:ln>
            <a:effectLst/>
            <a:sp3d/>
          </c:spPr>
          <c:invertIfNegative val="0"/>
          <c:dLbls>
            <c:dLbl>
              <c:idx val="0"/>
              <c:layout>
                <c:manualLayout>
                  <c:x val="1.1111111111111112E-2"/>
                  <c:y val="0"/>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C1CA-42C6-9495-9EC8B1E09754}"/>
                </c:ext>
              </c:extLst>
            </c:dLbl>
            <c:dLbl>
              <c:idx val="1"/>
              <c:layout>
                <c:manualLayout>
                  <c:x val="1.1111111111111112E-2"/>
                  <c:y val="0"/>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C1CA-42C6-9495-9EC8B1E09754}"/>
                </c:ext>
              </c:extLst>
            </c:dLbl>
            <c:dLbl>
              <c:idx val="2"/>
              <c:layout>
                <c:manualLayout>
                  <c:x val="1.6666666666666566E-2"/>
                  <c:y val="-9.2592592592593021E-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C1CA-42C6-9495-9EC8B1E09754}"/>
                </c:ext>
              </c:extLst>
            </c:dLbl>
            <c:spPr>
              <a:noFill/>
              <a:ln>
                <a:noFill/>
              </a:ln>
              <a:effectLst/>
            </c:spPr>
            <c:txPr>
              <a:bodyPr rot="0" spcFirstLastPara="1" vertOverflow="ellipsis" vert="horz" wrap="square" anchor="ctr" anchorCtr="1"/>
              <a:lstStyle/>
              <a:p>
                <a:pPr>
                  <a:defRPr sz="11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'General Analysis'!$J$3:$J$5</c:f>
              <c:strCache>
                <c:ptCount val="3"/>
                <c:pt idx="0">
                  <c:v>Carrier A</c:v>
                </c:pt>
                <c:pt idx="1">
                  <c:v>Carrier B</c:v>
                </c:pt>
                <c:pt idx="2">
                  <c:v>Carrier C</c:v>
                </c:pt>
              </c:strCache>
            </c:strRef>
          </c:cat>
          <c:val>
            <c:numRef>
              <c:f>'General Analysis'!$K$3:$K$5</c:f>
              <c:numCache>
                <c:formatCode>0</c:formatCode>
                <c:ptCount val="3"/>
                <c:pt idx="0">
                  <c:v>6.1428571428571432</c:v>
                </c:pt>
                <c:pt idx="1">
                  <c:v>5.3023255813953485</c:v>
                </c:pt>
                <c:pt idx="2">
                  <c:v>6.0344827586206895</c:v>
                </c:pt>
              </c:numCache>
            </c:numRef>
          </c:val>
          <c:extLst>
            <c:ext xmlns:c16="http://schemas.microsoft.com/office/drawing/2014/chart" uri="{C3380CC4-5D6E-409C-BE32-E72D297353CC}">
              <c16:uniqueId val="{00000003-C1CA-42C6-9495-9EC8B1E09754}"/>
            </c:ext>
          </c:extLst>
        </c:ser>
        <c:dLbls>
          <c:showLegendKey val="0"/>
          <c:showVal val="1"/>
          <c:showCatName val="0"/>
          <c:showSerName val="0"/>
          <c:showPercent val="0"/>
          <c:showBubbleSize val="0"/>
        </c:dLbls>
        <c:gapWidth val="150"/>
        <c:shape val="box"/>
        <c:axId val="22249503"/>
        <c:axId val="22238463"/>
        <c:axId val="0"/>
      </c:bar3DChart>
      <c:catAx>
        <c:axId val="22249503"/>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US"/>
          </a:p>
        </c:txPr>
        <c:crossAx val="22238463"/>
        <c:crosses val="autoZero"/>
        <c:auto val="1"/>
        <c:lblAlgn val="ctr"/>
        <c:lblOffset val="100"/>
        <c:noMultiLvlLbl val="0"/>
      </c:catAx>
      <c:valAx>
        <c:axId val="22238463"/>
        <c:scaling>
          <c:orientation val="minMax"/>
        </c:scaling>
        <c:delete val="1"/>
        <c:axPos val="b"/>
        <c:majorGridlines>
          <c:spPr>
            <a:ln w="9525" cap="flat" cmpd="sng" algn="ctr">
              <a:solidFill>
                <a:schemeClr val="tx1">
                  <a:lumMod val="15000"/>
                  <a:lumOff val="85000"/>
                </a:schemeClr>
              </a:solidFill>
              <a:round/>
            </a:ln>
            <a:effectLst/>
          </c:spPr>
        </c:majorGridlines>
        <c:numFmt formatCode="0" sourceLinked="1"/>
        <c:majorTickMark val="out"/>
        <c:minorTickMark val="none"/>
        <c:tickLblPos val="nextTo"/>
        <c:crossAx val="2224950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050"/>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r>
              <a:rPr lang="en-IN" sz="1200"/>
              <a:t>Average Lead Times by Supplier</a:t>
            </a:r>
          </a:p>
        </c:rich>
      </c:tx>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en-US"/>
        </a:p>
      </c:txPr>
    </c:title>
    <c:autoTitleDeleted val="0"/>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'General Analysis'!$K$10</c:f>
              <c:strCache>
                <c:ptCount val="1"/>
                <c:pt idx="0">
                  <c:v>Average of Lead Times</c:v>
                </c:pt>
              </c:strCache>
            </c:strRef>
          </c:tx>
          <c:spPr>
            <a:solidFill>
              <a:schemeClr val="accent1"/>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'General Analysis'!$J$11:$J$15</c:f>
              <c:strCache>
                <c:ptCount val="5"/>
                <c:pt idx="0">
                  <c:v>Supplier 5</c:v>
                </c:pt>
                <c:pt idx="1">
                  <c:v>Supplier 4</c:v>
                </c:pt>
                <c:pt idx="2">
                  <c:v>Supplier 3</c:v>
                </c:pt>
                <c:pt idx="3">
                  <c:v>Supplier 2</c:v>
                </c:pt>
                <c:pt idx="4">
                  <c:v>Supplier 1</c:v>
                </c:pt>
              </c:strCache>
            </c:strRef>
          </c:cat>
          <c:val>
            <c:numRef>
              <c:f>'General Analysis'!$K$11:$K$15</c:f>
              <c:numCache>
                <c:formatCode>0.0</c:formatCode>
                <c:ptCount val="5"/>
                <c:pt idx="0">
                  <c:v>14.722222222222221</c:v>
                </c:pt>
                <c:pt idx="1">
                  <c:v>17</c:v>
                </c:pt>
                <c:pt idx="2">
                  <c:v>14.333333333333334</c:v>
                </c:pt>
                <c:pt idx="3">
                  <c:v>16.227272727272727</c:v>
                </c:pt>
                <c:pt idx="4">
                  <c:v>16.777777777777779</c:v>
                </c:pt>
              </c:numCache>
            </c:numRef>
          </c:val>
          <c:extLst>
            <c:ext xmlns:c16="http://schemas.microsoft.com/office/drawing/2014/chart" uri="{C3380CC4-5D6E-409C-BE32-E72D297353CC}">
              <c16:uniqueId val="{00000000-3419-4A70-BB96-616CD41381D6}"/>
            </c:ext>
          </c:extLst>
        </c:ser>
        <c:dLbls>
          <c:showLegendKey val="0"/>
          <c:showVal val="1"/>
          <c:showCatName val="0"/>
          <c:showSerName val="0"/>
          <c:showPercent val="0"/>
          <c:showBubbleSize val="0"/>
        </c:dLbls>
        <c:gapWidth val="150"/>
        <c:shape val="box"/>
        <c:axId val="220372383"/>
        <c:axId val="220399263"/>
        <c:axId val="0"/>
      </c:bar3DChart>
      <c:catAx>
        <c:axId val="220372383"/>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0399263"/>
        <c:crosses val="autoZero"/>
        <c:auto val="1"/>
        <c:lblAlgn val="ctr"/>
        <c:lblOffset val="100"/>
        <c:noMultiLvlLbl val="0"/>
      </c:catAx>
      <c:valAx>
        <c:axId val="220399263"/>
        <c:scaling>
          <c:orientation val="minMax"/>
        </c:scaling>
        <c:delete val="1"/>
        <c:axPos val="b"/>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crossAx val="2203723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900" b="0" i="0" u="none" strike="noStrike" kern="1200" spc="0" baseline="0">
                <a:solidFill>
                  <a:schemeClr val="tx1">
                    <a:lumMod val="65000"/>
                    <a:lumOff val="35000"/>
                  </a:schemeClr>
                </a:solidFill>
                <a:latin typeface="+mn-lt"/>
                <a:ea typeface="+mn-ea"/>
                <a:cs typeface="+mn-cs"/>
              </a:defRPr>
            </a:pPr>
            <a:r>
              <a:rPr lang="en-IN" sz="900"/>
              <a:t>Average Lead Time By Transportation Mode</a:t>
            </a:r>
          </a:p>
        </c:rich>
      </c:tx>
      <c:overlay val="0"/>
      <c:spPr>
        <a:noFill/>
        <a:ln>
          <a:noFill/>
        </a:ln>
        <a:effectLst/>
      </c:spPr>
      <c:txPr>
        <a:bodyPr rot="0" spcFirstLastPara="1" vertOverflow="ellipsis" vert="horz" wrap="square" anchor="ctr" anchorCtr="1"/>
        <a:lstStyle/>
        <a:p>
          <a:pPr>
            <a:defRPr sz="900" b="0" i="0" u="none" strike="noStrike" kern="1200" spc="0" baseline="0">
              <a:solidFill>
                <a:schemeClr val="tx1">
                  <a:lumMod val="65000"/>
                  <a:lumOff val="35000"/>
                </a:schemeClr>
              </a:solidFill>
              <a:latin typeface="+mn-lt"/>
              <a:ea typeface="+mn-ea"/>
              <a:cs typeface="+mn-cs"/>
            </a:defRPr>
          </a:pPr>
          <a:endParaRPr lang="en-US"/>
        </a:p>
      </c:txPr>
    </c:title>
    <c:autoTitleDeleted val="0"/>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'General Analysis'!$O$12</c:f>
              <c:strCache>
                <c:ptCount val="1"/>
                <c:pt idx="0">
                  <c:v>Average of Lead Time</c:v>
                </c:pt>
              </c:strCache>
            </c:strRef>
          </c:tx>
          <c:spPr>
            <a:solidFill>
              <a:schemeClr val="accent1"/>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'General Analysis'!$N$13:$N$16</c:f>
              <c:strCache>
                <c:ptCount val="4"/>
                <c:pt idx="0">
                  <c:v>Road</c:v>
                </c:pt>
                <c:pt idx="1">
                  <c:v>Rail</c:v>
                </c:pt>
                <c:pt idx="2">
                  <c:v>Sea</c:v>
                </c:pt>
                <c:pt idx="3">
                  <c:v>Air</c:v>
                </c:pt>
              </c:strCache>
            </c:strRef>
          </c:cat>
          <c:val>
            <c:numRef>
              <c:f>'General Analysis'!$O$13:$O$16</c:f>
              <c:numCache>
                <c:formatCode>0</c:formatCode>
                <c:ptCount val="4"/>
                <c:pt idx="0">
                  <c:v>18.03448275862069</c:v>
                </c:pt>
                <c:pt idx="1">
                  <c:v>17.535714285714285</c:v>
                </c:pt>
                <c:pt idx="2">
                  <c:v>16.411764705882351</c:v>
                </c:pt>
                <c:pt idx="3">
                  <c:v>15.961538461538462</c:v>
                </c:pt>
              </c:numCache>
            </c:numRef>
          </c:val>
          <c:extLst>
            <c:ext xmlns:c16="http://schemas.microsoft.com/office/drawing/2014/chart" uri="{C3380CC4-5D6E-409C-BE32-E72D297353CC}">
              <c16:uniqueId val="{00000000-00E0-46B7-9007-7F00B6DBE66F}"/>
            </c:ext>
          </c:extLst>
        </c:ser>
        <c:dLbls>
          <c:showLegendKey val="0"/>
          <c:showVal val="1"/>
          <c:showCatName val="0"/>
          <c:showSerName val="0"/>
          <c:showPercent val="0"/>
          <c:showBubbleSize val="0"/>
        </c:dLbls>
        <c:gapWidth val="150"/>
        <c:shape val="box"/>
        <c:axId val="303869855"/>
        <c:axId val="303887615"/>
        <c:axId val="0"/>
      </c:bar3DChart>
      <c:catAx>
        <c:axId val="303869855"/>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3887615"/>
        <c:crosses val="autoZero"/>
        <c:auto val="1"/>
        <c:lblAlgn val="ctr"/>
        <c:lblOffset val="100"/>
        <c:noMultiLvlLbl val="0"/>
      </c:catAx>
      <c:valAx>
        <c:axId val="303887615"/>
        <c:scaling>
          <c:orientation val="minMax"/>
        </c:scaling>
        <c:delete val="1"/>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crossAx val="30386985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050" b="0" i="0" u="none" strike="noStrike" kern="1200" spc="0" baseline="0">
                <a:solidFill>
                  <a:schemeClr val="tx1">
                    <a:lumMod val="65000"/>
                    <a:lumOff val="35000"/>
                  </a:schemeClr>
                </a:solidFill>
                <a:latin typeface="+mn-lt"/>
                <a:ea typeface="+mn-ea"/>
                <a:cs typeface="+mn-cs"/>
              </a:defRPr>
            </a:pPr>
            <a:r>
              <a:rPr lang="en-IN" sz="1050"/>
              <a:t>Average Lead Time by Route</a:t>
            </a:r>
          </a:p>
        </c:rich>
      </c:tx>
      <c:overlay val="0"/>
      <c:spPr>
        <a:noFill/>
        <a:ln>
          <a:noFill/>
        </a:ln>
        <a:effectLst/>
      </c:spPr>
      <c:txPr>
        <a:bodyPr rot="0" spcFirstLastPara="1" vertOverflow="ellipsis" vert="horz" wrap="square" anchor="ctr" anchorCtr="1"/>
        <a:lstStyle/>
        <a:p>
          <a:pPr>
            <a:defRPr sz="1050" b="0" i="0" u="none" strike="noStrike" kern="1200" spc="0" baseline="0">
              <a:solidFill>
                <a:schemeClr val="tx1">
                  <a:lumMod val="65000"/>
                  <a:lumOff val="35000"/>
                </a:schemeClr>
              </a:solidFill>
              <a:latin typeface="+mn-lt"/>
              <a:ea typeface="+mn-ea"/>
              <a:cs typeface="+mn-cs"/>
            </a:defRPr>
          </a:pPr>
          <a:endParaRPr lang="en-US"/>
        </a:p>
      </c:txPr>
    </c:title>
    <c:autoTitleDeleted val="0"/>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'General Analysis'!$O$18</c:f>
              <c:strCache>
                <c:ptCount val="1"/>
                <c:pt idx="0">
                  <c:v>Average of Lead Time</c:v>
                </c:pt>
              </c:strCache>
            </c:strRef>
          </c:tx>
          <c:spPr>
            <a:solidFill>
              <a:schemeClr val="accent1"/>
            </a:solidFill>
            <a:ln>
              <a:noFill/>
            </a:ln>
            <a:effectLst/>
            <a:sp3d/>
          </c:spPr>
          <c:invertIfNegative val="0"/>
          <c:cat>
            <c:strRef>
              <c:f>'General Analysis'!$N$19:$N$21</c:f>
              <c:strCache>
                <c:ptCount val="3"/>
                <c:pt idx="0">
                  <c:v>Route A</c:v>
                </c:pt>
                <c:pt idx="1">
                  <c:v>Route B</c:v>
                </c:pt>
                <c:pt idx="2">
                  <c:v>Route C</c:v>
                </c:pt>
              </c:strCache>
            </c:strRef>
          </c:cat>
          <c:val>
            <c:numRef>
              <c:f>'General Analysis'!$O$19:$O$21</c:f>
              <c:numCache>
                <c:formatCode>0</c:formatCode>
                <c:ptCount val="3"/>
                <c:pt idx="0">
                  <c:v>16.395348837209301</c:v>
                </c:pt>
                <c:pt idx="1">
                  <c:v>18.162162162162161</c:v>
                </c:pt>
                <c:pt idx="2">
                  <c:v>16.55</c:v>
                </c:pt>
              </c:numCache>
            </c:numRef>
          </c:val>
          <c:extLst>
            <c:ext xmlns:c16="http://schemas.microsoft.com/office/drawing/2014/chart" uri="{C3380CC4-5D6E-409C-BE32-E72D297353CC}">
              <c16:uniqueId val="{00000000-6F43-478B-AD35-8418680EB8A3}"/>
            </c:ext>
          </c:extLst>
        </c:ser>
        <c:dLbls>
          <c:showLegendKey val="0"/>
          <c:showVal val="0"/>
          <c:showCatName val="0"/>
          <c:showSerName val="0"/>
          <c:showPercent val="0"/>
          <c:showBubbleSize val="0"/>
        </c:dLbls>
        <c:gapWidth val="150"/>
        <c:shape val="box"/>
        <c:axId val="222738367"/>
        <c:axId val="222738847"/>
        <c:axId val="0"/>
      </c:bar3DChart>
      <c:catAx>
        <c:axId val="222738367"/>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2738847"/>
        <c:crosses val="autoZero"/>
        <c:auto val="1"/>
        <c:lblAlgn val="ctr"/>
        <c:lblOffset val="100"/>
        <c:noMultiLvlLbl val="0"/>
      </c:catAx>
      <c:valAx>
        <c:axId val="222738847"/>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273836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r>
              <a:rPr lang="en-IN"/>
              <a:t>Inspection Compliance</a:t>
            </a:r>
          </a:p>
        </c:rich>
      </c:tx>
      <c:overlay val="0"/>
      <c:spPr>
        <a:noFill/>
        <a:ln>
          <a:noFill/>
        </a:ln>
        <a:effectLst/>
      </c:spPr>
      <c:txPr>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endParaRPr lang="en-US"/>
        </a:p>
      </c:txPr>
    </c:title>
    <c:autoTitleDeleted val="0"/>
    <c:plotArea>
      <c:layout/>
      <c:doughnutChart>
        <c:varyColors val="1"/>
        <c:ser>
          <c:idx val="0"/>
          <c:order val="0"/>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1-3778-434C-93C3-A70158BBDF95}"/>
              </c:ext>
            </c:extLst>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3-3778-434C-93C3-A70158BBDF95}"/>
              </c:ext>
            </c:extLst>
          </c:dPt>
          <c:dPt>
            <c:idx val="2"/>
            <c:bubble3D val="0"/>
            <c:spPr>
              <a:solidFill>
                <a:schemeClr val="accent3"/>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5-3778-434C-93C3-A70158BBDF95}"/>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'General Analysis'!$N$35:$P$35</c:f>
              <c:strCache>
                <c:ptCount val="3"/>
                <c:pt idx="0">
                  <c:v>Fail</c:v>
                </c:pt>
                <c:pt idx="1">
                  <c:v>Pass</c:v>
                </c:pt>
                <c:pt idx="2">
                  <c:v>Pending</c:v>
                </c:pt>
              </c:strCache>
            </c:strRef>
          </c:cat>
          <c:val>
            <c:numRef>
              <c:f>'General Analysis'!$N$36:$P$36</c:f>
              <c:numCache>
                <c:formatCode>General</c:formatCode>
                <c:ptCount val="3"/>
                <c:pt idx="0">
                  <c:v>36</c:v>
                </c:pt>
                <c:pt idx="1">
                  <c:v>23</c:v>
                </c:pt>
                <c:pt idx="2">
                  <c:v>41</c:v>
                </c:pt>
              </c:numCache>
            </c:numRef>
          </c:val>
          <c:extLst>
            <c:ext xmlns:c16="http://schemas.microsoft.com/office/drawing/2014/chart" uri="{C3380CC4-5D6E-409C-BE32-E72D297353CC}">
              <c16:uniqueId val="{00000006-3778-434C-93C3-A70158BBDF95}"/>
            </c:ext>
          </c:extLst>
        </c:ser>
        <c:dLbls>
          <c:showLegendKey val="0"/>
          <c:showVal val="0"/>
          <c:showCatName val="0"/>
          <c:showSerName val="0"/>
          <c:showPercent val="1"/>
          <c:showBubbleSize val="0"/>
          <c:showLeaderLines val="1"/>
        </c:dLbls>
        <c:firstSliceAng val="0"/>
        <c:holeSize val="50"/>
      </c:doughnutChart>
      <c:spPr>
        <a:noFill/>
        <a:ln>
          <a:noFill/>
        </a:ln>
        <a:effectLst/>
      </c:spPr>
    </c:plotArea>
    <c:legend>
      <c:legendPos val="r"/>
      <c:layout>
        <c:manualLayout>
          <c:xMode val="edge"/>
          <c:yMode val="edge"/>
          <c:x val="0.69887221937494504"/>
          <c:y val="0.38301983085447655"/>
          <c:w val="0.20530266556917071"/>
          <c:h val="0.30845071449402156"/>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050" b="0" i="0" u="none" strike="noStrike" kern="1200" spc="0" baseline="0">
                <a:solidFill>
                  <a:schemeClr val="tx1">
                    <a:lumMod val="65000"/>
                    <a:lumOff val="35000"/>
                  </a:schemeClr>
                </a:solidFill>
                <a:latin typeface="+mn-lt"/>
                <a:ea typeface="+mn-ea"/>
                <a:cs typeface="+mn-cs"/>
              </a:defRPr>
            </a:pPr>
            <a:r>
              <a:rPr lang="en-IN" sz="1050" b="1" i="0" u="none" strike="noStrike" kern="1200" cap="all" spc="50" baseline="0">
                <a:solidFill>
                  <a:sysClr val="windowText" lastClr="000000">
                    <a:lumMod val="65000"/>
                    <a:lumOff val="35000"/>
                  </a:sysClr>
                </a:solidFill>
              </a:rPr>
              <a:t>Inspection Compliance BY SUPPLIER</a:t>
            </a:r>
          </a:p>
        </c:rich>
      </c:tx>
      <c:overlay val="0"/>
      <c:spPr>
        <a:noFill/>
        <a:ln>
          <a:noFill/>
        </a:ln>
        <a:effectLst/>
      </c:spPr>
      <c:txPr>
        <a:bodyPr rot="0" spcFirstLastPara="1" vertOverflow="ellipsis" vert="horz" wrap="square" anchor="ctr" anchorCtr="1"/>
        <a:lstStyle/>
        <a:p>
          <a:pPr>
            <a:defRPr sz="105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'General Analysis'!$N$26</c:f>
              <c:strCache>
                <c:ptCount val="1"/>
                <c:pt idx="0">
                  <c:v>Fail</c:v>
                </c:pt>
              </c:strCache>
            </c:strRef>
          </c:tx>
          <c:spPr>
            <a:solidFill>
              <a:schemeClr val="accent1"/>
            </a:solidFill>
            <a:ln>
              <a:noFill/>
            </a:ln>
            <a:effectLst/>
          </c:spPr>
          <c:invertIfNegative val="0"/>
          <c:cat>
            <c:strRef>
              <c:f>'General Analysis'!$M$27:$M$31</c:f>
              <c:strCache>
                <c:ptCount val="5"/>
                <c:pt idx="0">
                  <c:v>Supplier 1</c:v>
                </c:pt>
                <c:pt idx="1">
                  <c:v>Supplier 2</c:v>
                </c:pt>
                <c:pt idx="2">
                  <c:v>Supplier 3</c:v>
                </c:pt>
                <c:pt idx="3">
                  <c:v>Supplier 4</c:v>
                </c:pt>
                <c:pt idx="4">
                  <c:v>Supplier 5</c:v>
                </c:pt>
              </c:strCache>
            </c:strRef>
          </c:cat>
          <c:val>
            <c:numRef>
              <c:f>'General Analysis'!$N$27:$N$31</c:f>
              <c:numCache>
                <c:formatCode>General</c:formatCode>
                <c:ptCount val="5"/>
                <c:pt idx="0">
                  <c:v>6</c:v>
                </c:pt>
                <c:pt idx="1">
                  <c:v>8</c:v>
                </c:pt>
                <c:pt idx="2">
                  <c:v>3</c:v>
                </c:pt>
                <c:pt idx="3">
                  <c:v>12</c:v>
                </c:pt>
                <c:pt idx="4">
                  <c:v>7</c:v>
                </c:pt>
              </c:numCache>
            </c:numRef>
          </c:val>
          <c:extLst>
            <c:ext xmlns:c16="http://schemas.microsoft.com/office/drawing/2014/chart" uri="{C3380CC4-5D6E-409C-BE32-E72D297353CC}">
              <c16:uniqueId val="{00000000-8DDB-4CBF-988E-BE17FAC007F3}"/>
            </c:ext>
          </c:extLst>
        </c:ser>
        <c:ser>
          <c:idx val="1"/>
          <c:order val="1"/>
          <c:tx>
            <c:strRef>
              <c:f>'General Analysis'!$O$26</c:f>
              <c:strCache>
                <c:ptCount val="1"/>
                <c:pt idx="0">
                  <c:v>Pass</c:v>
                </c:pt>
              </c:strCache>
            </c:strRef>
          </c:tx>
          <c:spPr>
            <a:solidFill>
              <a:schemeClr val="accent2"/>
            </a:solidFill>
            <a:ln>
              <a:noFill/>
            </a:ln>
            <a:effectLst/>
          </c:spPr>
          <c:invertIfNegative val="0"/>
          <c:cat>
            <c:strRef>
              <c:f>'General Analysis'!$M$27:$M$31</c:f>
              <c:strCache>
                <c:ptCount val="5"/>
                <c:pt idx="0">
                  <c:v>Supplier 1</c:v>
                </c:pt>
                <c:pt idx="1">
                  <c:v>Supplier 2</c:v>
                </c:pt>
                <c:pt idx="2">
                  <c:v>Supplier 3</c:v>
                </c:pt>
                <c:pt idx="3">
                  <c:v>Supplier 4</c:v>
                </c:pt>
                <c:pt idx="4">
                  <c:v>Supplier 5</c:v>
                </c:pt>
              </c:strCache>
            </c:strRef>
          </c:cat>
          <c:val>
            <c:numRef>
              <c:f>'General Analysis'!$O$27:$O$31</c:f>
              <c:numCache>
                <c:formatCode>General</c:formatCode>
                <c:ptCount val="5"/>
                <c:pt idx="0">
                  <c:v>13</c:v>
                </c:pt>
                <c:pt idx="1">
                  <c:v>5</c:v>
                </c:pt>
                <c:pt idx="2">
                  <c:v>2</c:v>
                </c:pt>
                <c:pt idx="3">
                  <c:v>0</c:v>
                </c:pt>
                <c:pt idx="4">
                  <c:v>3</c:v>
                </c:pt>
              </c:numCache>
            </c:numRef>
          </c:val>
          <c:extLst>
            <c:ext xmlns:c16="http://schemas.microsoft.com/office/drawing/2014/chart" uri="{C3380CC4-5D6E-409C-BE32-E72D297353CC}">
              <c16:uniqueId val="{00000001-8DDB-4CBF-988E-BE17FAC007F3}"/>
            </c:ext>
          </c:extLst>
        </c:ser>
        <c:ser>
          <c:idx val="2"/>
          <c:order val="2"/>
          <c:tx>
            <c:strRef>
              <c:f>'General Analysis'!$P$26</c:f>
              <c:strCache>
                <c:ptCount val="1"/>
                <c:pt idx="0">
                  <c:v>Pending</c:v>
                </c:pt>
              </c:strCache>
            </c:strRef>
          </c:tx>
          <c:spPr>
            <a:solidFill>
              <a:schemeClr val="accent3"/>
            </a:solidFill>
            <a:ln>
              <a:noFill/>
            </a:ln>
            <a:effectLst/>
          </c:spPr>
          <c:invertIfNegative val="0"/>
          <c:cat>
            <c:strRef>
              <c:f>'General Analysis'!$M$27:$M$31</c:f>
              <c:strCache>
                <c:ptCount val="5"/>
                <c:pt idx="0">
                  <c:v>Supplier 1</c:v>
                </c:pt>
                <c:pt idx="1">
                  <c:v>Supplier 2</c:v>
                </c:pt>
                <c:pt idx="2">
                  <c:v>Supplier 3</c:v>
                </c:pt>
                <c:pt idx="3">
                  <c:v>Supplier 4</c:v>
                </c:pt>
                <c:pt idx="4">
                  <c:v>Supplier 5</c:v>
                </c:pt>
              </c:strCache>
            </c:strRef>
          </c:cat>
          <c:val>
            <c:numRef>
              <c:f>'General Analysis'!$P$27:$P$31</c:f>
              <c:numCache>
                <c:formatCode>General</c:formatCode>
                <c:ptCount val="5"/>
                <c:pt idx="0">
                  <c:v>8</c:v>
                </c:pt>
                <c:pt idx="1">
                  <c:v>9</c:v>
                </c:pt>
                <c:pt idx="2">
                  <c:v>10</c:v>
                </c:pt>
                <c:pt idx="3">
                  <c:v>6</c:v>
                </c:pt>
                <c:pt idx="4">
                  <c:v>8</c:v>
                </c:pt>
              </c:numCache>
            </c:numRef>
          </c:val>
          <c:extLst>
            <c:ext xmlns:c16="http://schemas.microsoft.com/office/drawing/2014/chart" uri="{C3380CC4-5D6E-409C-BE32-E72D297353CC}">
              <c16:uniqueId val="{00000002-8DDB-4CBF-988E-BE17FAC007F3}"/>
            </c:ext>
          </c:extLst>
        </c:ser>
        <c:dLbls>
          <c:showLegendKey val="0"/>
          <c:showVal val="0"/>
          <c:showCatName val="0"/>
          <c:showSerName val="0"/>
          <c:showPercent val="0"/>
          <c:showBubbleSize val="0"/>
        </c:dLbls>
        <c:gapWidth val="219"/>
        <c:overlap val="-27"/>
        <c:axId val="6871919"/>
        <c:axId val="6860399"/>
      </c:barChart>
      <c:catAx>
        <c:axId val="687191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60399"/>
        <c:crosses val="autoZero"/>
        <c:auto val="1"/>
        <c:lblAlgn val="ctr"/>
        <c:lblOffset val="100"/>
        <c:noMultiLvlLbl val="0"/>
      </c:catAx>
      <c:valAx>
        <c:axId val="686039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71919"/>
        <c:crosses val="autoZero"/>
        <c:crossBetween val="between"/>
      </c:valAx>
      <c:spPr>
        <a:noFill/>
        <a:ln>
          <a:noFill/>
        </a:ln>
        <a:effectLst/>
      </c:spPr>
    </c:plotArea>
    <c:legend>
      <c:legendPos val="l"/>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Average Lead Time by Route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'General Analysis'!$O$18</c:f>
              <c:strCache>
                <c:ptCount val="1"/>
                <c:pt idx="0">
                  <c:v>Average of Lead Time</c:v>
                </c:pt>
              </c:strCache>
            </c:strRef>
          </c:tx>
          <c:spPr>
            <a:solidFill>
              <a:schemeClr val="accent1"/>
            </a:solidFill>
            <a:ln>
              <a:noFill/>
            </a:ln>
            <a:effectLst/>
            <a:sp3d/>
          </c:spPr>
          <c:invertIfNegative val="0"/>
          <c:cat>
            <c:strRef>
              <c:f>'General Analysis'!$N$19:$N$21</c:f>
              <c:strCache>
                <c:ptCount val="3"/>
                <c:pt idx="0">
                  <c:v>Route A</c:v>
                </c:pt>
                <c:pt idx="1">
                  <c:v>Route B</c:v>
                </c:pt>
                <c:pt idx="2">
                  <c:v>Route C</c:v>
                </c:pt>
              </c:strCache>
            </c:strRef>
          </c:cat>
          <c:val>
            <c:numRef>
              <c:f>'General Analysis'!$O$19:$O$21</c:f>
              <c:numCache>
                <c:formatCode>0</c:formatCode>
                <c:ptCount val="3"/>
                <c:pt idx="0">
                  <c:v>16.395348837209301</c:v>
                </c:pt>
                <c:pt idx="1">
                  <c:v>18.162162162162161</c:v>
                </c:pt>
                <c:pt idx="2">
                  <c:v>16.55</c:v>
                </c:pt>
              </c:numCache>
            </c:numRef>
          </c:val>
          <c:extLst>
            <c:ext xmlns:c16="http://schemas.microsoft.com/office/drawing/2014/chart" uri="{C3380CC4-5D6E-409C-BE32-E72D297353CC}">
              <c16:uniqueId val="{00000000-F3E6-4C26-BDCE-1B6500186633}"/>
            </c:ext>
          </c:extLst>
        </c:ser>
        <c:dLbls>
          <c:showLegendKey val="0"/>
          <c:showVal val="0"/>
          <c:showCatName val="0"/>
          <c:showSerName val="0"/>
          <c:showPercent val="0"/>
          <c:showBubbleSize val="0"/>
        </c:dLbls>
        <c:gapWidth val="150"/>
        <c:shape val="box"/>
        <c:axId val="222738367"/>
        <c:axId val="222738847"/>
        <c:axId val="0"/>
      </c:bar3DChart>
      <c:catAx>
        <c:axId val="222738367"/>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2738847"/>
        <c:crosses val="autoZero"/>
        <c:auto val="1"/>
        <c:lblAlgn val="ctr"/>
        <c:lblOffset val="100"/>
        <c:noMultiLvlLbl val="0"/>
      </c:catAx>
      <c:valAx>
        <c:axId val="222738847"/>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273836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EOQ and</a:t>
            </a:r>
            <a:r>
              <a:rPr lang="en-IN" baseline="0"/>
              <a:t> Order Quantities</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'General Analysis'!$S$1</c:f>
              <c:strCache>
                <c:ptCount val="1"/>
                <c:pt idx="0">
                  <c:v>Order Quantities</c:v>
                </c:pt>
              </c:strCache>
            </c:strRef>
          </c:tx>
          <c:spPr>
            <a:solidFill>
              <a:schemeClr val="accent1"/>
            </a:solidFill>
            <a:ln>
              <a:noFill/>
            </a:ln>
            <a:effectLst/>
          </c:spPr>
          <c:invertIfNegative val="0"/>
          <c:cat>
            <c:strRef>
              <c:f>'General Analysis'!$R$2:$R$101</c:f>
              <c:strCache>
                <c:ptCount val="100"/>
                <c:pt idx="0">
                  <c:v>SKU0</c:v>
                </c:pt>
                <c:pt idx="1">
                  <c:v>SKU1</c:v>
                </c:pt>
                <c:pt idx="2">
                  <c:v>SKU2</c:v>
                </c:pt>
                <c:pt idx="3">
                  <c:v>SKU3</c:v>
                </c:pt>
                <c:pt idx="4">
                  <c:v>SKU4</c:v>
                </c:pt>
                <c:pt idx="5">
                  <c:v>SKU5</c:v>
                </c:pt>
                <c:pt idx="6">
                  <c:v>SKU6</c:v>
                </c:pt>
                <c:pt idx="7">
                  <c:v>SKU7</c:v>
                </c:pt>
                <c:pt idx="8">
                  <c:v>SKU8</c:v>
                </c:pt>
                <c:pt idx="9">
                  <c:v>SKU9</c:v>
                </c:pt>
                <c:pt idx="10">
                  <c:v>SKU10</c:v>
                </c:pt>
                <c:pt idx="11">
                  <c:v>SKU11</c:v>
                </c:pt>
                <c:pt idx="12">
                  <c:v>SKU12</c:v>
                </c:pt>
                <c:pt idx="13">
                  <c:v>SKU13</c:v>
                </c:pt>
                <c:pt idx="14">
                  <c:v>SKU14</c:v>
                </c:pt>
                <c:pt idx="15">
                  <c:v>SKU15</c:v>
                </c:pt>
                <c:pt idx="16">
                  <c:v>SKU16</c:v>
                </c:pt>
                <c:pt idx="17">
                  <c:v>SKU17</c:v>
                </c:pt>
                <c:pt idx="18">
                  <c:v>SKU18</c:v>
                </c:pt>
                <c:pt idx="19">
                  <c:v>SKU19</c:v>
                </c:pt>
                <c:pt idx="20">
                  <c:v>SKU20</c:v>
                </c:pt>
                <c:pt idx="21">
                  <c:v>SKU21</c:v>
                </c:pt>
                <c:pt idx="22">
                  <c:v>SKU22</c:v>
                </c:pt>
                <c:pt idx="23">
                  <c:v>SKU23</c:v>
                </c:pt>
                <c:pt idx="24">
                  <c:v>SKU24</c:v>
                </c:pt>
                <c:pt idx="25">
                  <c:v>SKU25</c:v>
                </c:pt>
                <c:pt idx="26">
                  <c:v>SKU26</c:v>
                </c:pt>
                <c:pt idx="27">
                  <c:v>SKU27</c:v>
                </c:pt>
                <c:pt idx="28">
                  <c:v>SKU28</c:v>
                </c:pt>
                <c:pt idx="29">
                  <c:v>SKU29</c:v>
                </c:pt>
                <c:pt idx="30">
                  <c:v>SKU30</c:v>
                </c:pt>
                <c:pt idx="31">
                  <c:v>SKU31</c:v>
                </c:pt>
                <c:pt idx="32">
                  <c:v>SKU32</c:v>
                </c:pt>
                <c:pt idx="33">
                  <c:v>SKU33</c:v>
                </c:pt>
                <c:pt idx="34">
                  <c:v>SKU34</c:v>
                </c:pt>
                <c:pt idx="35">
                  <c:v>SKU35</c:v>
                </c:pt>
                <c:pt idx="36">
                  <c:v>SKU36</c:v>
                </c:pt>
                <c:pt idx="37">
                  <c:v>SKU37</c:v>
                </c:pt>
                <c:pt idx="38">
                  <c:v>SKU38</c:v>
                </c:pt>
                <c:pt idx="39">
                  <c:v>SKU39</c:v>
                </c:pt>
                <c:pt idx="40">
                  <c:v>SKU40</c:v>
                </c:pt>
                <c:pt idx="41">
                  <c:v>SKU41</c:v>
                </c:pt>
                <c:pt idx="42">
                  <c:v>SKU42</c:v>
                </c:pt>
                <c:pt idx="43">
                  <c:v>SKU43</c:v>
                </c:pt>
                <c:pt idx="44">
                  <c:v>SKU44</c:v>
                </c:pt>
                <c:pt idx="45">
                  <c:v>SKU45</c:v>
                </c:pt>
                <c:pt idx="46">
                  <c:v>SKU46</c:v>
                </c:pt>
                <c:pt idx="47">
                  <c:v>SKU47</c:v>
                </c:pt>
                <c:pt idx="48">
                  <c:v>SKU48</c:v>
                </c:pt>
                <c:pt idx="49">
                  <c:v>SKU49</c:v>
                </c:pt>
                <c:pt idx="50">
                  <c:v>SKU50</c:v>
                </c:pt>
                <c:pt idx="51">
                  <c:v>SKU51</c:v>
                </c:pt>
                <c:pt idx="52">
                  <c:v>SKU52</c:v>
                </c:pt>
                <c:pt idx="53">
                  <c:v>SKU53</c:v>
                </c:pt>
                <c:pt idx="54">
                  <c:v>SKU54</c:v>
                </c:pt>
                <c:pt idx="55">
                  <c:v>SKU55</c:v>
                </c:pt>
                <c:pt idx="56">
                  <c:v>SKU56</c:v>
                </c:pt>
                <c:pt idx="57">
                  <c:v>SKU57</c:v>
                </c:pt>
                <c:pt idx="58">
                  <c:v>SKU58</c:v>
                </c:pt>
                <c:pt idx="59">
                  <c:v>SKU59</c:v>
                </c:pt>
                <c:pt idx="60">
                  <c:v>SKU60</c:v>
                </c:pt>
                <c:pt idx="61">
                  <c:v>SKU61</c:v>
                </c:pt>
                <c:pt idx="62">
                  <c:v>SKU62</c:v>
                </c:pt>
                <c:pt idx="63">
                  <c:v>SKU63</c:v>
                </c:pt>
                <c:pt idx="64">
                  <c:v>SKU64</c:v>
                </c:pt>
                <c:pt idx="65">
                  <c:v>SKU65</c:v>
                </c:pt>
                <c:pt idx="66">
                  <c:v>SKU66</c:v>
                </c:pt>
                <c:pt idx="67">
                  <c:v>SKU67</c:v>
                </c:pt>
                <c:pt idx="68">
                  <c:v>SKU68</c:v>
                </c:pt>
                <c:pt idx="69">
                  <c:v>SKU69</c:v>
                </c:pt>
                <c:pt idx="70">
                  <c:v>SKU70</c:v>
                </c:pt>
                <c:pt idx="71">
                  <c:v>SKU71</c:v>
                </c:pt>
                <c:pt idx="72">
                  <c:v>SKU72</c:v>
                </c:pt>
                <c:pt idx="73">
                  <c:v>SKU73</c:v>
                </c:pt>
                <c:pt idx="74">
                  <c:v>SKU74</c:v>
                </c:pt>
                <c:pt idx="75">
                  <c:v>SKU75</c:v>
                </c:pt>
                <c:pt idx="76">
                  <c:v>SKU76</c:v>
                </c:pt>
                <c:pt idx="77">
                  <c:v>SKU77</c:v>
                </c:pt>
                <c:pt idx="78">
                  <c:v>SKU78</c:v>
                </c:pt>
                <c:pt idx="79">
                  <c:v>SKU79</c:v>
                </c:pt>
                <c:pt idx="80">
                  <c:v>SKU80</c:v>
                </c:pt>
                <c:pt idx="81">
                  <c:v>SKU81</c:v>
                </c:pt>
                <c:pt idx="82">
                  <c:v>SKU82</c:v>
                </c:pt>
                <c:pt idx="83">
                  <c:v>SKU83</c:v>
                </c:pt>
                <c:pt idx="84">
                  <c:v>SKU84</c:v>
                </c:pt>
                <c:pt idx="85">
                  <c:v>SKU85</c:v>
                </c:pt>
                <c:pt idx="86">
                  <c:v>SKU86</c:v>
                </c:pt>
                <c:pt idx="87">
                  <c:v>SKU87</c:v>
                </c:pt>
                <c:pt idx="88">
                  <c:v>SKU88</c:v>
                </c:pt>
                <c:pt idx="89">
                  <c:v>SKU89</c:v>
                </c:pt>
                <c:pt idx="90">
                  <c:v>SKU90</c:v>
                </c:pt>
                <c:pt idx="91">
                  <c:v>SKU91</c:v>
                </c:pt>
                <c:pt idx="92">
                  <c:v>SKU92</c:v>
                </c:pt>
                <c:pt idx="93">
                  <c:v>SKU93</c:v>
                </c:pt>
                <c:pt idx="94">
                  <c:v>SKU94</c:v>
                </c:pt>
                <c:pt idx="95">
                  <c:v>SKU95</c:v>
                </c:pt>
                <c:pt idx="96">
                  <c:v>SKU96</c:v>
                </c:pt>
                <c:pt idx="97">
                  <c:v>SKU97</c:v>
                </c:pt>
                <c:pt idx="98">
                  <c:v>SKU98</c:v>
                </c:pt>
                <c:pt idx="99">
                  <c:v>SKU99</c:v>
                </c:pt>
              </c:strCache>
            </c:strRef>
          </c:cat>
          <c:val>
            <c:numRef>
              <c:f>'General Analysis'!$S$2:$S$101</c:f>
              <c:numCache>
                <c:formatCode>General</c:formatCode>
                <c:ptCount val="100"/>
                <c:pt idx="0">
                  <c:v>96</c:v>
                </c:pt>
                <c:pt idx="1">
                  <c:v>37</c:v>
                </c:pt>
                <c:pt idx="2">
                  <c:v>88</c:v>
                </c:pt>
                <c:pt idx="3">
                  <c:v>59</c:v>
                </c:pt>
                <c:pt idx="4">
                  <c:v>56</c:v>
                </c:pt>
                <c:pt idx="5">
                  <c:v>66</c:v>
                </c:pt>
                <c:pt idx="6">
                  <c:v>58</c:v>
                </c:pt>
                <c:pt idx="7">
                  <c:v>11</c:v>
                </c:pt>
                <c:pt idx="8">
                  <c:v>15</c:v>
                </c:pt>
                <c:pt idx="9">
                  <c:v>83</c:v>
                </c:pt>
                <c:pt idx="10">
                  <c:v>80</c:v>
                </c:pt>
                <c:pt idx="11">
                  <c:v>60</c:v>
                </c:pt>
                <c:pt idx="12">
                  <c:v>85</c:v>
                </c:pt>
                <c:pt idx="13">
                  <c:v>48</c:v>
                </c:pt>
                <c:pt idx="14">
                  <c:v>78</c:v>
                </c:pt>
                <c:pt idx="15">
                  <c:v>69</c:v>
                </c:pt>
                <c:pt idx="16">
                  <c:v>78</c:v>
                </c:pt>
                <c:pt idx="17">
                  <c:v>85</c:v>
                </c:pt>
                <c:pt idx="18">
                  <c:v>46</c:v>
                </c:pt>
                <c:pt idx="19">
                  <c:v>94</c:v>
                </c:pt>
                <c:pt idx="20">
                  <c:v>68</c:v>
                </c:pt>
                <c:pt idx="21">
                  <c:v>7</c:v>
                </c:pt>
                <c:pt idx="22">
                  <c:v>63</c:v>
                </c:pt>
                <c:pt idx="23">
                  <c:v>29</c:v>
                </c:pt>
                <c:pt idx="24">
                  <c:v>2</c:v>
                </c:pt>
                <c:pt idx="25">
                  <c:v>52</c:v>
                </c:pt>
                <c:pt idx="26">
                  <c:v>48</c:v>
                </c:pt>
                <c:pt idx="27">
                  <c:v>62</c:v>
                </c:pt>
                <c:pt idx="28">
                  <c:v>24</c:v>
                </c:pt>
                <c:pt idx="29">
                  <c:v>67</c:v>
                </c:pt>
                <c:pt idx="30">
                  <c:v>35</c:v>
                </c:pt>
                <c:pt idx="31">
                  <c:v>44</c:v>
                </c:pt>
                <c:pt idx="32">
                  <c:v>64</c:v>
                </c:pt>
                <c:pt idx="33">
                  <c:v>95</c:v>
                </c:pt>
                <c:pt idx="34">
                  <c:v>21</c:v>
                </c:pt>
                <c:pt idx="35">
                  <c:v>85</c:v>
                </c:pt>
                <c:pt idx="36">
                  <c:v>28</c:v>
                </c:pt>
                <c:pt idx="37">
                  <c:v>21</c:v>
                </c:pt>
                <c:pt idx="38">
                  <c:v>88</c:v>
                </c:pt>
                <c:pt idx="39">
                  <c:v>34</c:v>
                </c:pt>
                <c:pt idx="40">
                  <c:v>39</c:v>
                </c:pt>
                <c:pt idx="41">
                  <c:v>38</c:v>
                </c:pt>
                <c:pt idx="42">
                  <c:v>57</c:v>
                </c:pt>
                <c:pt idx="43">
                  <c:v>85</c:v>
                </c:pt>
                <c:pt idx="44">
                  <c:v>72</c:v>
                </c:pt>
                <c:pt idx="45">
                  <c:v>52</c:v>
                </c:pt>
                <c:pt idx="46">
                  <c:v>6</c:v>
                </c:pt>
                <c:pt idx="47">
                  <c:v>51</c:v>
                </c:pt>
                <c:pt idx="48">
                  <c:v>9</c:v>
                </c:pt>
                <c:pt idx="49">
                  <c:v>9</c:v>
                </c:pt>
                <c:pt idx="50">
                  <c:v>82</c:v>
                </c:pt>
                <c:pt idx="51">
                  <c:v>52</c:v>
                </c:pt>
                <c:pt idx="52">
                  <c:v>11</c:v>
                </c:pt>
                <c:pt idx="53">
                  <c:v>54</c:v>
                </c:pt>
                <c:pt idx="54">
                  <c:v>61</c:v>
                </c:pt>
                <c:pt idx="55">
                  <c:v>11</c:v>
                </c:pt>
                <c:pt idx="56">
                  <c:v>83</c:v>
                </c:pt>
                <c:pt idx="57">
                  <c:v>51</c:v>
                </c:pt>
                <c:pt idx="58">
                  <c:v>44</c:v>
                </c:pt>
                <c:pt idx="59">
                  <c:v>26</c:v>
                </c:pt>
                <c:pt idx="60">
                  <c:v>72</c:v>
                </c:pt>
                <c:pt idx="61">
                  <c:v>36</c:v>
                </c:pt>
                <c:pt idx="62">
                  <c:v>40</c:v>
                </c:pt>
                <c:pt idx="63">
                  <c:v>10</c:v>
                </c:pt>
                <c:pt idx="64">
                  <c:v>75</c:v>
                </c:pt>
                <c:pt idx="65">
                  <c:v>54</c:v>
                </c:pt>
                <c:pt idx="66">
                  <c:v>19</c:v>
                </c:pt>
                <c:pt idx="67">
                  <c:v>71</c:v>
                </c:pt>
                <c:pt idx="68">
                  <c:v>58</c:v>
                </c:pt>
                <c:pt idx="69">
                  <c:v>27</c:v>
                </c:pt>
                <c:pt idx="70">
                  <c:v>22</c:v>
                </c:pt>
                <c:pt idx="71">
                  <c:v>26</c:v>
                </c:pt>
                <c:pt idx="72">
                  <c:v>77</c:v>
                </c:pt>
                <c:pt idx="73">
                  <c:v>66</c:v>
                </c:pt>
                <c:pt idx="74">
                  <c:v>1</c:v>
                </c:pt>
                <c:pt idx="75">
                  <c:v>56</c:v>
                </c:pt>
                <c:pt idx="76">
                  <c:v>22</c:v>
                </c:pt>
                <c:pt idx="77">
                  <c:v>57</c:v>
                </c:pt>
                <c:pt idx="78">
                  <c:v>51</c:v>
                </c:pt>
                <c:pt idx="79">
                  <c:v>20</c:v>
                </c:pt>
                <c:pt idx="80">
                  <c:v>41</c:v>
                </c:pt>
                <c:pt idx="81">
                  <c:v>8</c:v>
                </c:pt>
                <c:pt idx="82">
                  <c:v>72</c:v>
                </c:pt>
                <c:pt idx="83">
                  <c:v>7</c:v>
                </c:pt>
                <c:pt idx="84">
                  <c:v>80</c:v>
                </c:pt>
                <c:pt idx="85">
                  <c:v>66</c:v>
                </c:pt>
                <c:pt idx="86">
                  <c:v>22</c:v>
                </c:pt>
                <c:pt idx="87">
                  <c:v>55</c:v>
                </c:pt>
                <c:pt idx="88">
                  <c:v>85</c:v>
                </c:pt>
                <c:pt idx="89">
                  <c:v>27</c:v>
                </c:pt>
                <c:pt idx="90">
                  <c:v>96</c:v>
                </c:pt>
                <c:pt idx="91">
                  <c:v>85</c:v>
                </c:pt>
                <c:pt idx="92">
                  <c:v>10</c:v>
                </c:pt>
                <c:pt idx="93">
                  <c:v>66</c:v>
                </c:pt>
                <c:pt idx="94">
                  <c:v>72</c:v>
                </c:pt>
                <c:pt idx="95">
                  <c:v>26</c:v>
                </c:pt>
                <c:pt idx="96">
                  <c:v>32</c:v>
                </c:pt>
                <c:pt idx="97">
                  <c:v>4</c:v>
                </c:pt>
                <c:pt idx="98">
                  <c:v>27</c:v>
                </c:pt>
                <c:pt idx="99">
                  <c:v>59</c:v>
                </c:pt>
              </c:numCache>
            </c:numRef>
          </c:val>
          <c:extLst>
            <c:ext xmlns:c16="http://schemas.microsoft.com/office/drawing/2014/chart" uri="{C3380CC4-5D6E-409C-BE32-E72D297353CC}">
              <c16:uniqueId val="{00000000-2AF0-49E3-B626-A2AB51F2AF48}"/>
            </c:ext>
          </c:extLst>
        </c:ser>
        <c:ser>
          <c:idx val="1"/>
          <c:order val="1"/>
          <c:tx>
            <c:strRef>
              <c:f>'General Analysis'!$T$1</c:f>
              <c:strCache>
                <c:ptCount val="1"/>
                <c:pt idx="0">
                  <c:v>EOQ</c:v>
                </c:pt>
              </c:strCache>
            </c:strRef>
          </c:tx>
          <c:spPr>
            <a:solidFill>
              <a:schemeClr val="accent2"/>
            </a:solidFill>
            <a:ln>
              <a:noFill/>
            </a:ln>
            <a:effectLst/>
          </c:spPr>
          <c:invertIfNegative val="0"/>
          <c:cat>
            <c:strRef>
              <c:f>'General Analysis'!$R$2:$R$101</c:f>
              <c:strCache>
                <c:ptCount val="100"/>
                <c:pt idx="0">
                  <c:v>SKU0</c:v>
                </c:pt>
                <c:pt idx="1">
                  <c:v>SKU1</c:v>
                </c:pt>
                <c:pt idx="2">
                  <c:v>SKU2</c:v>
                </c:pt>
                <c:pt idx="3">
                  <c:v>SKU3</c:v>
                </c:pt>
                <c:pt idx="4">
                  <c:v>SKU4</c:v>
                </c:pt>
                <c:pt idx="5">
                  <c:v>SKU5</c:v>
                </c:pt>
                <c:pt idx="6">
                  <c:v>SKU6</c:v>
                </c:pt>
                <c:pt idx="7">
                  <c:v>SKU7</c:v>
                </c:pt>
                <c:pt idx="8">
                  <c:v>SKU8</c:v>
                </c:pt>
                <c:pt idx="9">
                  <c:v>SKU9</c:v>
                </c:pt>
                <c:pt idx="10">
                  <c:v>SKU10</c:v>
                </c:pt>
                <c:pt idx="11">
                  <c:v>SKU11</c:v>
                </c:pt>
                <c:pt idx="12">
                  <c:v>SKU12</c:v>
                </c:pt>
                <c:pt idx="13">
                  <c:v>SKU13</c:v>
                </c:pt>
                <c:pt idx="14">
                  <c:v>SKU14</c:v>
                </c:pt>
                <c:pt idx="15">
                  <c:v>SKU15</c:v>
                </c:pt>
                <c:pt idx="16">
                  <c:v>SKU16</c:v>
                </c:pt>
                <c:pt idx="17">
                  <c:v>SKU17</c:v>
                </c:pt>
                <c:pt idx="18">
                  <c:v>SKU18</c:v>
                </c:pt>
                <c:pt idx="19">
                  <c:v>SKU19</c:v>
                </c:pt>
                <c:pt idx="20">
                  <c:v>SKU20</c:v>
                </c:pt>
                <c:pt idx="21">
                  <c:v>SKU21</c:v>
                </c:pt>
                <c:pt idx="22">
                  <c:v>SKU22</c:v>
                </c:pt>
                <c:pt idx="23">
                  <c:v>SKU23</c:v>
                </c:pt>
                <c:pt idx="24">
                  <c:v>SKU24</c:v>
                </c:pt>
                <c:pt idx="25">
                  <c:v>SKU25</c:v>
                </c:pt>
                <c:pt idx="26">
                  <c:v>SKU26</c:v>
                </c:pt>
                <c:pt idx="27">
                  <c:v>SKU27</c:v>
                </c:pt>
                <c:pt idx="28">
                  <c:v>SKU28</c:v>
                </c:pt>
                <c:pt idx="29">
                  <c:v>SKU29</c:v>
                </c:pt>
                <c:pt idx="30">
                  <c:v>SKU30</c:v>
                </c:pt>
                <c:pt idx="31">
                  <c:v>SKU31</c:v>
                </c:pt>
                <c:pt idx="32">
                  <c:v>SKU32</c:v>
                </c:pt>
                <c:pt idx="33">
                  <c:v>SKU33</c:v>
                </c:pt>
                <c:pt idx="34">
                  <c:v>SKU34</c:v>
                </c:pt>
                <c:pt idx="35">
                  <c:v>SKU35</c:v>
                </c:pt>
                <c:pt idx="36">
                  <c:v>SKU36</c:v>
                </c:pt>
                <c:pt idx="37">
                  <c:v>SKU37</c:v>
                </c:pt>
                <c:pt idx="38">
                  <c:v>SKU38</c:v>
                </c:pt>
                <c:pt idx="39">
                  <c:v>SKU39</c:v>
                </c:pt>
                <c:pt idx="40">
                  <c:v>SKU40</c:v>
                </c:pt>
                <c:pt idx="41">
                  <c:v>SKU41</c:v>
                </c:pt>
                <c:pt idx="42">
                  <c:v>SKU42</c:v>
                </c:pt>
                <c:pt idx="43">
                  <c:v>SKU43</c:v>
                </c:pt>
                <c:pt idx="44">
                  <c:v>SKU44</c:v>
                </c:pt>
                <c:pt idx="45">
                  <c:v>SKU45</c:v>
                </c:pt>
                <c:pt idx="46">
                  <c:v>SKU46</c:v>
                </c:pt>
                <c:pt idx="47">
                  <c:v>SKU47</c:v>
                </c:pt>
                <c:pt idx="48">
                  <c:v>SKU48</c:v>
                </c:pt>
                <c:pt idx="49">
                  <c:v>SKU49</c:v>
                </c:pt>
                <c:pt idx="50">
                  <c:v>SKU50</c:v>
                </c:pt>
                <c:pt idx="51">
                  <c:v>SKU51</c:v>
                </c:pt>
                <c:pt idx="52">
                  <c:v>SKU52</c:v>
                </c:pt>
                <c:pt idx="53">
                  <c:v>SKU53</c:v>
                </c:pt>
                <c:pt idx="54">
                  <c:v>SKU54</c:v>
                </c:pt>
                <c:pt idx="55">
                  <c:v>SKU55</c:v>
                </c:pt>
                <c:pt idx="56">
                  <c:v>SKU56</c:v>
                </c:pt>
                <c:pt idx="57">
                  <c:v>SKU57</c:v>
                </c:pt>
                <c:pt idx="58">
                  <c:v>SKU58</c:v>
                </c:pt>
                <c:pt idx="59">
                  <c:v>SKU59</c:v>
                </c:pt>
                <c:pt idx="60">
                  <c:v>SKU60</c:v>
                </c:pt>
                <c:pt idx="61">
                  <c:v>SKU61</c:v>
                </c:pt>
                <c:pt idx="62">
                  <c:v>SKU62</c:v>
                </c:pt>
                <c:pt idx="63">
                  <c:v>SKU63</c:v>
                </c:pt>
                <c:pt idx="64">
                  <c:v>SKU64</c:v>
                </c:pt>
                <c:pt idx="65">
                  <c:v>SKU65</c:v>
                </c:pt>
                <c:pt idx="66">
                  <c:v>SKU66</c:v>
                </c:pt>
                <c:pt idx="67">
                  <c:v>SKU67</c:v>
                </c:pt>
                <c:pt idx="68">
                  <c:v>SKU68</c:v>
                </c:pt>
                <c:pt idx="69">
                  <c:v>SKU69</c:v>
                </c:pt>
                <c:pt idx="70">
                  <c:v>SKU70</c:v>
                </c:pt>
                <c:pt idx="71">
                  <c:v>SKU71</c:v>
                </c:pt>
                <c:pt idx="72">
                  <c:v>SKU72</c:v>
                </c:pt>
                <c:pt idx="73">
                  <c:v>SKU73</c:v>
                </c:pt>
                <c:pt idx="74">
                  <c:v>SKU74</c:v>
                </c:pt>
                <c:pt idx="75">
                  <c:v>SKU75</c:v>
                </c:pt>
                <c:pt idx="76">
                  <c:v>SKU76</c:v>
                </c:pt>
                <c:pt idx="77">
                  <c:v>SKU77</c:v>
                </c:pt>
                <c:pt idx="78">
                  <c:v>SKU78</c:v>
                </c:pt>
                <c:pt idx="79">
                  <c:v>SKU79</c:v>
                </c:pt>
                <c:pt idx="80">
                  <c:v>SKU80</c:v>
                </c:pt>
                <c:pt idx="81">
                  <c:v>SKU81</c:v>
                </c:pt>
                <c:pt idx="82">
                  <c:v>SKU82</c:v>
                </c:pt>
                <c:pt idx="83">
                  <c:v>SKU83</c:v>
                </c:pt>
                <c:pt idx="84">
                  <c:v>SKU84</c:v>
                </c:pt>
                <c:pt idx="85">
                  <c:v>SKU85</c:v>
                </c:pt>
                <c:pt idx="86">
                  <c:v>SKU86</c:v>
                </c:pt>
                <c:pt idx="87">
                  <c:v>SKU87</c:v>
                </c:pt>
                <c:pt idx="88">
                  <c:v>SKU88</c:v>
                </c:pt>
                <c:pt idx="89">
                  <c:v>SKU89</c:v>
                </c:pt>
                <c:pt idx="90">
                  <c:v>SKU90</c:v>
                </c:pt>
                <c:pt idx="91">
                  <c:v>SKU91</c:v>
                </c:pt>
                <c:pt idx="92">
                  <c:v>SKU92</c:v>
                </c:pt>
                <c:pt idx="93">
                  <c:v>SKU93</c:v>
                </c:pt>
                <c:pt idx="94">
                  <c:v>SKU94</c:v>
                </c:pt>
                <c:pt idx="95">
                  <c:v>SKU95</c:v>
                </c:pt>
                <c:pt idx="96">
                  <c:v>SKU96</c:v>
                </c:pt>
                <c:pt idx="97">
                  <c:v>SKU97</c:v>
                </c:pt>
                <c:pt idx="98">
                  <c:v>SKU98</c:v>
                </c:pt>
                <c:pt idx="99">
                  <c:v>SKU99</c:v>
                </c:pt>
              </c:strCache>
            </c:strRef>
          </c:cat>
          <c:val>
            <c:numRef>
              <c:f>'General Analysis'!$T$2:$T$101</c:f>
              <c:numCache>
                <c:formatCode>0</c:formatCode>
                <c:ptCount val="100"/>
                <c:pt idx="0">
                  <c:v>119.91715399347879</c:v>
                </c:pt>
                <c:pt idx="1">
                  <c:v>407.79047756521732</c:v>
                </c:pt>
                <c:pt idx="2">
                  <c:v>25.858567255027648</c:v>
                </c:pt>
                <c:pt idx="3">
                  <c:v>48.00950215159439</c:v>
                </c:pt>
                <c:pt idx="4">
                  <c:v>1056.328083697176</c:v>
                </c:pt>
                <c:pt idx="5">
                  <c:v>368.42691656165243</c:v>
                </c:pt>
                <c:pt idx="6">
                  <c:v>119.48665777465961</c:v>
                </c:pt>
                <c:pt idx="7">
                  <c:v>230.27014297991101</c:v>
                </c:pt>
                <c:pt idx="8">
                  <c:v>85.773106680231308</c:v>
                </c:pt>
                <c:pt idx="9">
                  <c:v>318.8146995134714</c:v>
                </c:pt>
                <c:pt idx="10">
                  <c:v>583.74306552558414</c:v>
                </c:pt>
                <c:pt idx="11">
                  <c:v>94.595111950026507</c:v>
                </c:pt>
                <c:pt idx="12">
                  <c:v>112.58457352635722</c:v>
                </c:pt>
                <c:pt idx="13">
                  <c:v>237.09227105686674</c:v>
                </c:pt>
                <c:pt idx="14">
                  <c:v>187.36665771473818</c:v>
                </c:pt>
                <c:pt idx="15">
                  <c:v>103.96172232742846</c:v>
                </c:pt>
                <c:pt idx="16">
                  <c:v>462.68057123818721</c:v>
                </c:pt>
                <c:pt idx="17">
                  <c:v>83.176513316586593</c:v>
                </c:pt>
                <c:pt idx="18">
                  <c:v>259.44335560415539</c:v>
                </c:pt>
                <c:pt idx="19">
                  <c:v>107.88535658914432</c:v>
                </c:pt>
                <c:pt idx="20">
                  <c:v>104.57562737441745</c:v>
                </c:pt>
                <c:pt idx="21">
                  <c:v>157.16436639374501</c:v>
                </c:pt>
                <c:pt idx="22">
                  <c:v>209.20938132520277</c:v>
                </c:pt>
                <c:pt idx="23">
                  <c:v>344.0135063950259</c:v>
                </c:pt>
                <c:pt idx="24">
                  <c:v>504.3311175852449</c:v>
                </c:pt>
                <c:pt idx="25">
                  <c:v>104.65905148162831</c:v>
                </c:pt>
                <c:pt idx="26">
                  <c:v>122.15326404353743</c:v>
                </c:pt>
                <c:pt idx="27">
                  <c:v>139.03640194741359</c:v>
                </c:pt>
                <c:pt idx="28">
                  <c:v>367.76153829136996</c:v>
                </c:pt>
                <c:pt idx="29">
                  <c:v>142.60000619700625</c:v>
                </c:pt>
                <c:pt idx="30">
                  <c:v>489.01815294248354</c:v>
                </c:pt>
                <c:pt idx="31">
                  <c:v>115.85598691593887</c:v>
                </c:pt>
                <c:pt idx="32">
                  <c:v>223.68249743558781</c:v>
                </c:pt>
                <c:pt idx="33">
                  <c:v>153.39416870545409</c:v>
                </c:pt>
                <c:pt idx="34">
                  <c:v>233.80951800619732</c:v>
                </c:pt>
                <c:pt idx="35">
                  <c:v>139.63797936271152</c:v>
                </c:pt>
                <c:pt idx="36">
                  <c:v>513.98984754126627</c:v>
                </c:pt>
                <c:pt idx="37">
                  <c:v>224.64192677860444</c:v>
                </c:pt>
                <c:pt idx="38">
                  <c:v>175.08979699257299</c:v>
                </c:pt>
                <c:pt idx="39">
                  <c:v>200.2452065274224</c:v>
                </c:pt>
                <c:pt idx="40">
                  <c:v>202.2763426611593</c:v>
                </c:pt>
                <c:pt idx="41">
                  <c:v>101.50929847068019</c:v>
                </c:pt>
                <c:pt idx="42">
                  <c:v>118.81438818852617</c:v>
                </c:pt>
                <c:pt idx="43">
                  <c:v>493.03789190471633</c:v>
                </c:pt>
                <c:pt idx="44">
                  <c:v>269.86317600373729</c:v>
                </c:pt>
                <c:pt idx="45">
                  <c:v>48.432872970564532</c:v>
                </c:pt>
                <c:pt idx="46">
                  <c:v>283.62838471825216</c:v>
                </c:pt>
                <c:pt idx="47">
                  <c:v>192.00150851939713</c:v>
                </c:pt>
                <c:pt idx="48">
                  <c:v>44.208919029888939</c:v>
                </c:pt>
                <c:pt idx="49">
                  <c:v>53.086412583600584</c:v>
                </c:pt>
                <c:pt idx="50">
                  <c:v>383.97986141156377</c:v>
                </c:pt>
                <c:pt idx="51">
                  <c:v>163.47064978157408</c:v>
                </c:pt>
                <c:pt idx="52">
                  <c:v>183.35799179106661</c:v>
                </c:pt>
                <c:pt idx="53">
                  <c:v>199.79650772861365</c:v>
                </c:pt>
                <c:pt idx="54">
                  <c:v>329.21347444155242</c:v>
                </c:pt>
                <c:pt idx="55">
                  <c:v>137.49031786985719</c:v>
                </c:pt>
                <c:pt idx="56">
                  <c:v>156.79914569601979</c:v>
                </c:pt>
                <c:pt idx="57">
                  <c:v>121.70701850151119</c:v>
                </c:pt>
                <c:pt idx="58">
                  <c:v>104.95938875771772</c:v>
                </c:pt>
                <c:pt idx="59">
                  <c:v>125.70330409395962</c:v>
                </c:pt>
                <c:pt idx="60">
                  <c:v>252.97848992950898</c:v>
                </c:pt>
                <c:pt idx="61">
                  <c:v>49.640059887156525</c:v>
                </c:pt>
                <c:pt idx="62">
                  <c:v>89.069723117694977</c:v>
                </c:pt>
                <c:pt idx="63">
                  <c:v>294.25848261321698</c:v>
                </c:pt>
                <c:pt idx="64">
                  <c:v>87.671961387542282</c:v>
                </c:pt>
                <c:pt idx="65">
                  <c:v>224.1788263848876</c:v>
                </c:pt>
                <c:pt idx="66">
                  <c:v>266.45553911515208</c:v>
                </c:pt>
                <c:pt idx="67">
                  <c:v>81.221004420092171</c:v>
                </c:pt>
                <c:pt idx="68">
                  <c:v>92.660430609576963</c:v>
                </c:pt>
                <c:pt idx="69">
                  <c:v>113.55200695735081</c:v>
                </c:pt>
                <c:pt idx="70">
                  <c:v>28.565696278551766</c:v>
                </c:pt>
                <c:pt idx="71">
                  <c:v>519.25255320254519</c:v>
                </c:pt>
                <c:pt idx="72">
                  <c:v>154.75742136892501</c:v>
                </c:pt>
                <c:pt idx="73">
                  <c:v>160.72865202200751</c:v>
                </c:pt>
                <c:pt idx="74">
                  <c:v>805.81807878567895</c:v>
                </c:pt>
                <c:pt idx="75">
                  <c:v>81.454010395155933</c:v>
                </c:pt>
                <c:pt idx="76">
                  <c:v>152.27683000371678</c:v>
                </c:pt>
                <c:pt idx="77">
                  <c:v>188.4612593975578</c:v>
                </c:pt>
                <c:pt idx="78">
                  <c:v>568.84188911449189</c:v>
                </c:pt>
                <c:pt idx="79">
                  <c:v>90.177387938616377</c:v>
                </c:pt>
                <c:pt idx="80">
                  <c:v>224.17561461739436</c:v>
                </c:pt>
                <c:pt idx="81">
                  <c:v>140.04510238239152</c:v>
                </c:pt>
                <c:pt idx="82">
                  <c:v>278.52997247850965</c:v>
                </c:pt>
                <c:pt idx="83">
                  <c:v>209.29903219434954</c:v>
                </c:pt>
                <c:pt idx="84">
                  <c:v>146.70296737620012</c:v>
                </c:pt>
                <c:pt idx="85">
                  <c:v>42.718549690285421</c:v>
                </c:pt>
                <c:pt idx="86">
                  <c:v>140.15968567135087</c:v>
                </c:pt>
                <c:pt idx="87">
                  <c:v>75.890103397920853</c:v>
                </c:pt>
                <c:pt idx="88">
                  <c:v>82.360260401419453</c:v>
                </c:pt>
                <c:pt idx="89">
                  <c:v>68.767169556649364</c:v>
                </c:pt>
                <c:pt idx="90">
                  <c:v>390.06726162547869</c:v>
                </c:pt>
                <c:pt idx="91">
                  <c:v>313.05003871671386</c:v>
                </c:pt>
                <c:pt idx="92">
                  <c:v>94.196862091589068</c:v>
                </c:pt>
                <c:pt idx="93">
                  <c:v>95.040125420748154</c:v>
                </c:pt>
                <c:pt idx="94">
                  <c:v>1354.2448154720894</c:v>
                </c:pt>
                <c:pt idx="95">
                  <c:v>211.63632615943146</c:v>
                </c:pt>
                <c:pt idx="96">
                  <c:v>129.19944293557208</c:v>
                </c:pt>
                <c:pt idx="97">
                  <c:v>251.62415726340731</c:v>
                </c:pt>
                <c:pt idx="98">
                  <c:v>521.36135004068217</c:v>
                </c:pt>
                <c:pt idx="99">
                  <c:v>113.38691010476025</c:v>
                </c:pt>
              </c:numCache>
            </c:numRef>
          </c:val>
          <c:extLst>
            <c:ext xmlns:c16="http://schemas.microsoft.com/office/drawing/2014/chart" uri="{C3380CC4-5D6E-409C-BE32-E72D297353CC}">
              <c16:uniqueId val="{00000001-2AF0-49E3-B626-A2AB51F2AF48}"/>
            </c:ext>
          </c:extLst>
        </c:ser>
        <c:dLbls>
          <c:showLegendKey val="0"/>
          <c:showVal val="0"/>
          <c:showCatName val="0"/>
          <c:showSerName val="0"/>
          <c:showPercent val="0"/>
          <c:showBubbleSize val="0"/>
        </c:dLbls>
        <c:gapWidth val="150"/>
        <c:overlap val="100"/>
        <c:axId val="819371584"/>
        <c:axId val="819373024"/>
      </c:barChart>
      <c:catAx>
        <c:axId val="8193715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9373024"/>
        <c:crosses val="autoZero"/>
        <c:auto val="1"/>
        <c:lblAlgn val="ctr"/>
        <c:lblOffset val="100"/>
        <c:noMultiLvlLbl val="0"/>
      </c:catAx>
      <c:valAx>
        <c:axId val="8193730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937158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EOQ, Order</a:t>
            </a:r>
            <a:r>
              <a:rPr lang="en-IN" baseline="0"/>
              <a:t> Quantity Vs SKU</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'General Analysis'!$S$1</c:f>
              <c:strCache>
                <c:ptCount val="1"/>
                <c:pt idx="0">
                  <c:v>Order Quantities</c:v>
                </c:pt>
              </c:strCache>
            </c:strRef>
          </c:tx>
          <c:spPr>
            <a:solidFill>
              <a:schemeClr val="accent1"/>
            </a:solidFill>
            <a:ln>
              <a:noFill/>
            </a:ln>
            <a:effectLst/>
          </c:spPr>
          <c:invertIfNegative val="0"/>
          <c:cat>
            <c:strRef>
              <c:f>'General Analysis'!$R$2:$R$101</c:f>
              <c:strCache>
                <c:ptCount val="100"/>
                <c:pt idx="0">
                  <c:v>SKU0</c:v>
                </c:pt>
                <c:pt idx="1">
                  <c:v>SKU1</c:v>
                </c:pt>
                <c:pt idx="2">
                  <c:v>SKU2</c:v>
                </c:pt>
                <c:pt idx="3">
                  <c:v>SKU3</c:v>
                </c:pt>
                <c:pt idx="4">
                  <c:v>SKU4</c:v>
                </c:pt>
                <c:pt idx="5">
                  <c:v>SKU5</c:v>
                </c:pt>
                <c:pt idx="6">
                  <c:v>SKU6</c:v>
                </c:pt>
                <c:pt idx="7">
                  <c:v>SKU7</c:v>
                </c:pt>
                <c:pt idx="8">
                  <c:v>SKU8</c:v>
                </c:pt>
                <c:pt idx="9">
                  <c:v>SKU9</c:v>
                </c:pt>
                <c:pt idx="10">
                  <c:v>SKU10</c:v>
                </c:pt>
                <c:pt idx="11">
                  <c:v>SKU11</c:v>
                </c:pt>
                <c:pt idx="12">
                  <c:v>SKU12</c:v>
                </c:pt>
                <c:pt idx="13">
                  <c:v>SKU13</c:v>
                </c:pt>
                <c:pt idx="14">
                  <c:v>SKU14</c:v>
                </c:pt>
                <c:pt idx="15">
                  <c:v>SKU15</c:v>
                </c:pt>
                <c:pt idx="16">
                  <c:v>SKU16</c:v>
                </c:pt>
                <c:pt idx="17">
                  <c:v>SKU17</c:v>
                </c:pt>
                <c:pt idx="18">
                  <c:v>SKU18</c:v>
                </c:pt>
                <c:pt idx="19">
                  <c:v>SKU19</c:v>
                </c:pt>
                <c:pt idx="20">
                  <c:v>SKU20</c:v>
                </c:pt>
                <c:pt idx="21">
                  <c:v>SKU21</c:v>
                </c:pt>
                <c:pt idx="22">
                  <c:v>SKU22</c:v>
                </c:pt>
                <c:pt idx="23">
                  <c:v>SKU23</c:v>
                </c:pt>
                <c:pt idx="24">
                  <c:v>SKU24</c:v>
                </c:pt>
                <c:pt idx="25">
                  <c:v>SKU25</c:v>
                </c:pt>
                <c:pt idx="26">
                  <c:v>SKU26</c:v>
                </c:pt>
                <c:pt idx="27">
                  <c:v>SKU27</c:v>
                </c:pt>
                <c:pt idx="28">
                  <c:v>SKU28</c:v>
                </c:pt>
                <c:pt idx="29">
                  <c:v>SKU29</c:v>
                </c:pt>
                <c:pt idx="30">
                  <c:v>SKU30</c:v>
                </c:pt>
                <c:pt idx="31">
                  <c:v>SKU31</c:v>
                </c:pt>
                <c:pt idx="32">
                  <c:v>SKU32</c:v>
                </c:pt>
                <c:pt idx="33">
                  <c:v>SKU33</c:v>
                </c:pt>
                <c:pt idx="34">
                  <c:v>SKU34</c:v>
                </c:pt>
                <c:pt idx="35">
                  <c:v>SKU35</c:v>
                </c:pt>
                <c:pt idx="36">
                  <c:v>SKU36</c:v>
                </c:pt>
                <c:pt idx="37">
                  <c:v>SKU37</c:v>
                </c:pt>
                <c:pt idx="38">
                  <c:v>SKU38</c:v>
                </c:pt>
                <c:pt idx="39">
                  <c:v>SKU39</c:v>
                </c:pt>
                <c:pt idx="40">
                  <c:v>SKU40</c:v>
                </c:pt>
                <c:pt idx="41">
                  <c:v>SKU41</c:v>
                </c:pt>
                <c:pt idx="42">
                  <c:v>SKU42</c:v>
                </c:pt>
                <c:pt idx="43">
                  <c:v>SKU43</c:v>
                </c:pt>
                <c:pt idx="44">
                  <c:v>SKU44</c:v>
                </c:pt>
                <c:pt idx="45">
                  <c:v>SKU45</c:v>
                </c:pt>
                <c:pt idx="46">
                  <c:v>SKU46</c:v>
                </c:pt>
                <c:pt idx="47">
                  <c:v>SKU47</c:v>
                </c:pt>
                <c:pt idx="48">
                  <c:v>SKU48</c:v>
                </c:pt>
                <c:pt idx="49">
                  <c:v>SKU49</c:v>
                </c:pt>
                <c:pt idx="50">
                  <c:v>SKU50</c:v>
                </c:pt>
                <c:pt idx="51">
                  <c:v>SKU51</c:v>
                </c:pt>
                <c:pt idx="52">
                  <c:v>SKU52</c:v>
                </c:pt>
                <c:pt idx="53">
                  <c:v>SKU53</c:v>
                </c:pt>
                <c:pt idx="54">
                  <c:v>SKU54</c:v>
                </c:pt>
                <c:pt idx="55">
                  <c:v>SKU55</c:v>
                </c:pt>
                <c:pt idx="56">
                  <c:v>SKU56</c:v>
                </c:pt>
                <c:pt idx="57">
                  <c:v>SKU57</c:v>
                </c:pt>
                <c:pt idx="58">
                  <c:v>SKU58</c:v>
                </c:pt>
                <c:pt idx="59">
                  <c:v>SKU59</c:v>
                </c:pt>
                <c:pt idx="60">
                  <c:v>SKU60</c:v>
                </c:pt>
                <c:pt idx="61">
                  <c:v>SKU61</c:v>
                </c:pt>
                <c:pt idx="62">
                  <c:v>SKU62</c:v>
                </c:pt>
                <c:pt idx="63">
                  <c:v>SKU63</c:v>
                </c:pt>
                <c:pt idx="64">
                  <c:v>SKU64</c:v>
                </c:pt>
                <c:pt idx="65">
                  <c:v>SKU65</c:v>
                </c:pt>
                <c:pt idx="66">
                  <c:v>SKU66</c:v>
                </c:pt>
                <c:pt idx="67">
                  <c:v>SKU67</c:v>
                </c:pt>
                <c:pt idx="68">
                  <c:v>SKU68</c:v>
                </c:pt>
                <c:pt idx="69">
                  <c:v>SKU69</c:v>
                </c:pt>
                <c:pt idx="70">
                  <c:v>SKU70</c:v>
                </c:pt>
                <c:pt idx="71">
                  <c:v>SKU71</c:v>
                </c:pt>
                <c:pt idx="72">
                  <c:v>SKU72</c:v>
                </c:pt>
                <c:pt idx="73">
                  <c:v>SKU73</c:v>
                </c:pt>
                <c:pt idx="74">
                  <c:v>SKU74</c:v>
                </c:pt>
                <c:pt idx="75">
                  <c:v>SKU75</c:v>
                </c:pt>
                <c:pt idx="76">
                  <c:v>SKU76</c:v>
                </c:pt>
                <c:pt idx="77">
                  <c:v>SKU77</c:v>
                </c:pt>
                <c:pt idx="78">
                  <c:v>SKU78</c:v>
                </c:pt>
                <c:pt idx="79">
                  <c:v>SKU79</c:v>
                </c:pt>
                <c:pt idx="80">
                  <c:v>SKU80</c:v>
                </c:pt>
                <c:pt idx="81">
                  <c:v>SKU81</c:v>
                </c:pt>
                <c:pt idx="82">
                  <c:v>SKU82</c:v>
                </c:pt>
                <c:pt idx="83">
                  <c:v>SKU83</c:v>
                </c:pt>
                <c:pt idx="84">
                  <c:v>SKU84</c:v>
                </c:pt>
                <c:pt idx="85">
                  <c:v>SKU85</c:v>
                </c:pt>
                <c:pt idx="86">
                  <c:v>SKU86</c:v>
                </c:pt>
                <c:pt idx="87">
                  <c:v>SKU87</c:v>
                </c:pt>
                <c:pt idx="88">
                  <c:v>SKU88</c:v>
                </c:pt>
                <c:pt idx="89">
                  <c:v>SKU89</c:v>
                </c:pt>
                <c:pt idx="90">
                  <c:v>SKU90</c:v>
                </c:pt>
                <c:pt idx="91">
                  <c:v>SKU91</c:v>
                </c:pt>
                <c:pt idx="92">
                  <c:v>SKU92</c:v>
                </c:pt>
                <c:pt idx="93">
                  <c:v>SKU93</c:v>
                </c:pt>
                <c:pt idx="94">
                  <c:v>SKU94</c:v>
                </c:pt>
                <c:pt idx="95">
                  <c:v>SKU95</c:v>
                </c:pt>
                <c:pt idx="96">
                  <c:v>SKU96</c:v>
                </c:pt>
                <c:pt idx="97">
                  <c:v>SKU97</c:v>
                </c:pt>
                <c:pt idx="98">
                  <c:v>SKU98</c:v>
                </c:pt>
                <c:pt idx="99">
                  <c:v>SKU99</c:v>
                </c:pt>
              </c:strCache>
            </c:strRef>
          </c:cat>
          <c:val>
            <c:numRef>
              <c:f>'General Analysis'!$S$2:$S$101</c:f>
              <c:numCache>
                <c:formatCode>General</c:formatCode>
                <c:ptCount val="100"/>
                <c:pt idx="0">
                  <c:v>96</c:v>
                </c:pt>
                <c:pt idx="1">
                  <c:v>37</c:v>
                </c:pt>
                <c:pt idx="2">
                  <c:v>88</c:v>
                </c:pt>
                <c:pt idx="3">
                  <c:v>59</c:v>
                </c:pt>
                <c:pt idx="4">
                  <c:v>56</c:v>
                </c:pt>
                <c:pt idx="5">
                  <c:v>66</c:v>
                </c:pt>
                <c:pt idx="6">
                  <c:v>58</c:v>
                </c:pt>
                <c:pt idx="7">
                  <c:v>11</c:v>
                </c:pt>
                <c:pt idx="8">
                  <c:v>15</c:v>
                </c:pt>
                <c:pt idx="9">
                  <c:v>83</c:v>
                </c:pt>
                <c:pt idx="10">
                  <c:v>80</c:v>
                </c:pt>
                <c:pt idx="11">
                  <c:v>60</c:v>
                </c:pt>
                <c:pt idx="12">
                  <c:v>85</c:v>
                </c:pt>
                <c:pt idx="13">
                  <c:v>48</c:v>
                </c:pt>
                <c:pt idx="14">
                  <c:v>78</c:v>
                </c:pt>
                <c:pt idx="15">
                  <c:v>69</c:v>
                </c:pt>
                <c:pt idx="16">
                  <c:v>78</c:v>
                </c:pt>
                <c:pt idx="17">
                  <c:v>85</c:v>
                </c:pt>
                <c:pt idx="18">
                  <c:v>46</c:v>
                </c:pt>
                <c:pt idx="19">
                  <c:v>94</c:v>
                </c:pt>
                <c:pt idx="20">
                  <c:v>68</c:v>
                </c:pt>
                <c:pt idx="21">
                  <c:v>7</c:v>
                </c:pt>
                <c:pt idx="22">
                  <c:v>63</c:v>
                </c:pt>
                <c:pt idx="23">
                  <c:v>29</c:v>
                </c:pt>
                <c:pt idx="24">
                  <c:v>2</c:v>
                </c:pt>
                <c:pt idx="25">
                  <c:v>52</c:v>
                </c:pt>
                <c:pt idx="26">
                  <c:v>48</c:v>
                </c:pt>
                <c:pt idx="27">
                  <c:v>62</c:v>
                </c:pt>
                <c:pt idx="28">
                  <c:v>24</c:v>
                </c:pt>
                <c:pt idx="29">
                  <c:v>67</c:v>
                </c:pt>
                <c:pt idx="30">
                  <c:v>35</c:v>
                </c:pt>
                <c:pt idx="31">
                  <c:v>44</c:v>
                </c:pt>
                <c:pt idx="32">
                  <c:v>64</c:v>
                </c:pt>
                <c:pt idx="33">
                  <c:v>95</c:v>
                </c:pt>
                <c:pt idx="34">
                  <c:v>21</c:v>
                </c:pt>
                <c:pt idx="35">
                  <c:v>85</c:v>
                </c:pt>
                <c:pt idx="36">
                  <c:v>28</c:v>
                </c:pt>
                <c:pt idx="37">
                  <c:v>21</c:v>
                </c:pt>
                <c:pt idx="38">
                  <c:v>88</c:v>
                </c:pt>
                <c:pt idx="39">
                  <c:v>34</c:v>
                </c:pt>
                <c:pt idx="40">
                  <c:v>39</c:v>
                </c:pt>
                <c:pt idx="41">
                  <c:v>38</c:v>
                </c:pt>
                <c:pt idx="42">
                  <c:v>57</c:v>
                </c:pt>
                <c:pt idx="43">
                  <c:v>85</c:v>
                </c:pt>
                <c:pt idx="44">
                  <c:v>72</c:v>
                </c:pt>
                <c:pt idx="45">
                  <c:v>52</c:v>
                </c:pt>
                <c:pt idx="46">
                  <c:v>6</c:v>
                </c:pt>
                <c:pt idx="47">
                  <c:v>51</c:v>
                </c:pt>
                <c:pt idx="48">
                  <c:v>9</c:v>
                </c:pt>
                <c:pt idx="49">
                  <c:v>9</c:v>
                </c:pt>
                <c:pt idx="50">
                  <c:v>82</c:v>
                </c:pt>
                <c:pt idx="51">
                  <c:v>52</c:v>
                </c:pt>
                <c:pt idx="52">
                  <c:v>11</c:v>
                </c:pt>
                <c:pt idx="53">
                  <c:v>54</c:v>
                </c:pt>
                <c:pt idx="54">
                  <c:v>61</c:v>
                </c:pt>
                <c:pt idx="55">
                  <c:v>11</c:v>
                </c:pt>
                <c:pt idx="56">
                  <c:v>83</c:v>
                </c:pt>
                <c:pt idx="57">
                  <c:v>51</c:v>
                </c:pt>
                <c:pt idx="58">
                  <c:v>44</c:v>
                </c:pt>
                <c:pt idx="59">
                  <c:v>26</c:v>
                </c:pt>
                <c:pt idx="60">
                  <c:v>72</c:v>
                </c:pt>
                <c:pt idx="61">
                  <c:v>36</c:v>
                </c:pt>
                <c:pt idx="62">
                  <c:v>40</c:v>
                </c:pt>
                <c:pt idx="63">
                  <c:v>10</c:v>
                </c:pt>
                <c:pt idx="64">
                  <c:v>75</c:v>
                </c:pt>
                <c:pt idx="65">
                  <c:v>54</c:v>
                </c:pt>
                <c:pt idx="66">
                  <c:v>19</c:v>
                </c:pt>
                <c:pt idx="67">
                  <c:v>71</c:v>
                </c:pt>
                <c:pt idx="68">
                  <c:v>58</c:v>
                </c:pt>
                <c:pt idx="69">
                  <c:v>27</c:v>
                </c:pt>
                <c:pt idx="70">
                  <c:v>22</c:v>
                </c:pt>
                <c:pt idx="71">
                  <c:v>26</c:v>
                </c:pt>
                <c:pt idx="72">
                  <c:v>77</c:v>
                </c:pt>
                <c:pt idx="73">
                  <c:v>66</c:v>
                </c:pt>
                <c:pt idx="74">
                  <c:v>1</c:v>
                </c:pt>
                <c:pt idx="75">
                  <c:v>56</c:v>
                </c:pt>
                <c:pt idx="76">
                  <c:v>22</c:v>
                </c:pt>
                <c:pt idx="77">
                  <c:v>57</c:v>
                </c:pt>
                <c:pt idx="78">
                  <c:v>51</c:v>
                </c:pt>
                <c:pt idx="79">
                  <c:v>20</c:v>
                </c:pt>
                <c:pt idx="80">
                  <c:v>41</c:v>
                </c:pt>
                <c:pt idx="81">
                  <c:v>8</c:v>
                </c:pt>
                <c:pt idx="82">
                  <c:v>72</c:v>
                </c:pt>
                <c:pt idx="83">
                  <c:v>7</c:v>
                </c:pt>
                <c:pt idx="84">
                  <c:v>80</c:v>
                </c:pt>
                <c:pt idx="85">
                  <c:v>66</c:v>
                </c:pt>
                <c:pt idx="86">
                  <c:v>22</c:v>
                </c:pt>
                <c:pt idx="87">
                  <c:v>55</c:v>
                </c:pt>
                <c:pt idx="88">
                  <c:v>85</c:v>
                </c:pt>
                <c:pt idx="89">
                  <c:v>27</c:v>
                </c:pt>
                <c:pt idx="90">
                  <c:v>96</c:v>
                </c:pt>
                <c:pt idx="91">
                  <c:v>85</c:v>
                </c:pt>
                <c:pt idx="92">
                  <c:v>10</c:v>
                </c:pt>
                <c:pt idx="93">
                  <c:v>66</c:v>
                </c:pt>
                <c:pt idx="94">
                  <c:v>72</c:v>
                </c:pt>
                <c:pt idx="95">
                  <c:v>26</c:v>
                </c:pt>
                <c:pt idx="96">
                  <c:v>32</c:v>
                </c:pt>
                <c:pt idx="97">
                  <c:v>4</c:v>
                </c:pt>
                <c:pt idx="98">
                  <c:v>27</c:v>
                </c:pt>
                <c:pt idx="99">
                  <c:v>59</c:v>
                </c:pt>
              </c:numCache>
            </c:numRef>
          </c:val>
          <c:extLst>
            <c:ext xmlns:c16="http://schemas.microsoft.com/office/drawing/2014/chart" uri="{C3380CC4-5D6E-409C-BE32-E72D297353CC}">
              <c16:uniqueId val="{00000000-ED4B-4FCE-8AB0-0069CA7A5714}"/>
            </c:ext>
          </c:extLst>
        </c:ser>
        <c:ser>
          <c:idx val="1"/>
          <c:order val="1"/>
          <c:tx>
            <c:strRef>
              <c:f>'General Analysis'!$T$1</c:f>
              <c:strCache>
                <c:ptCount val="1"/>
                <c:pt idx="0">
                  <c:v>EOQ</c:v>
                </c:pt>
              </c:strCache>
            </c:strRef>
          </c:tx>
          <c:spPr>
            <a:solidFill>
              <a:schemeClr val="accent2"/>
            </a:solidFill>
            <a:ln>
              <a:noFill/>
            </a:ln>
            <a:effectLst/>
          </c:spPr>
          <c:invertIfNegative val="0"/>
          <c:cat>
            <c:strRef>
              <c:f>'General Analysis'!$R$2:$R$101</c:f>
              <c:strCache>
                <c:ptCount val="100"/>
                <c:pt idx="0">
                  <c:v>SKU0</c:v>
                </c:pt>
                <c:pt idx="1">
                  <c:v>SKU1</c:v>
                </c:pt>
                <c:pt idx="2">
                  <c:v>SKU2</c:v>
                </c:pt>
                <c:pt idx="3">
                  <c:v>SKU3</c:v>
                </c:pt>
                <c:pt idx="4">
                  <c:v>SKU4</c:v>
                </c:pt>
                <c:pt idx="5">
                  <c:v>SKU5</c:v>
                </c:pt>
                <c:pt idx="6">
                  <c:v>SKU6</c:v>
                </c:pt>
                <c:pt idx="7">
                  <c:v>SKU7</c:v>
                </c:pt>
                <c:pt idx="8">
                  <c:v>SKU8</c:v>
                </c:pt>
                <c:pt idx="9">
                  <c:v>SKU9</c:v>
                </c:pt>
                <c:pt idx="10">
                  <c:v>SKU10</c:v>
                </c:pt>
                <c:pt idx="11">
                  <c:v>SKU11</c:v>
                </c:pt>
                <c:pt idx="12">
                  <c:v>SKU12</c:v>
                </c:pt>
                <c:pt idx="13">
                  <c:v>SKU13</c:v>
                </c:pt>
                <c:pt idx="14">
                  <c:v>SKU14</c:v>
                </c:pt>
                <c:pt idx="15">
                  <c:v>SKU15</c:v>
                </c:pt>
                <c:pt idx="16">
                  <c:v>SKU16</c:v>
                </c:pt>
                <c:pt idx="17">
                  <c:v>SKU17</c:v>
                </c:pt>
                <c:pt idx="18">
                  <c:v>SKU18</c:v>
                </c:pt>
                <c:pt idx="19">
                  <c:v>SKU19</c:v>
                </c:pt>
                <c:pt idx="20">
                  <c:v>SKU20</c:v>
                </c:pt>
                <c:pt idx="21">
                  <c:v>SKU21</c:v>
                </c:pt>
                <c:pt idx="22">
                  <c:v>SKU22</c:v>
                </c:pt>
                <c:pt idx="23">
                  <c:v>SKU23</c:v>
                </c:pt>
                <c:pt idx="24">
                  <c:v>SKU24</c:v>
                </c:pt>
                <c:pt idx="25">
                  <c:v>SKU25</c:v>
                </c:pt>
                <c:pt idx="26">
                  <c:v>SKU26</c:v>
                </c:pt>
                <c:pt idx="27">
                  <c:v>SKU27</c:v>
                </c:pt>
                <c:pt idx="28">
                  <c:v>SKU28</c:v>
                </c:pt>
                <c:pt idx="29">
                  <c:v>SKU29</c:v>
                </c:pt>
                <c:pt idx="30">
                  <c:v>SKU30</c:v>
                </c:pt>
                <c:pt idx="31">
                  <c:v>SKU31</c:v>
                </c:pt>
                <c:pt idx="32">
                  <c:v>SKU32</c:v>
                </c:pt>
                <c:pt idx="33">
                  <c:v>SKU33</c:v>
                </c:pt>
                <c:pt idx="34">
                  <c:v>SKU34</c:v>
                </c:pt>
                <c:pt idx="35">
                  <c:v>SKU35</c:v>
                </c:pt>
                <c:pt idx="36">
                  <c:v>SKU36</c:v>
                </c:pt>
                <c:pt idx="37">
                  <c:v>SKU37</c:v>
                </c:pt>
                <c:pt idx="38">
                  <c:v>SKU38</c:v>
                </c:pt>
                <c:pt idx="39">
                  <c:v>SKU39</c:v>
                </c:pt>
                <c:pt idx="40">
                  <c:v>SKU40</c:v>
                </c:pt>
                <c:pt idx="41">
                  <c:v>SKU41</c:v>
                </c:pt>
                <c:pt idx="42">
                  <c:v>SKU42</c:v>
                </c:pt>
                <c:pt idx="43">
                  <c:v>SKU43</c:v>
                </c:pt>
                <c:pt idx="44">
                  <c:v>SKU44</c:v>
                </c:pt>
                <c:pt idx="45">
                  <c:v>SKU45</c:v>
                </c:pt>
                <c:pt idx="46">
                  <c:v>SKU46</c:v>
                </c:pt>
                <c:pt idx="47">
                  <c:v>SKU47</c:v>
                </c:pt>
                <c:pt idx="48">
                  <c:v>SKU48</c:v>
                </c:pt>
                <c:pt idx="49">
                  <c:v>SKU49</c:v>
                </c:pt>
                <c:pt idx="50">
                  <c:v>SKU50</c:v>
                </c:pt>
                <c:pt idx="51">
                  <c:v>SKU51</c:v>
                </c:pt>
                <c:pt idx="52">
                  <c:v>SKU52</c:v>
                </c:pt>
                <c:pt idx="53">
                  <c:v>SKU53</c:v>
                </c:pt>
                <c:pt idx="54">
                  <c:v>SKU54</c:v>
                </c:pt>
                <c:pt idx="55">
                  <c:v>SKU55</c:v>
                </c:pt>
                <c:pt idx="56">
                  <c:v>SKU56</c:v>
                </c:pt>
                <c:pt idx="57">
                  <c:v>SKU57</c:v>
                </c:pt>
                <c:pt idx="58">
                  <c:v>SKU58</c:v>
                </c:pt>
                <c:pt idx="59">
                  <c:v>SKU59</c:v>
                </c:pt>
                <c:pt idx="60">
                  <c:v>SKU60</c:v>
                </c:pt>
                <c:pt idx="61">
                  <c:v>SKU61</c:v>
                </c:pt>
                <c:pt idx="62">
                  <c:v>SKU62</c:v>
                </c:pt>
                <c:pt idx="63">
                  <c:v>SKU63</c:v>
                </c:pt>
                <c:pt idx="64">
                  <c:v>SKU64</c:v>
                </c:pt>
                <c:pt idx="65">
                  <c:v>SKU65</c:v>
                </c:pt>
                <c:pt idx="66">
                  <c:v>SKU66</c:v>
                </c:pt>
                <c:pt idx="67">
                  <c:v>SKU67</c:v>
                </c:pt>
                <c:pt idx="68">
                  <c:v>SKU68</c:v>
                </c:pt>
                <c:pt idx="69">
                  <c:v>SKU69</c:v>
                </c:pt>
                <c:pt idx="70">
                  <c:v>SKU70</c:v>
                </c:pt>
                <c:pt idx="71">
                  <c:v>SKU71</c:v>
                </c:pt>
                <c:pt idx="72">
                  <c:v>SKU72</c:v>
                </c:pt>
                <c:pt idx="73">
                  <c:v>SKU73</c:v>
                </c:pt>
                <c:pt idx="74">
                  <c:v>SKU74</c:v>
                </c:pt>
                <c:pt idx="75">
                  <c:v>SKU75</c:v>
                </c:pt>
                <c:pt idx="76">
                  <c:v>SKU76</c:v>
                </c:pt>
                <c:pt idx="77">
                  <c:v>SKU77</c:v>
                </c:pt>
                <c:pt idx="78">
                  <c:v>SKU78</c:v>
                </c:pt>
                <c:pt idx="79">
                  <c:v>SKU79</c:v>
                </c:pt>
                <c:pt idx="80">
                  <c:v>SKU80</c:v>
                </c:pt>
                <c:pt idx="81">
                  <c:v>SKU81</c:v>
                </c:pt>
                <c:pt idx="82">
                  <c:v>SKU82</c:v>
                </c:pt>
                <c:pt idx="83">
                  <c:v>SKU83</c:v>
                </c:pt>
                <c:pt idx="84">
                  <c:v>SKU84</c:v>
                </c:pt>
                <c:pt idx="85">
                  <c:v>SKU85</c:v>
                </c:pt>
                <c:pt idx="86">
                  <c:v>SKU86</c:v>
                </c:pt>
                <c:pt idx="87">
                  <c:v>SKU87</c:v>
                </c:pt>
                <c:pt idx="88">
                  <c:v>SKU88</c:v>
                </c:pt>
                <c:pt idx="89">
                  <c:v>SKU89</c:v>
                </c:pt>
                <c:pt idx="90">
                  <c:v>SKU90</c:v>
                </c:pt>
                <c:pt idx="91">
                  <c:v>SKU91</c:v>
                </c:pt>
                <c:pt idx="92">
                  <c:v>SKU92</c:v>
                </c:pt>
                <c:pt idx="93">
                  <c:v>SKU93</c:v>
                </c:pt>
                <c:pt idx="94">
                  <c:v>SKU94</c:v>
                </c:pt>
                <c:pt idx="95">
                  <c:v>SKU95</c:v>
                </c:pt>
                <c:pt idx="96">
                  <c:v>SKU96</c:v>
                </c:pt>
                <c:pt idx="97">
                  <c:v>SKU97</c:v>
                </c:pt>
                <c:pt idx="98">
                  <c:v>SKU98</c:v>
                </c:pt>
                <c:pt idx="99">
                  <c:v>SKU99</c:v>
                </c:pt>
              </c:strCache>
            </c:strRef>
          </c:cat>
          <c:val>
            <c:numRef>
              <c:f>'General Analysis'!$T$2:$T$101</c:f>
              <c:numCache>
                <c:formatCode>0</c:formatCode>
                <c:ptCount val="100"/>
                <c:pt idx="0">
                  <c:v>119.91715399347879</c:v>
                </c:pt>
                <c:pt idx="1">
                  <c:v>407.79047756521732</c:v>
                </c:pt>
                <c:pt idx="2">
                  <c:v>25.858567255027648</c:v>
                </c:pt>
                <c:pt idx="3">
                  <c:v>48.00950215159439</c:v>
                </c:pt>
                <c:pt idx="4">
                  <c:v>1056.328083697176</c:v>
                </c:pt>
                <c:pt idx="5">
                  <c:v>368.42691656165243</c:v>
                </c:pt>
                <c:pt idx="6">
                  <c:v>119.48665777465961</c:v>
                </c:pt>
                <c:pt idx="7">
                  <c:v>230.27014297991101</c:v>
                </c:pt>
                <c:pt idx="8">
                  <c:v>85.773106680231308</c:v>
                </c:pt>
                <c:pt idx="9">
                  <c:v>318.8146995134714</c:v>
                </c:pt>
                <c:pt idx="10">
                  <c:v>583.74306552558414</c:v>
                </c:pt>
                <c:pt idx="11">
                  <c:v>94.595111950026507</c:v>
                </c:pt>
                <c:pt idx="12">
                  <c:v>112.58457352635722</c:v>
                </c:pt>
                <c:pt idx="13">
                  <c:v>237.09227105686674</c:v>
                </c:pt>
                <c:pt idx="14">
                  <c:v>187.36665771473818</c:v>
                </c:pt>
                <c:pt idx="15">
                  <c:v>103.96172232742846</c:v>
                </c:pt>
                <c:pt idx="16">
                  <c:v>462.68057123818721</c:v>
                </c:pt>
                <c:pt idx="17">
                  <c:v>83.176513316586593</c:v>
                </c:pt>
                <c:pt idx="18">
                  <c:v>259.44335560415539</c:v>
                </c:pt>
                <c:pt idx="19">
                  <c:v>107.88535658914432</c:v>
                </c:pt>
                <c:pt idx="20">
                  <c:v>104.57562737441745</c:v>
                </c:pt>
                <c:pt idx="21">
                  <c:v>157.16436639374501</c:v>
                </c:pt>
                <c:pt idx="22">
                  <c:v>209.20938132520277</c:v>
                </c:pt>
                <c:pt idx="23">
                  <c:v>344.0135063950259</c:v>
                </c:pt>
                <c:pt idx="24">
                  <c:v>504.3311175852449</c:v>
                </c:pt>
                <c:pt idx="25">
                  <c:v>104.65905148162831</c:v>
                </c:pt>
                <c:pt idx="26">
                  <c:v>122.15326404353743</c:v>
                </c:pt>
                <c:pt idx="27">
                  <c:v>139.03640194741359</c:v>
                </c:pt>
                <c:pt idx="28">
                  <c:v>367.76153829136996</c:v>
                </c:pt>
                <c:pt idx="29">
                  <c:v>142.60000619700625</c:v>
                </c:pt>
                <c:pt idx="30">
                  <c:v>489.01815294248354</c:v>
                </c:pt>
                <c:pt idx="31">
                  <c:v>115.85598691593887</c:v>
                </c:pt>
                <c:pt idx="32">
                  <c:v>223.68249743558781</c:v>
                </c:pt>
                <c:pt idx="33">
                  <c:v>153.39416870545409</c:v>
                </c:pt>
                <c:pt idx="34">
                  <c:v>233.80951800619732</c:v>
                </c:pt>
                <c:pt idx="35">
                  <c:v>139.63797936271152</c:v>
                </c:pt>
                <c:pt idx="36">
                  <c:v>513.98984754126627</c:v>
                </c:pt>
                <c:pt idx="37">
                  <c:v>224.64192677860444</c:v>
                </c:pt>
                <c:pt idx="38">
                  <c:v>175.08979699257299</c:v>
                </c:pt>
                <c:pt idx="39">
                  <c:v>200.2452065274224</c:v>
                </c:pt>
                <c:pt idx="40">
                  <c:v>202.2763426611593</c:v>
                </c:pt>
                <c:pt idx="41">
                  <c:v>101.50929847068019</c:v>
                </c:pt>
                <c:pt idx="42">
                  <c:v>118.81438818852617</c:v>
                </c:pt>
                <c:pt idx="43">
                  <c:v>493.03789190471633</c:v>
                </c:pt>
                <c:pt idx="44">
                  <c:v>269.86317600373729</c:v>
                </c:pt>
                <c:pt idx="45">
                  <c:v>48.432872970564532</c:v>
                </c:pt>
                <c:pt idx="46">
                  <c:v>283.62838471825216</c:v>
                </c:pt>
                <c:pt idx="47">
                  <c:v>192.00150851939713</c:v>
                </c:pt>
                <c:pt idx="48">
                  <c:v>44.208919029888939</c:v>
                </c:pt>
                <c:pt idx="49">
                  <c:v>53.086412583600584</c:v>
                </c:pt>
                <c:pt idx="50">
                  <c:v>383.97986141156377</c:v>
                </c:pt>
                <c:pt idx="51">
                  <c:v>163.47064978157408</c:v>
                </c:pt>
                <c:pt idx="52">
                  <c:v>183.35799179106661</c:v>
                </c:pt>
                <c:pt idx="53">
                  <c:v>199.79650772861365</c:v>
                </c:pt>
                <c:pt idx="54">
                  <c:v>329.21347444155242</c:v>
                </c:pt>
                <c:pt idx="55">
                  <c:v>137.49031786985719</c:v>
                </c:pt>
                <c:pt idx="56">
                  <c:v>156.79914569601979</c:v>
                </c:pt>
                <c:pt idx="57">
                  <c:v>121.70701850151119</c:v>
                </c:pt>
                <c:pt idx="58">
                  <c:v>104.95938875771772</c:v>
                </c:pt>
                <c:pt idx="59">
                  <c:v>125.70330409395962</c:v>
                </c:pt>
                <c:pt idx="60">
                  <c:v>252.97848992950898</c:v>
                </c:pt>
                <c:pt idx="61">
                  <c:v>49.640059887156525</c:v>
                </c:pt>
                <c:pt idx="62">
                  <c:v>89.069723117694977</c:v>
                </c:pt>
                <c:pt idx="63">
                  <c:v>294.25848261321698</c:v>
                </c:pt>
                <c:pt idx="64">
                  <c:v>87.671961387542282</c:v>
                </c:pt>
                <c:pt idx="65">
                  <c:v>224.1788263848876</c:v>
                </c:pt>
                <c:pt idx="66">
                  <c:v>266.45553911515208</c:v>
                </c:pt>
                <c:pt idx="67">
                  <c:v>81.221004420092171</c:v>
                </c:pt>
                <c:pt idx="68">
                  <c:v>92.660430609576963</c:v>
                </c:pt>
                <c:pt idx="69">
                  <c:v>113.55200695735081</c:v>
                </c:pt>
                <c:pt idx="70">
                  <c:v>28.565696278551766</c:v>
                </c:pt>
                <c:pt idx="71">
                  <c:v>519.25255320254519</c:v>
                </c:pt>
                <c:pt idx="72">
                  <c:v>154.75742136892501</c:v>
                </c:pt>
                <c:pt idx="73">
                  <c:v>160.72865202200751</c:v>
                </c:pt>
                <c:pt idx="74">
                  <c:v>805.81807878567895</c:v>
                </c:pt>
                <c:pt idx="75">
                  <c:v>81.454010395155933</c:v>
                </c:pt>
                <c:pt idx="76">
                  <c:v>152.27683000371678</c:v>
                </c:pt>
                <c:pt idx="77">
                  <c:v>188.4612593975578</c:v>
                </c:pt>
                <c:pt idx="78">
                  <c:v>568.84188911449189</c:v>
                </c:pt>
                <c:pt idx="79">
                  <c:v>90.177387938616377</c:v>
                </c:pt>
                <c:pt idx="80">
                  <c:v>224.17561461739436</c:v>
                </c:pt>
                <c:pt idx="81">
                  <c:v>140.04510238239152</c:v>
                </c:pt>
                <c:pt idx="82">
                  <c:v>278.52997247850965</c:v>
                </c:pt>
                <c:pt idx="83">
                  <c:v>209.29903219434954</c:v>
                </c:pt>
                <c:pt idx="84">
                  <c:v>146.70296737620012</c:v>
                </c:pt>
                <c:pt idx="85">
                  <c:v>42.718549690285421</c:v>
                </c:pt>
                <c:pt idx="86">
                  <c:v>140.15968567135087</c:v>
                </c:pt>
                <c:pt idx="87">
                  <c:v>75.890103397920853</c:v>
                </c:pt>
                <c:pt idx="88">
                  <c:v>82.360260401419453</c:v>
                </c:pt>
                <c:pt idx="89">
                  <c:v>68.767169556649364</c:v>
                </c:pt>
                <c:pt idx="90">
                  <c:v>390.06726162547869</c:v>
                </c:pt>
                <c:pt idx="91">
                  <c:v>313.05003871671386</c:v>
                </c:pt>
                <c:pt idx="92">
                  <c:v>94.196862091589068</c:v>
                </c:pt>
                <c:pt idx="93">
                  <c:v>95.040125420748154</c:v>
                </c:pt>
                <c:pt idx="94">
                  <c:v>1354.2448154720894</c:v>
                </c:pt>
                <c:pt idx="95">
                  <c:v>211.63632615943146</c:v>
                </c:pt>
                <c:pt idx="96">
                  <c:v>129.19944293557208</c:v>
                </c:pt>
                <c:pt idx="97">
                  <c:v>251.62415726340731</c:v>
                </c:pt>
                <c:pt idx="98">
                  <c:v>521.36135004068217</c:v>
                </c:pt>
                <c:pt idx="99">
                  <c:v>113.38691010476025</c:v>
                </c:pt>
              </c:numCache>
            </c:numRef>
          </c:val>
          <c:extLst>
            <c:ext xmlns:c16="http://schemas.microsoft.com/office/drawing/2014/chart" uri="{C3380CC4-5D6E-409C-BE32-E72D297353CC}">
              <c16:uniqueId val="{00000001-ED4B-4FCE-8AB0-0069CA7A5714}"/>
            </c:ext>
          </c:extLst>
        </c:ser>
        <c:dLbls>
          <c:showLegendKey val="0"/>
          <c:showVal val="0"/>
          <c:showCatName val="0"/>
          <c:showSerName val="0"/>
          <c:showPercent val="0"/>
          <c:showBubbleSize val="0"/>
        </c:dLbls>
        <c:gapWidth val="150"/>
        <c:overlap val="100"/>
        <c:axId val="819371584"/>
        <c:axId val="819373024"/>
      </c:barChart>
      <c:catAx>
        <c:axId val="8193715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9373024"/>
        <c:crosses val="autoZero"/>
        <c:auto val="1"/>
        <c:lblAlgn val="ctr"/>
        <c:lblOffset val="100"/>
        <c:noMultiLvlLbl val="0"/>
      </c:catAx>
      <c:valAx>
        <c:axId val="8193730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937158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Supplier by EOQ -Scatter Chart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'Order Quantity'!$X$2</c:f>
              <c:strCache>
                <c:ptCount val="1"/>
                <c:pt idx="0">
                  <c:v>Supplier 2</c:v>
                </c:pt>
              </c:strCache>
            </c:strRef>
          </c:tx>
          <c:spPr>
            <a:ln w="19050" cap="rnd">
              <a:noFill/>
              <a:round/>
            </a:ln>
            <a:effectLst/>
          </c:spPr>
          <c:marker>
            <c:symbol val="circle"/>
            <c:size val="5"/>
            <c:spPr>
              <a:solidFill>
                <a:schemeClr val="accent1"/>
              </a:solidFill>
              <a:ln w="9525">
                <a:solidFill>
                  <a:schemeClr val="accent1"/>
                </a:solidFill>
              </a:ln>
              <a:effectLst/>
            </c:spPr>
          </c:marker>
          <c:xVal>
            <c:numRef>
              <c:f>'Order Quantity'!$W$3:$W$29</c:f>
              <c:numCache>
                <c:formatCode>0</c:formatCode>
                <c:ptCount val="27"/>
                <c:pt idx="0">
                  <c:v>25.858567255027648</c:v>
                </c:pt>
                <c:pt idx="1">
                  <c:v>1056.328083697176</c:v>
                </c:pt>
                <c:pt idx="2">
                  <c:v>187.36665771473818</c:v>
                </c:pt>
                <c:pt idx="3">
                  <c:v>103.96172232742846</c:v>
                </c:pt>
                <c:pt idx="4">
                  <c:v>462.68057123818721</c:v>
                </c:pt>
                <c:pt idx="5">
                  <c:v>83.176513316586593</c:v>
                </c:pt>
                <c:pt idx="6">
                  <c:v>104.57562737441745</c:v>
                </c:pt>
                <c:pt idx="7">
                  <c:v>367.76153829136996</c:v>
                </c:pt>
                <c:pt idx="8">
                  <c:v>142.60000619700625</c:v>
                </c:pt>
                <c:pt idx="9">
                  <c:v>233.80951800619732</c:v>
                </c:pt>
                <c:pt idx="10">
                  <c:v>139.63797936271152</c:v>
                </c:pt>
                <c:pt idx="11">
                  <c:v>202.2763426611593</c:v>
                </c:pt>
                <c:pt idx="12">
                  <c:v>192.00150851939713</c:v>
                </c:pt>
                <c:pt idx="13">
                  <c:v>183.35799179106661</c:v>
                </c:pt>
                <c:pt idx="14">
                  <c:v>199.79650772861365</c:v>
                </c:pt>
                <c:pt idx="15">
                  <c:v>329.21347444155242</c:v>
                </c:pt>
                <c:pt idx="16">
                  <c:v>156.79914569601979</c:v>
                </c:pt>
                <c:pt idx="17">
                  <c:v>125.70330409395962</c:v>
                </c:pt>
                <c:pt idx="18">
                  <c:v>87.671961387542282</c:v>
                </c:pt>
                <c:pt idx="19">
                  <c:v>81.221004420092171</c:v>
                </c:pt>
                <c:pt idx="20">
                  <c:v>28.565696278551766</c:v>
                </c:pt>
                <c:pt idx="21">
                  <c:v>154.75742136892501</c:v>
                </c:pt>
                <c:pt idx="22">
                  <c:v>81.454010395155933</c:v>
                </c:pt>
                <c:pt idx="23">
                  <c:v>188.4612593975578</c:v>
                </c:pt>
                <c:pt idx="24">
                  <c:v>209.29903219434954</c:v>
                </c:pt>
                <c:pt idx="25">
                  <c:v>140.15968567135087</c:v>
                </c:pt>
                <c:pt idx="26">
                  <c:v>68.767169556649364</c:v>
                </c:pt>
              </c:numCache>
            </c:numRef>
          </c:xVal>
          <c:yVal>
            <c:numRef>
              <c:f>'Order Quantity'!$X$3:$X$29</c:f>
              <c:numCache>
                <c:formatCode>0</c:formatCode>
                <c:ptCount val="27"/>
                <c:pt idx="0">
                  <c:v>318.8146995134714</c:v>
                </c:pt>
                <c:pt idx="1">
                  <c:v>94.595111950026507</c:v>
                </c:pt>
                <c:pt idx="2">
                  <c:v>259.44335560415539</c:v>
                </c:pt>
                <c:pt idx="3">
                  <c:v>504.3311175852449</c:v>
                </c:pt>
                <c:pt idx="4">
                  <c:v>122.15326404353743</c:v>
                </c:pt>
                <c:pt idx="5">
                  <c:v>513.98984754126627</c:v>
                </c:pt>
                <c:pt idx="6">
                  <c:v>200.2452065274224</c:v>
                </c:pt>
                <c:pt idx="7">
                  <c:v>269.86317600373729</c:v>
                </c:pt>
                <c:pt idx="8">
                  <c:v>48.432872970564532</c:v>
                </c:pt>
                <c:pt idx="9">
                  <c:v>44.208919029888939</c:v>
                </c:pt>
                <c:pt idx="10">
                  <c:v>383.97986141156377</c:v>
                </c:pt>
                <c:pt idx="11">
                  <c:v>137.49031786985719</c:v>
                </c:pt>
                <c:pt idx="12">
                  <c:v>121.70701850151119</c:v>
                </c:pt>
                <c:pt idx="13">
                  <c:v>89.069723117694977</c:v>
                </c:pt>
                <c:pt idx="14">
                  <c:v>92.660430609576963</c:v>
                </c:pt>
                <c:pt idx="15">
                  <c:v>519.25255320254519</c:v>
                </c:pt>
                <c:pt idx="16">
                  <c:v>152.27683000371678</c:v>
                </c:pt>
                <c:pt idx="17">
                  <c:v>278.52997247850965</c:v>
                </c:pt>
                <c:pt idx="18">
                  <c:v>82.360260401419453</c:v>
                </c:pt>
                <c:pt idx="19">
                  <c:v>94.196862091589068</c:v>
                </c:pt>
                <c:pt idx="20">
                  <c:v>1354.2448154720894</c:v>
                </c:pt>
                <c:pt idx="21">
                  <c:v>113.38691010476025</c:v>
                </c:pt>
              </c:numCache>
            </c:numRef>
          </c:yVal>
          <c:smooth val="0"/>
          <c:extLst>
            <c:ext xmlns:c16="http://schemas.microsoft.com/office/drawing/2014/chart" uri="{C3380CC4-5D6E-409C-BE32-E72D297353CC}">
              <c16:uniqueId val="{00000000-F2C9-49F6-90D4-8CE2A130DE57}"/>
            </c:ext>
          </c:extLst>
        </c:ser>
        <c:ser>
          <c:idx val="1"/>
          <c:order val="1"/>
          <c:tx>
            <c:strRef>
              <c:f>'Order Quantity'!$Y$2</c:f>
              <c:strCache>
                <c:ptCount val="1"/>
                <c:pt idx="0">
                  <c:v>Supplier 3</c:v>
                </c:pt>
              </c:strCache>
            </c:strRef>
          </c:tx>
          <c:spPr>
            <a:ln w="19050" cap="rnd">
              <a:noFill/>
              <a:round/>
            </a:ln>
            <a:effectLst/>
          </c:spPr>
          <c:marker>
            <c:symbol val="circle"/>
            <c:size val="5"/>
            <c:spPr>
              <a:solidFill>
                <a:schemeClr val="accent2"/>
              </a:solidFill>
              <a:ln w="9525">
                <a:solidFill>
                  <a:schemeClr val="accent2"/>
                </a:solidFill>
              </a:ln>
              <a:effectLst/>
            </c:spPr>
          </c:marker>
          <c:xVal>
            <c:numRef>
              <c:f>'Order Quantity'!$W$3:$W$29</c:f>
              <c:numCache>
                <c:formatCode>0</c:formatCode>
                <c:ptCount val="27"/>
                <c:pt idx="0">
                  <c:v>25.858567255027648</c:v>
                </c:pt>
                <c:pt idx="1">
                  <c:v>1056.328083697176</c:v>
                </c:pt>
                <c:pt idx="2">
                  <c:v>187.36665771473818</c:v>
                </c:pt>
                <c:pt idx="3">
                  <c:v>103.96172232742846</c:v>
                </c:pt>
                <c:pt idx="4">
                  <c:v>462.68057123818721</c:v>
                </c:pt>
                <c:pt idx="5">
                  <c:v>83.176513316586593</c:v>
                </c:pt>
                <c:pt idx="6">
                  <c:v>104.57562737441745</c:v>
                </c:pt>
                <c:pt idx="7">
                  <c:v>367.76153829136996</c:v>
                </c:pt>
                <c:pt idx="8">
                  <c:v>142.60000619700625</c:v>
                </c:pt>
                <c:pt idx="9">
                  <c:v>233.80951800619732</c:v>
                </c:pt>
                <c:pt idx="10">
                  <c:v>139.63797936271152</c:v>
                </c:pt>
                <c:pt idx="11">
                  <c:v>202.2763426611593</c:v>
                </c:pt>
                <c:pt idx="12">
                  <c:v>192.00150851939713</c:v>
                </c:pt>
                <c:pt idx="13">
                  <c:v>183.35799179106661</c:v>
                </c:pt>
                <c:pt idx="14">
                  <c:v>199.79650772861365</c:v>
                </c:pt>
                <c:pt idx="15">
                  <c:v>329.21347444155242</c:v>
                </c:pt>
                <c:pt idx="16">
                  <c:v>156.79914569601979</c:v>
                </c:pt>
                <c:pt idx="17">
                  <c:v>125.70330409395962</c:v>
                </c:pt>
                <c:pt idx="18">
                  <c:v>87.671961387542282</c:v>
                </c:pt>
                <c:pt idx="19">
                  <c:v>81.221004420092171</c:v>
                </c:pt>
                <c:pt idx="20">
                  <c:v>28.565696278551766</c:v>
                </c:pt>
                <c:pt idx="21">
                  <c:v>154.75742136892501</c:v>
                </c:pt>
                <c:pt idx="22">
                  <c:v>81.454010395155933</c:v>
                </c:pt>
                <c:pt idx="23">
                  <c:v>188.4612593975578</c:v>
                </c:pt>
                <c:pt idx="24">
                  <c:v>209.29903219434954</c:v>
                </c:pt>
                <c:pt idx="25">
                  <c:v>140.15968567135087</c:v>
                </c:pt>
                <c:pt idx="26">
                  <c:v>68.767169556649364</c:v>
                </c:pt>
              </c:numCache>
            </c:numRef>
          </c:xVal>
          <c:yVal>
            <c:numRef>
              <c:f>'Order Quantity'!$Y$3:$Y$29</c:f>
              <c:numCache>
                <c:formatCode>0</c:formatCode>
                <c:ptCount val="27"/>
                <c:pt idx="0">
                  <c:v>119.91715399347879</c:v>
                </c:pt>
                <c:pt idx="1">
                  <c:v>407.79047756521732</c:v>
                </c:pt>
                <c:pt idx="2">
                  <c:v>119.48665777465961</c:v>
                </c:pt>
                <c:pt idx="3">
                  <c:v>115.85598691593887</c:v>
                </c:pt>
                <c:pt idx="4">
                  <c:v>223.68249743558781</c:v>
                </c:pt>
                <c:pt idx="5">
                  <c:v>224.64192677860444</c:v>
                </c:pt>
                <c:pt idx="6">
                  <c:v>283.62838471825216</c:v>
                </c:pt>
                <c:pt idx="7">
                  <c:v>104.95938875771772</c:v>
                </c:pt>
                <c:pt idx="8">
                  <c:v>294.25848261321698</c:v>
                </c:pt>
                <c:pt idx="9">
                  <c:v>90.177387938616377</c:v>
                </c:pt>
                <c:pt idx="10">
                  <c:v>224.17561461739436</c:v>
                </c:pt>
                <c:pt idx="11">
                  <c:v>140.04510238239152</c:v>
                </c:pt>
                <c:pt idx="12">
                  <c:v>75.890103397920853</c:v>
                </c:pt>
                <c:pt idx="13">
                  <c:v>390.06726162547869</c:v>
                </c:pt>
                <c:pt idx="14">
                  <c:v>129.19944293557208</c:v>
                </c:pt>
              </c:numCache>
            </c:numRef>
          </c:yVal>
          <c:smooth val="0"/>
          <c:extLst>
            <c:ext xmlns:c16="http://schemas.microsoft.com/office/drawing/2014/chart" uri="{C3380CC4-5D6E-409C-BE32-E72D297353CC}">
              <c16:uniqueId val="{00000001-F2C9-49F6-90D4-8CE2A130DE57}"/>
            </c:ext>
          </c:extLst>
        </c:ser>
        <c:ser>
          <c:idx val="2"/>
          <c:order val="2"/>
          <c:tx>
            <c:strRef>
              <c:f>'Order Quantity'!$Z$2</c:f>
              <c:strCache>
                <c:ptCount val="1"/>
                <c:pt idx="0">
                  <c:v>Supplier 4</c:v>
                </c:pt>
              </c:strCache>
            </c:strRef>
          </c:tx>
          <c:spPr>
            <a:ln w="19050" cap="rnd">
              <a:noFill/>
              <a:round/>
            </a:ln>
            <a:effectLst/>
          </c:spPr>
          <c:marker>
            <c:symbol val="circle"/>
            <c:size val="5"/>
            <c:spPr>
              <a:solidFill>
                <a:schemeClr val="accent3"/>
              </a:solidFill>
              <a:ln w="9525">
                <a:solidFill>
                  <a:schemeClr val="accent3"/>
                </a:solidFill>
              </a:ln>
              <a:effectLst/>
            </c:spPr>
          </c:marker>
          <c:xVal>
            <c:numRef>
              <c:f>'Order Quantity'!$W$3:$W$29</c:f>
              <c:numCache>
                <c:formatCode>0</c:formatCode>
                <c:ptCount val="27"/>
                <c:pt idx="0">
                  <c:v>25.858567255027648</c:v>
                </c:pt>
                <c:pt idx="1">
                  <c:v>1056.328083697176</c:v>
                </c:pt>
                <c:pt idx="2">
                  <c:v>187.36665771473818</c:v>
                </c:pt>
                <c:pt idx="3">
                  <c:v>103.96172232742846</c:v>
                </c:pt>
                <c:pt idx="4">
                  <c:v>462.68057123818721</c:v>
                </c:pt>
                <c:pt idx="5">
                  <c:v>83.176513316586593</c:v>
                </c:pt>
                <c:pt idx="6">
                  <c:v>104.57562737441745</c:v>
                </c:pt>
                <c:pt idx="7">
                  <c:v>367.76153829136996</c:v>
                </c:pt>
                <c:pt idx="8">
                  <c:v>142.60000619700625</c:v>
                </c:pt>
                <c:pt idx="9">
                  <c:v>233.80951800619732</c:v>
                </c:pt>
                <c:pt idx="10">
                  <c:v>139.63797936271152</c:v>
                </c:pt>
                <c:pt idx="11">
                  <c:v>202.2763426611593</c:v>
                </c:pt>
                <c:pt idx="12">
                  <c:v>192.00150851939713</c:v>
                </c:pt>
                <c:pt idx="13">
                  <c:v>183.35799179106661</c:v>
                </c:pt>
                <c:pt idx="14">
                  <c:v>199.79650772861365</c:v>
                </c:pt>
                <c:pt idx="15">
                  <c:v>329.21347444155242</c:v>
                </c:pt>
                <c:pt idx="16">
                  <c:v>156.79914569601979</c:v>
                </c:pt>
                <c:pt idx="17">
                  <c:v>125.70330409395962</c:v>
                </c:pt>
                <c:pt idx="18">
                  <c:v>87.671961387542282</c:v>
                </c:pt>
                <c:pt idx="19">
                  <c:v>81.221004420092171</c:v>
                </c:pt>
                <c:pt idx="20">
                  <c:v>28.565696278551766</c:v>
                </c:pt>
                <c:pt idx="21">
                  <c:v>154.75742136892501</c:v>
                </c:pt>
                <c:pt idx="22">
                  <c:v>81.454010395155933</c:v>
                </c:pt>
                <c:pt idx="23">
                  <c:v>188.4612593975578</c:v>
                </c:pt>
                <c:pt idx="24">
                  <c:v>209.29903219434954</c:v>
                </c:pt>
                <c:pt idx="25">
                  <c:v>140.15968567135087</c:v>
                </c:pt>
                <c:pt idx="26">
                  <c:v>68.767169556649364</c:v>
                </c:pt>
              </c:numCache>
            </c:numRef>
          </c:xVal>
          <c:yVal>
            <c:numRef>
              <c:f>'Order Quantity'!$Z$3:$Z$29</c:f>
              <c:numCache>
                <c:formatCode>0</c:formatCode>
                <c:ptCount val="27"/>
                <c:pt idx="0">
                  <c:v>368.42691656165243</c:v>
                </c:pt>
                <c:pt idx="1">
                  <c:v>230.27014297991101</c:v>
                </c:pt>
                <c:pt idx="2">
                  <c:v>85.773106680231308</c:v>
                </c:pt>
                <c:pt idx="3">
                  <c:v>112.58457352635722</c:v>
                </c:pt>
                <c:pt idx="4">
                  <c:v>107.88535658914432</c:v>
                </c:pt>
                <c:pt idx="5">
                  <c:v>209.20938132520277</c:v>
                </c:pt>
                <c:pt idx="6">
                  <c:v>104.65905148162831</c:v>
                </c:pt>
                <c:pt idx="7">
                  <c:v>489.01815294248354</c:v>
                </c:pt>
                <c:pt idx="8">
                  <c:v>101.50929847068019</c:v>
                </c:pt>
                <c:pt idx="9">
                  <c:v>252.97848992950898</c:v>
                </c:pt>
                <c:pt idx="10">
                  <c:v>49.640059887156525</c:v>
                </c:pt>
                <c:pt idx="11">
                  <c:v>113.55200695735081</c:v>
                </c:pt>
                <c:pt idx="12">
                  <c:v>160.72865202200751</c:v>
                </c:pt>
                <c:pt idx="13">
                  <c:v>805.81807878567895</c:v>
                </c:pt>
                <c:pt idx="14">
                  <c:v>313.05003871671386</c:v>
                </c:pt>
                <c:pt idx="15">
                  <c:v>95.040125420748154</c:v>
                </c:pt>
                <c:pt idx="16">
                  <c:v>211.63632615943146</c:v>
                </c:pt>
                <c:pt idx="17">
                  <c:v>251.62415726340731</c:v>
                </c:pt>
              </c:numCache>
            </c:numRef>
          </c:yVal>
          <c:smooth val="0"/>
          <c:extLst>
            <c:ext xmlns:c16="http://schemas.microsoft.com/office/drawing/2014/chart" uri="{C3380CC4-5D6E-409C-BE32-E72D297353CC}">
              <c16:uniqueId val="{00000002-F2C9-49F6-90D4-8CE2A130DE57}"/>
            </c:ext>
          </c:extLst>
        </c:ser>
        <c:ser>
          <c:idx val="3"/>
          <c:order val="3"/>
          <c:tx>
            <c:strRef>
              <c:f>'Order Quantity'!$AA$2</c:f>
              <c:strCache>
                <c:ptCount val="1"/>
                <c:pt idx="0">
                  <c:v>Supplier 5</c:v>
                </c:pt>
              </c:strCache>
            </c:strRef>
          </c:tx>
          <c:spPr>
            <a:ln w="19050" cap="rnd">
              <a:noFill/>
              <a:round/>
            </a:ln>
            <a:effectLst/>
          </c:spPr>
          <c:marker>
            <c:symbol val="circle"/>
            <c:size val="5"/>
            <c:spPr>
              <a:solidFill>
                <a:schemeClr val="accent4"/>
              </a:solidFill>
              <a:ln w="9525">
                <a:solidFill>
                  <a:schemeClr val="accent4"/>
                </a:solidFill>
              </a:ln>
              <a:effectLst/>
            </c:spPr>
          </c:marker>
          <c:xVal>
            <c:numRef>
              <c:f>'Order Quantity'!$W$3:$W$29</c:f>
              <c:numCache>
                <c:formatCode>0</c:formatCode>
                <c:ptCount val="27"/>
                <c:pt idx="0">
                  <c:v>25.858567255027648</c:v>
                </c:pt>
                <c:pt idx="1">
                  <c:v>1056.328083697176</c:v>
                </c:pt>
                <c:pt idx="2">
                  <c:v>187.36665771473818</c:v>
                </c:pt>
                <c:pt idx="3">
                  <c:v>103.96172232742846</c:v>
                </c:pt>
                <c:pt idx="4">
                  <c:v>462.68057123818721</c:v>
                </c:pt>
                <c:pt idx="5">
                  <c:v>83.176513316586593</c:v>
                </c:pt>
                <c:pt idx="6">
                  <c:v>104.57562737441745</c:v>
                </c:pt>
                <c:pt idx="7">
                  <c:v>367.76153829136996</c:v>
                </c:pt>
                <c:pt idx="8">
                  <c:v>142.60000619700625</c:v>
                </c:pt>
                <c:pt idx="9">
                  <c:v>233.80951800619732</c:v>
                </c:pt>
                <c:pt idx="10">
                  <c:v>139.63797936271152</c:v>
                </c:pt>
                <c:pt idx="11">
                  <c:v>202.2763426611593</c:v>
                </c:pt>
                <c:pt idx="12">
                  <c:v>192.00150851939713</c:v>
                </c:pt>
                <c:pt idx="13">
                  <c:v>183.35799179106661</c:v>
                </c:pt>
                <c:pt idx="14">
                  <c:v>199.79650772861365</c:v>
                </c:pt>
                <c:pt idx="15">
                  <c:v>329.21347444155242</c:v>
                </c:pt>
                <c:pt idx="16">
                  <c:v>156.79914569601979</c:v>
                </c:pt>
                <c:pt idx="17">
                  <c:v>125.70330409395962</c:v>
                </c:pt>
                <c:pt idx="18">
                  <c:v>87.671961387542282</c:v>
                </c:pt>
                <c:pt idx="19">
                  <c:v>81.221004420092171</c:v>
                </c:pt>
                <c:pt idx="20">
                  <c:v>28.565696278551766</c:v>
                </c:pt>
                <c:pt idx="21">
                  <c:v>154.75742136892501</c:v>
                </c:pt>
                <c:pt idx="22">
                  <c:v>81.454010395155933</c:v>
                </c:pt>
                <c:pt idx="23">
                  <c:v>188.4612593975578</c:v>
                </c:pt>
                <c:pt idx="24">
                  <c:v>209.29903219434954</c:v>
                </c:pt>
                <c:pt idx="25">
                  <c:v>140.15968567135087</c:v>
                </c:pt>
                <c:pt idx="26">
                  <c:v>68.767169556649364</c:v>
                </c:pt>
              </c:numCache>
            </c:numRef>
          </c:xVal>
          <c:yVal>
            <c:numRef>
              <c:f>'Order Quantity'!$AA$3:$AA$29</c:f>
              <c:numCache>
                <c:formatCode>0</c:formatCode>
                <c:ptCount val="27"/>
                <c:pt idx="0">
                  <c:v>48.00950215159439</c:v>
                </c:pt>
                <c:pt idx="1">
                  <c:v>583.74306552558414</c:v>
                </c:pt>
                <c:pt idx="2">
                  <c:v>237.09227105686674</c:v>
                </c:pt>
                <c:pt idx="3">
                  <c:v>157.16436639374501</c:v>
                </c:pt>
                <c:pt idx="4">
                  <c:v>344.0135063950259</c:v>
                </c:pt>
                <c:pt idx="5">
                  <c:v>139.03640194741359</c:v>
                </c:pt>
                <c:pt idx="6">
                  <c:v>153.39416870545409</c:v>
                </c:pt>
                <c:pt idx="7">
                  <c:v>175.08979699257299</c:v>
                </c:pt>
                <c:pt idx="8">
                  <c:v>118.81438818852617</c:v>
                </c:pt>
                <c:pt idx="9">
                  <c:v>493.03789190471633</c:v>
                </c:pt>
                <c:pt idx="10">
                  <c:v>53.086412583600584</c:v>
                </c:pt>
                <c:pt idx="11">
                  <c:v>163.47064978157408</c:v>
                </c:pt>
                <c:pt idx="12">
                  <c:v>224.1788263848876</c:v>
                </c:pt>
                <c:pt idx="13">
                  <c:v>266.45553911515208</c:v>
                </c:pt>
                <c:pt idx="14">
                  <c:v>568.84188911449189</c:v>
                </c:pt>
                <c:pt idx="15">
                  <c:v>146.70296737620012</c:v>
                </c:pt>
                <c:pt idx="16">
                  <c:v>42.718549690285421</c:v>
                </c:pt>
                <c:pt idx="17">
                  <c:v>521.36135004068217</c:v>
                </c:pt>
              </c:numCache>
            </c:numRef>
          </c:yVal>
          <c:smooth val="0"/>
          <c:extLst>
            <c:ext xmlns:c16="http://schemas.microsoft.com/office/drawing/2014/chart" uri="{C3380CC4-5D6E-409C-BE32-E72D297353CC}">
              <c16:uniqueId val="{00000003-F2C9-49F6-90D4-8CE2A130DE57}"/>
            </c:ext>
          </c:extLst>
        </c:ser>
        <c:dLbls>
          <c:showLegendKey val="0"/>
          <c:showVal val="0"/>
          <c:showCatName val="0"/>
          <c:showSerName val="0"/>
          <c:showPercent val="0"/>
          <c:showBubbleSize val="0"/>
        </c:dLbls>
        <c:axId val="1117672784"/>
        <c:axId val="1117650224"/>
      </c:scatterChart>
      <c:valAx>
        <c:axId val="1117672784"/>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7650224"/>
        <c:crosses val="autoZero"/>
        <c:crossBetween val="midCat"/>
      </c:valAx>
      <c:valAx>
        <c:axId val="11176502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7672784"/>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_xlchart.v1.1</cx:f>
      </cx:numDim>
    </cx:data>
    <cx:data id="1">
      <cx:numDim type="val">
        <cx:f>_xlchart.v1.3</cx:f>
      </cx:numDim>
    </cx:data>
    <cx:data id="2">
      <cx:numDim type="val">
        <cx:f>_xlchart.v1.5</cx:f>
      </cx:numDim>
    </cx:data>
  </cx:chartData>
  <cx:chart>
    <cx:title pos="t" align="ctr" overlay="0">
      <cx:tx>
        <cx:txData>
          <cx:v>Defect Rate by Product Type</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Defect Rate by Product Type</a:t>
          </a:r>
        </a:p>
      </cx:txPr>
    </cx:title>
    <cx:plotArea>
      <cx:plotAreaRegion>
        <cx:series layoutId="boxWhisker" uniqueId="{622063E2-3A47-45F6-811E-240A37C89242}">
          <cx:tx>
            <cx:txData>
              <cx:f>_xlchart.v1.0</cx:f>
              <cx:v>Haircare</cx:v>
            </cx:txData>
          </cx:tx>
          <cx:dataLabels>
            <cx:visibility seriesName="0" categoryName="0" value="1"/>
          </cx:dataLabels>
          <cx:dataId val="0"/>
          <cx:layoutPr>
            <cx:visibility meanLine="0" meanMarker="1" nonoutliers="0" outliers="1"/>
            <cx:statistics quartileMethod="exclusive"/>
          </cx:layoutPr>
        </cx:series>
        <cx:series layoutId="boxWhisker" uniqueId="{0422A0F7-D83B-4017-9F85-E792790C2EE1}">
          <cx:tx>
            <cx:txData>
              <cx:f>_xlchart.v1.2</cx:f>
              <cx:v>Skincare</cx:v>
            </cx:txData>
          </cx:tx>
          <cx:dataLabels>
            <cx:visibility seriesName="0" categoryName="0" value="1"/>
          </cx:dataLabels>
          <cx:dataId val="1"/>
          <cx:layoutPr>
            <cx:visibility meanLine="0" meanMarker="1" nonoutliers="0" outliers="1"/>
            <cx:statistics quartileMethod="exclusive"/>
          </cx:layoutPr>
        </cx:series>
        <cx:series layoutId="boxWhisker" uniqueId="{EEFF91FD-F16C-4AF4-AAF2-F3C9F4D54065}">
          <cx:tx>
            <cx:txData>
              <cx:f>_xlchart.v1.4</cx:f>
              <cx:v>Cosmetics</cx:v>
            </cx:txData>
          </cx:tx>
          <cx:dataLabels>
            <cx:visibility seriesName="0" categoryName="0" value="1"/>
          </cx:dataLabels>
          <cx:dataId val="2"/>
          <cx:layoutPr>
            <cx:visibility meanLine="0" meanMarker="1" nonoutliers="0" outliers="1"/>
            <cx:statistics quartileMethod="exclusive"/>
          </cx:layoutPr>
        </cx:series>
      </cx:plotAreaRegion>
      <cx:axis id="0">
        <cx:catScaling gapWidth="1"/>
        <cx:title>
          <cx:tx>
            <cx:txData>
              <cx:v>Product Type</cx:v>
            </cx:txData>
          </cx:tx>
          <cx:txPr>
            <a:bodyPr spcFirstLastPara="1" vertOverflow="ellipsis" horzOverflow="overflow" wrap="square" lIns="0" tIns="0" rIns="0" bIns="0" anchor="ctr" anchorCtr="1"/>
            <a:lstStyle/>
            <a:p>
              <a:pPr algn="ctr" rtl="0">
                <a:defRPr/>
              </a:pPr>
              <a:r>
                <a:rPr lang="en-US" sz="900" b="0" i="0" u="none" strike="noStrike" baseline="0">
                  <a:solidFill>
                    <a:sysClr val="windowText" lastClr="000000">
                      <a:lumMod val="65000"/>
                      <a:lumOff val="35000"/>
                    </a:sysClr>
                  </a:solidFill>
                  <a:latin typeface="Calibri" panose="020F0502020204030204"/>
                </a:rPr>
                <a:t>Product Type</a:t>
              </a:r>
            </a:p>
          </cx:txPr>
        </cx:title>
        <cx:tickLabels/>
      </cx:axis>
      <cx:axis id="1">
        <cx:valScaling/>
        <cx:title>
          <cx:tx>
            <cx:txData>
              <cx:v>Defect Rates</cx:v>
            </cx:txData>
          </cx:tx>
          <cx:txPr>
            <a:bodyPr spcFirstLastPara="1" vertOverflow="ellipsis" horzOverflow="overflow" wrap="square" lIns="0" tIns="0" rIns="0" bIns="0" anchor="ctr" anchorCtr="1"/>
            <a:lstStyle/>
            <a:p>
              <a:pPr algn="ctr" rtl="0">
                <a:defRPr/>
              </a:pPr>
              <a:r>
                <a:rPr lang="en-US" sz="900" b="0" i="0" u="none" strike="noStrike" baseline="0">
                  <a:solidFill>
                    <a:sysClr val="windowText" lastClr="000000">
                      <a:lumMod val="65000"/>
                      <a:lumOff val="35000"/>
                    </a:sysClr>
                  </a:solidFill>
                  <a:latin typeface="Calibri" panose="020F0502020204030204"/>
                </a:rPr>
                <a:t>Defect Rates</a:t>
              </a:r>
            </a:p>
          </cx:txPr>
        </cx:title>
        <cx:majorGridlines/>
        <cx:tickLabels/>
      </cx:axis>
    </cx:plotArea>
    <cx:legend pos="t" align="ctr" overlay="0">
      <cx:txPr>
        <a:bodyPr spcFirstLastPara="1" vertOverflow="ellipsis" horzOverflow="overflow" wrap="square" lIns="0" tIns="0" rIns="0" bIns="0" anchor="ctr" anchorCtr="1"/>
        <a:lstStyle/>
        <a:p>
          <a:pPr algn="ctr" rtl="0">
            <a:defRPr/>
          </a:pPr>
          <a:endParaRPr lang="en-US" sz="900" b="0" i="0" u="none" strike="noStrike" baseline="0">
            <a:solidFill>
              <a:sysClr val="windowText" lastClr="000000">
                <a:lumMod val="65000"/>
                <a:lumOff val="35000"/>
              </a:sysClr>
            </a:solidFill>
            <a:latin typeface="Calibri" panose="020F0502020204030204"/>
          </a:endParaRPr>
        </a:p>
      </cx:txPr>
    </cx:legend>
  </cx:chart>
  <cx:spPr>
    <a:ln>
      <a:solidFill>
        <a:schemeClr val="accent1"/>
      </a:solidFill>
    </a:ln>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numDim type="val">
        <cx:f>_xlchart.v1.18</cx:f>
      </cx:numDim>
    </cx:data>
  </cx:chartData>
  <cx:chart>
    <cx:title pos="t" align="ctr" overlay="0">
      <cx:tx>
        <cx:txData>
          <cx:v>Consolidated Risk Score</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Consolidated Risk Score</a:t>
          </a:r>
        </a:p>
      </cx:txPr>
    </cx:title>
    <cx:plotArea>
      <cx:plotAreaRegion>
        <cx:series layoutId="boxWhisker" uniqueId="{D6F2072F-2499-4901-917E-3AD3CED264FF}">
          <cx:dataLabels>
            <cx:visibility seriesName="0" categoryName="0" value="1"/>
          </cx:dataLabels>
          <cx:dataId val="0"/>
          <cx:layoutPr>
            <cx:visibility meanLine="0" meanMarker="1" nonoutliers="0" outliers="1"/>
            <cx:statistics quartileMethod="exclusive"/>
          </cx:layoutPr>
        </cx:series>
      </cx:plotAreaRegion>
      <cx:axis id="0">
        <cx:catScaling gapWidth="1"/>
        <cx:tickLabels/>
      </cx:axis>
      <cx:axis id="1">
        <cx:valScaling/>
        <cx:title>
          <cx:tx>
            <cx:txData>
              <cx:v>Risk Score</cx:v>
            </cx:txData>
          </cx:tx>
          <cx:txPr>
            <a:bodyPr spcFirstLastPara="1" vertOverflow="ellipsis" horzOverflow="overflow" wrap="square" lIns="0" tIns="0" rIns="0" bIns="0" anchor="ctr" anchorCtr="1"/>
            <a:lstStyle/>
            <a:p>
              <a:pPr algn="ctr" rtl="0">
                <a:defRPr/>
              </a:pPr>
              <a:r>
                <a:rPr lang="en-US" sz="900" b="0" i="0" u="none" strike="noStrike" baseline="0">
                  <a:solidFill>
                    <a:sysClr val="windowText" lastClr="000000">
                      <a:lumMod val="65000"/>
                      <a:lumOff val="35000"/>
                    </a:sysClr>
                  </a:solidFill>
                  <a:latin typeface="Calibri" panose="020F0502020204030204"/>
                </a:rPr>
                <a:t>Risk Score</a:t>
              </a:r>
            </a:p>
          </cx:txPr>
        </cx:title>
        <cx:majorGridlines/>
        <cx:tickLabels/>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numDim type="val">
        <cx:f>_xlchart.v1.19</cx:f>
      </cx:numDim>
    </cx:data>
  </cx:chartData>
  <cx:chart>
    <cx:title pos="t" align="ctr" overlay="0">
      <cx:tx>
        <cx:rich>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Consolidated Risk Score of All SKUs </a:t>
            </a:r>
          </a:p>
          <a:p>
            <a:pPr algn="ctr" rtl="0">
              <a:defRPr/>
            </a:pPr>
            <a:r>
              <a:rPr lang="en-US" sz="1400" b="0" i="0" u="none" strike="noStrike" baseline="0">
                <a:solidFill>
                  <a:sysClr val="windowText" lastClr="000000">
                    <a:lumMod val="65000"/>
                    <a:lumOff val="35000"/>
                  </a:sysClr>
                </a:solidFill>
                <a:latin typeface="Calibri" panose="020F0502020204030204"/>
              </a:rPr>
              <a:t>(w/o Outliers)</a:t>
            </a:r>
          </a:p>
        </cx:rich>
      </cx:tx>
    </cx:title>
    <cx:plotArea>
      <cx:plotAreaRegion>
        <cx:series layoutId="boxWhisker" uniqueId="{9C3E6BDB-6180-4B01-83C8-71F7BD0AE8DF}">
          <cx:dataLabels>
            <cx:visibility seriesName="0" categoryName="0" value="1"/>
          </cx:dataLabels>
          <cx:dataId val="0"/>
          <cx:layoutPr>
            <cx:visibility meanLine="0" meanMarker="1" nonoutliers="0" outliers="1"/>
            <cx:statistics quartileMethod="exclusive"/>
          </cx:layoutPr>
        </cx:series>
      </cx:plotAreaRegion>
      <cx:axis id="0">
        <cx:catScaling gapWidth="1"/>
        <cx:tickLabels/>
      </cx:axis>
      <cx:axis id="1">
        <cx:valScaling/>
        <cx:title>
          <cx:tx>
            <cx:txData>
              <cx:v>Risk Score</cx:v>
            </cx:txData>
          </cx:tx>
          <cx:txPr>
            <a:bodyPr spcFirstLastPara="1" vertOverflow="ellipsis" horzOverflow="overflow" wrap="square" lIns="0" tIns="0" rIns="0" bIns="0" anchor="ctr" anchorCtr="1"/>
            <a:lstStyle/>
            <a:p>
              <a:pPr algn="ctr" rtl="0">
                <a:defRPr/>
              </a:pPr>
              <a:r>
                <a:rPr lang="en-US" sz="900" b="0" i="0" u="none" strike="noStrike" baseline="0">
                  <a:solidFill>
                    <a:sysClr val="windowText" lastClr="000000">
                      <a:lumMod val="65000"/>
                      <a:lumOff val="35000"/>
                    </a:sysClr>
                  </a:solidFill>
                  <a:latin typeface="Calibri" panose="020F0502020204030204"/>
                </a:rPr>
                <a:t>Risk Score</a:t>
              </a:r>
            </a:p>
          </cx:txPr>
        </cx:title>
        <cx:majorGridlines/>
        <cx:tickLabels/>
      </cx:axis>
    </cx:plotArea>
  </cx:chart>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numDim type="val">
        <cx:f>_xlchart.v1.13</cx:f>
      </cx:numDim>
    </cx:data>
    <cx:data id="1">
      <cx:numDim type="val">
        <cx:f>_xlchart.v1.15</cx:f>
      </cx:numDim>
    </cx:data>
    <cx:data id="2">
      <cx:numDim type="val">
        <cx:f>_xlchart.v1.17</cx:f>
      </cx:numDim>
    </cx:data>
  </cx:chartData>
  <cx:chart>
    <cx:title pos="t" align="ctr" overlay="0">
      <cx:tx>
        <cx:txData>
          <cx:v>Risk by Product Category</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Risk by Product Category</a:t>
          </a:r>
        </a:p>
      </cx:txPr>
    </cx:title>
    <cx:plotArea>
      <cx:plotAreaRegion>
        <cx:series layoutId="boxWhisker" uniqueId="{DB3341B8-8DD4-4D1C-A2A1-6BF27BFA4035}">
          <cx:tx>
            <cx:txData>
              <cx:f>_xlchart.v1.12</cx:f>
              <cx:v>Cosmetics</cx:v>
            </cx:txData>
          </cx:tx>
          <cx:dataLabels>
            <cx:visibility seriesName="0" categoryName="0" value="1"/>
          </cx:dataLabels>
          <cx:dataId val="0"/>
          <cx:layoutPr>
            <cx:visibility meanLine="0" meanMarker="1" nonoutliers="0" outliers="1"/>
            <cx:statistics quartileMethod="exclusive"/>
          </cx:layoutPr>
        </cx:series>
        <cx:series layoutId="boxWhisker" uniqueId="{ED9053BE-831D-4495-BFD5-69736EE9D5C5}">
          <cx:tx>
            <cx:txData>
              <cx:f>_xlchart.v1.14</cx:f>
              <cx:v>Haircare</cx:v>
            </cx:txData>
          </cx:tx>
          <cx:dataLabels>
            <cx:visibility seriesName="0" categoryName="0" value="1"/>
          </cx:dataLabels>
          <cx:dataId val="1"/>
          <cx:layoutPr>
            <cx:visibility meanLine="0" meanMarker="1" nonoutliers="0" outliers="1"/>
            <cx:statistics quartileMethod="exclusive"/>
          </cx:layoutPr>
        </cx:series>
        <cx:series layoutId="boxWhisker" uniqueId="{3BBFF0B9-5E47-4ADC-A5D3-526F02EA8F6A}">
          <cx:tx>
            <cx:txData>
              <cx:f>_xlchart.v1.16</cx:f>
              <cx:v>Skincare</cx:v>
            </cx:txData>
          </cx:tx>
          <cx:dataLabels>
            <cx:visibility seriesName="0" categoryName="0" value="1"/>
          </cx:dataLabels>
          <cx:dataId val="2"/>
          <cx:layoutPr>
            <cx:visibility meanLine="0" meanMarker="1" nonoutliers="0" outliers="1"/>
            <cx:statistics quartileMethod="exclusive"/>
          </cx:layoutPr>
        </cx:series>
      </cx:plotAreaRegion>
      <cx:axis id="0">
        <cx:catScaling gapWidth="1"/>
        <cx:tickLabels/>
      </cx:axis>
      <cx:axis id="1">
        <cx:valScaling/>
        <cx:title>
          <cx:tx>
            <cx:txData>
              <cx:v>Risk Score</cx:v>
            </cx:txData>
          </cx:tx>
          <cx:txPr>
            <a:bodyPr spcFirstLastPara="1" vertOverflow="ellipsis" horzOverflow="overflow" wrap="square" lIns="0" tIns="0" rIns="0" bIns="0" anchor="ctr" anchorCtr="1"/>
            <a:lstStyle/>
            <a:p>
              <a:pPr algn="ctr" rtl="0">
                <a:defRPr/>
              </a:pPr>
              <a:r>
                <a:rPr lang="en-US" sz="900" b="0" i="0" u="none" strike="noStrike" baseline="0">
                  <a:solidFill>
                    <a:sysClr val="windowText" lastClr="000000">
                      <a:lumMod val="65000"/>
                      <a:lumOff val="35000"/>
                    </a:sysClr>
                  </a:solidFill>
                  <a:latin typeface="Calibri" panose="020F0502020204030204"/>
                </a:rPr>
                <a:t>Risk Score</a:t>
              </a:r>
            </a:p>
          </cx:txPr>
        </cx:title>
        <cx:majorGridlines/>
        <cx:tickLabels/>
      </cx:axis>
    </cx:plotArea>
    <cx:legend pos="t" align="ctr" overlay="0"/>
  </cx:chart>
</cx:chartSpace>
</file>

<file path=xl/charts/chartEx5.xml><?xml version="1.0" encoding="utf-8"?>
<cx:chartSpace xmlns:a="http://schemas.openxmlformats.org/drawingml/2006/main" xmlns:r="http://schemas.openxmlformats.org/officeDocument/2006/relationships" xmlns:cx="http://schemas.microsoft.com/office/drawing/2014/chartex">
  <cx:chartData>
    <cx:data id="0">
      <cx:numDim type="val">
        <cx:f>_xlchart.v1.7</cx:f>
      </cx:numDim>
    </cx:data>
    <cx:data id="1">
      <cx:numDim type="val">
        <cx:f>_xlchart.v1.9</cx:f>
      </cx:numDim>
    </cx:data>
    <cx:data id="2">
      <cx:numDim type="val">
        <cx:f>_xlchart.v1.11</cx:f>
      </cx:numDim>
    </cx:data>
  </cx:chartData>
  <cx:chart>
    <cx:title pos="t" align="ctr" overlay="0">
      <cx:tx>
        <cx:rich>
          <a:bodyPr spcFirstLastPara="1" vertOverflow="ellipsis" horzOverflow="overflow" wrap="square" lIns="0" tIns="0" rIns="0" bIns="0" anchor="ctr" anchorCtr="1"/>
          <a:lstStyle/>
          <a:p>
            <a:pPr rtl="0"/>
            <a:r>
              <a:rPr lang="en-US" sz="1200" b="0" i="0" baseline="0">
                <a:solidFill>
                  <a:schemeClr val="tx1">
                    <a:lumMod val="65000"/>
                    <a:lumOff val="35000"/>
                  </a:schemeClr>
                </a:solidFill>
                <a:effectLst/>
                <a:latin typeface="Arial" panose="020B0604020202020204" pitchFamily="34" charset="0"/>
                <a:cs typeface="Arial" panose="020B0604020202020204" pitchFamily="34" charset="0"/>
              </a:rPr>
              <a:t>Risk by Product Category</a:t>
            </a:r>
          </a:p>
          <a:p>
            <a:pPr rtl="0"/>
            <a:r>
              <a:rPr lang="en-US" sz="1200" b="0" i="0" baseline="0">
                <a:solidFill>
                  <a:schemeClr val="tx1">
                    <a:lumMod val="65000"/>
                    <a:lumOff val="35000"/>
                  </a:schemeClr>
                </a:solidFill>
                <a:effectLst/>
                <a:latin typeface="Arial" panose="020B0604020202020204" pitchFamily="34" charset="0"/>
                <a:cs typeface="Arial" panose="020B0604020202020204" pitchFamily="34" charset="0"/>
              </a:rPr>
              <a:t>w/o Outliers</a:t>
            </a:r>
            <a:endParaRPr lang="en-IN" sz="1050">
              <a:solidFill>
                <a:schemeClr val="tx1">
                  <a:lumMod val="65000"/>
                  <a:lumOff val="35000"/>
                </a:schemeClr>
              </a:solidFill>
              <a:effectLst/>
              <a:latin typeface="Arial" panose="020B0604020202020204" pitchFamily="34" charset="0"/>
              <a:cs typeface="Arial" panose="020B0604020202020204" pitchFamily="34" charset="0"/>
            </a:endParaRPr>
          </a:p>
        </cx:rich>
      </cx:tx>
    </cx:title>
    <cx:plotArea>
      <cx:plotAreaRegion>
        <cx:series layoutId="boxWhisker" uniqueId="{B29836A4-64B3-4637-9C36-9759ED81F1EF}">
          <cx:tx>
            <cx:txData>
              <cx:f>_xlchart.v1.6</cx:f>
              <cx:v>Cosmetics</cx:v>
            </cx:txData>
          </cx:tx>
          <cx:dataLabels>
            <cx:visibility seriesName="0" categoryName="0" value="1"/>
          </cx:dataLabels>
          <cx:dataId val="0"/>
          <cx:layoutPr>
            <cx:visibility meanLine="0" meanMarker="1" nonoutliers="0" outliers="1"/>
            <cx:statistics quartileMethod="exclusive"/>
          </cx:layoutPr>
        </cx:series>
        <cx:series layoutId="boxWhisker" uniqueId="{C43557FF-199D-4C4A-B1DC-F647672A51EC}">
          <cx:tx>
            <cx:txData>
              <cx:f>_xlchart.v1.8</cx:f>
              <cx:v>Haircare</cx:v>
            </cx:txData>
          </cx:tx>
          <cx:dataLabels>
            <cx:visibility seriesName="0" categoryName="0" value="1"/>
          </cx:dataLabels>
          <cx:dataId val="1"/>
          <cx:layoutPr>
            <cx:visibility meanLine="0" meanMarker="1" nonoutliers="0" outliers="1"/>
            <cx:statistics quartileMethod="exclusive"/>
          </cx:layoutPr>
        </cx:series>
        <cx:series layoutId="boxWhisker" uniqueId="{A64146F3-E86C-4A47-8D2F-E09EE2C346B9}">
          <cx:tx>
            <cx:txData>
              <cx:f>_xlchart.v1.10</cx:f>
              <cx:v>Skincare</cx:v>
            </cx:txData>
          </cx:tx>
          <cx:dataLabels>
            <cx:visibility seriesName="0" categoryName="0" value="1"/>
          </cx:dataLabels>
          <cx:dataId val="2"/>
          <cx:layoutPr>
            <cx:visibility meanLine="0" meanMarker="1" nonoutliers="0" outliers="1"/>
            <cx:statistics quartileMethod="exclusive"/>
          </cx:layoutPr>
        </cx:series>
      </cx:plotAreaRegion>
      <cx:axis id="0">
        <cx:catScaling gapWidth="1"/>
        <cx:tickLabels/>
      </cx:axis>
      <cx:axis id="1">
        <cx:valScaling/>
        <cx:majorGridlines/>
        <cx:tickLabels/>
      </cx:axis>
    </cx:plotArea>
    <cx:legend pos="t" align="ctr" overlay="0"/>
  </cx:chart>
</cx:chartSpace>
</file>

<file path=xl/charts/chartEx6.xml><?xml version="1.0" encoding="utf-8"?>
<cx:chartSpace xmlns:a="http://schemas.openxmlformats.org/drawingml/2006/main" xmlns:r="http://schemas.openxmlformats.org/officeDocument/2006/relationships" xmlns:cx="http://schemas.microsoft.com/office/drawing/2014/chartex">
  <cx:chartData>
    <cx:data id="0">
      <cx:numDim type="val">
        <cx:f>_xlchart.v1.22</cx:f>
      </cx:numDim>
    </cx:data>
    <cx:data id="1">
      <cx:numDim type="val">
        <cx:f>_xlchart.v1.23</cx:f>
      </cx:numDim>
    </cx:data>
    <cx:data id="2">
      <cx:numDim type="val">
        <cx:f>_xlchart.v1.25</cx:f>
      </cx:numDim>
    </cx:data>
    <cx:data id="3">
      <cx:numDim type="val">
        <cx:f>_xlchart.v1.27</cx:f>
      </cx:numDim>
    </cx:data>
    <cx:data id="4">
      <cx:numDim type="val">
        <cx:f>_xlchart.v1.29</cx:f>
      </cx:numDim>
    </cx:data>
  </cx:chartData>
  <cx:chart>
    <cx:title pos="t" align="ctr" overlay="0">
      <cx:tx>
        <cx:rich>
          <a:bodyPr spcFirstLastPara="1" vertOverflow="ellipsis" horzOverflow="overflow" wrap="square" lIns="0" tIns="0" rIns="0" bIns="0" anchor="ctr" anchorCtr="1"/>
          <a:lstStyle/>
          <a:p>
            <a:pPr algn="ctr" rtl="0">
              <a:defRPr/>
            </a:pPr>
            <a:r>
              <a:rPr lang="en-IN">
                <a:effectLst/>
              </a:rPr>
              <a:t>Supplier by EOQ - w/o Outliers</a:t>
            </a:r>
            <a:endParaRPr lang="en-US" sz="1400" b="0" i="0" u="none" strike="noStrike" baseline="0">
              <a:solidFill>
                <a:sysClr val="windowText" lastClr="000000">
                  <a:lumMod val="65000"/>
                  <a:lumOff val="35000"/>
                </a:sysClr>
              </a:solidFill>
              <a:latin typeface="Calibri" panose="020F0502020204030204"/>
            </a:endParaRPr>
          </a:p>
        </cx:rich>
      </cx:tx>
    </cx:title>
    <cx:plotArea>
      <cx:plotAreaRegion>
        <cx:series layoutId="boxWhisker" uniqueId="{2B405E11-B822-4904-A727-14E1C5878A93}">
          <cx:tx>
            <cx:txData>
              <cx:f>_xlchart.v1.21</cx:f>
              <cx:v>Supplier 1</cx:v>
            </cx:txData>
          </cx:tx>
          <cx:dataLabels>
            <cx:visibility seriesName="0" categoryName="0" value="1"/>
          </cx:dataLabels>
          <cx:dataId val="0"/>
          <cx:layoutPr>
            <cx:visibility meanLine="0" meanMarker="1" nonoutliers="0" outliers="1"/>
            <cx:statistics quartileMethod="exclusive"/>
          </cx:layoutPr>
        </cx:series>
        <cx:series layoutId="boxWhisker" uniqueId="{F8FEF821-E1DD-4229-BF03-3CB2F01FEF8D}">
          <cx:tx>
            <cx:txData>
              <cx:f>_xlchart.v1.24</cx:f>
              <cx:v>Supplier 2</cx:v>
            </cx:txData>
          </cx:tx>
          <cx:dataLabels>
            <cx:visibility seriesName="0" categoryName="0" value="1"/>
          </cx:dataLabels>
          <cx:dataId val="1"/>
          <cx:layoutPr>
            <cx:visibility meanLine="0" meanMarker="1" nonoutliers="0" outliers="1"/>
            <cx:statistics quartileMethod="exclusive"/>
          </cx:layoutPr>
        </cx:series>
        <cx:series layoutId="boxWhisker" uniqueId="{2BF8B705-8419-4858-AD41-84656EE8DA68}">
          <cx:tx>
            <cx:txData>
              <cx:f>_xlchart.v1.26</cx:f>
              <cx:v>Supplier 3</cx:v>
            </cx:txData>
          </cx:tx>
          <cx:dataLabels>
            <cx:visibility seriesName="0" categoryName="0" value="1"/>
          </cx:dataLabels>
          <cx:dataId val="2"/>
          <cx:layoutPr>
            <cx:visibility meanLine="0" meanMarker="1" nonoutliers="0" outliers="1"/>
            <cx:statistics quartileMethod="exclusive"/>
          </cx:layoutPr>
        </cx:series>
        <cx:series layoutId="boxWhisker" uniqueId="{07BBAD85-4A38-476C-A345-F23E9FD2D945}">
          <cx:tx>
            <cx:txData>
              <cx:f>_xlchart.v1.28</cx:f>
              <cx:v>Supplier 4</cx:v>
            </cx:txData>
          </cx:tx>
          <cx:dataLabels>
            <cx:visibility seriesName="0" categoryName="0" value="1"/>
          </cx:dataLabels>
          <cx:dataId val="3"/>
          <cx:layoutPr>
            <cx:visibility meanLine="0" meanMarker="1" nonoutliers="0" outliers="1"/>
            <cx:statistics quartileMethod="exclusive"/>
          </cx:layoutPr>
        </cx:series>
        <cx:series layoutId="boxWhisker" uniqueId="{DFC1D13C-6132-4A4B-9BB2-DA858FA6ABC3}">
          <cx:tx>
            <cx:txData>
              <cx:f>_xlchart.v1.20</cx:f>
              <cx:v>Supplier 5</cx:v>
            </cx:txData>
          </cx:tx>
          <cx:dataLabels>
            <cx:visibility seriesName="0" categoryName="0" value="1"/>
          </cx:dataLabels>
          <cx:dataId val="4"/>
          <cx:layoutPr>
            <cx:visibility meanLine="0" meanMarker="1" nonoutliers="0" outliers="1"/>
            <cx:statistics quartileMethod="exclusive"/>
          </cx:layoutPr>
        </cx:series>
      </cx:plotAreaRegion>
      <cx:axis id="0">
        <cx:catScaling gapWidth="1"/>
        <cx:tickLabels/>
      </cx:axis>
      <cx:axis id="1">
        <cx:valScaling/>
        <cx:majorGridlines/>
        <cx:tickLabels/>
      </cx:axis>
    </cx:plotArea>
    <cx:legend pos="t"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1">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2.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3.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4.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5.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6.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1.xml"/><Relationship Id="rId13" Type="http://schemas.openxmlformats.org/officeDocument/2006/relationships/chart" Target="../charts/chart6.xml"/><Relationship Id="rId3" Type="http://schemas.openxmlformats.org/officeDocument/2006/relationships/hyperlink" Target="#'Risk Assessment'!A1"/><Relationship Id="rId7" Type="http://schemas.openxmlformats.org/officeDocument/2006/relationships/image" Target="../media/image4.svg"/><Relationship Id="rId12" Type="http://schemas.openxmlformats.org/officeDocument/2006/relationships/chart" Target="../charts/chart5.xml"/><Relationship Id="rId17" Type="http://schemas.openxmlformats.org/officeDocument/2006/relationships/hyperlink" Target="#'Order Quantity'!A1"/><Relationship Id="rId2" Type="http://schemas.openxmlformats.org/officeDocument/2006/relationships/hyperlink" Target="#'Defect Insights'!A1"/><Relationship Id="rId16" Type="http://schemas.openxmlformats.org/officeDocument/2006/relationships/chart" Target="../charts/chart9.xml"/><Relationship Id="rId1" Type="http://schemas.openxmlformats.org/officeDocument/2006/relationships/hyperlink" Target="#'Order Tracker'!A1"/><Relationship Id="rId6" Type="http://schemas.openxmlformats.org/officeDocument/2006/relationships/image" Target="../media/image3.png"/><Relationship Id="rId11" Type="http://schemas.openxmlformats.org/officeDocument/2006/relationships/chart" Target="../charts/chart4.xml"/><Relationship Id="rId5" Type="http://schemas.openxmlformats.org/officeDocument/2006/relationships/image" Target="../media/image2.svg"/><Relationship Id="rId15" Type="http://schemas.openxmlformats.org/officeDocument/2006/relationships/chart" Target="../charts/chart8.xml"/><Relationship Id="rId10" Type="http://schemas.openxmlformats.org/officeDocument/2006/relationships/chart" Target="../charts/chart3.xml"/><Relationship Id="rId4" Type="http://schemas.openxmlformats.org/officeDocument/2006/relationships/image" Target="../media/image1.png"/><Relationship Id="rId9" Type="http://schemas.openxmlformats.org/officeDocument/2006/relationships/chart" Target="../charts/chart2.xml"/><Relationship Id="rId14" Type="http://schemas.openxmlformats.org/officeDocument/2006/relationships/chart" Target="../charts/chart7.xml"/></Relationships>
</file>

<file path=xl/drawings/_rels/drawing2.xml.rels><?xml version="1.0" encoding="UTF-8" standalone="yes"?>
<Relationships xmlns="http://schemas.openxmlformats.org/package/2006/relationships"><Relationship Id="rId2" Type="http://schemas.openxmlformats.org/officeDocument/2006/relationships/chart" Target="../charts/chart11.xml"/><Relationship Id="rId1" Type="http://schemas.openxmlformats.org/officeDocument/2006/relationships/chart" Target="../charts/chart10.xml"/></Relationships>
</file>

<file path=xl/drawings/_rels/drawing3.xml.rels><?xml version="1.0" encoding="UTF-8" standalone="yes"?>
<Relationships xmlns="http://schemas.openxmlformats.org/package/2006/relationships"><Relationship Id="rId1" Type="http://schemas.microsoft.com/office/2014/relationships/chartEx" Target="../charts/chartEx1.xml"/></Relationships>
</file>

<file path=xl/drawings/_rels/drawing4.xml.rels><?xml version="1.0" encoding="UTF-8" standalone="yes"?>
<Relationships xmlns="http://schemas.openxmlformats.org/package/2006/relationships"><Relationship Id="rId3" Type="http://schemas.microsoft.com/office/2014/relationships/chartEx" Target="../charts/chartEx4.xml"/><Relationship Id="rId2" Type="http://schemas.microsoft.com/office/2014/relationships/chartEx" Target="../charts/chartEx3.xml"/><Relationship Id="rId1" Type="http://schemas.microsoft.com/office/2014/relationships/chartEx" Target="../charts/chartEx2.xml"/><Relationship Id="rId4" Type="http://schemas.microsoft.com/office/2014/relationships/chartEx" Target="../charts/chartEx5.xml"/></Relationships>
</file>

<file path=xl/drawings/_rels/drawing5.xml.rels><?xml version="1.0" encoding="UTF-8" standalone="yes"?>
<Relationships xmlns="http://schemas.openxmlformats.org/package/2006/relationships"><Relationship Id="rId3" Type="http://schemas.openxmlformats.org/officeDocument/2006/relationships/chart" Target="../charts/chart13.xml"/><Relationship Id="rId2" Type="http://schemas.openxmlformats.org/officeDocument/2006/relationships/image" Target="../media/image5.png"/><Relationship Id="rId1" Type="http://schemas.openxmlformats.org/officeDocument/2006/relationships/chart" Target="../charts/chart12.xml"/><Relationship Id="rId4" Type="http://schemas.microsoft.com/office/2014/relationships/chartEx" Target="../charts/chartEx6.xml"/></Relationships>
</file>

<file path=xl/drawings/drawing1.xml><?xml version="1.0" encoding="utf-8"?>
<xdr:wsDr xmlns:xdr="http://schemas.openxmlformats.org/drawingml/2006/spreadsheetDrawing" xmlns:a="http://schemas.openxmlformats.org/drawingml/2006/main">
  <xdr:twoCellAnchor>
    <xdr:from>
      <xdr:col>0</xdr:col>
      <xdr:colOff>350520</xdr:colOff>
      <xdr:row>2</xdr:row>
      <xdr:rowOff>30480</xdr:rowOff>
    </xdr:from>
    <xdr:to>
      <xdr:col>3</xdr:col>
      <xdr:colOff>190500</xdr:colOff>
      <xdr:row>5</xdr:row>
      <xdr:rowOff>106680</xdr:rowOff>
    </xdr:to>
    <xdr:sp macro="" textlink="">
      <xdr:nvSpPr>
        <xdr:cNvPr id="3" name="Rectangle: Rounded Corners 2">
          <a:hlinkClick xmlns:r="http://schemas.openxmlformats.org/officeDocument/2006/relationships" r:id="rId1"/>
          <a:extLst>
            <a:ext uri="{FF2B5EF4-FFF2-40B4-BE49-F238E27FC236}">
              <a16:creationId xmlns:a16="http://schemas.microsoft.com/office/drawing/2014/main" id="{E07AC160-CE86-D7D8-E3E6-783BE789B423}"/>
            </a:ext>
          </a:extLst>
        </xdr:cNvPr>
        <xdr:cNvSpPr/>
      </xdr:nvSpPr>
      <xdr:spPr>
        <a:xfrm>
          <a:off x="350520" y="396240"/>
          <a:ext cx="1668780" cy="624840"/>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1400" b="1" kern="1200">
              <a:latin typeface="Aptos Display" panose="020B0004020202020204" pitchFamily="34" charset="0"/>
            </a:rPr>
            <a:t>ORDER TRACKER</a:t>
          </a:r>
        </a:p>
      </xdr:txBody>
    </xdr:sp>
    <xdr:clientData/>
  </xdr:twoCellAnchor>
  <xdr:twoCellAnchor>
    <xdr:from>
      <xdr:col>0</xdr:col>
      <xdr:colOff>335280</xdr:colOff>
      <xdr:row>8</xdr:row>
      <xdr:rowOff>15240</xdr:rowOff>
    </xdr:from>
    <xdr:to>
      <xdr:col>3</xdr:col>
      <xdr:colOff>175260</xdr:colOff>
      <xdr:row>11</xdr:row>
      <xdr:rowOff>91440</xdr:rowOff>
    </xdr:to>
    <xdr:sp macro="" textlink="">
      <xdr:nvSpPr>
        <xdr:cNvPr id="5" name="Rectangle: Rounded Corners 4">
          <a:hlinkClick xmlns:r="http://schemas.openxmlformats.org/officeDocument/2006/relationships" r:id="rId2"/>
          <a:extLst>
            <a:ext uri="{FF2B5EF4-FFF2-40B4-BE49-F238E27FC236}">
              <a16:creationId xmlns:a16="http://schemas.microsoft.com/office/drawing/2014/main" id="{EDF1334D-D044-4125-B954-6FDEDEE5FB6F}"/>
            </a:ext>
          </a:extLst>
        </xdr:cNvPr>
        <xdr:cNvSpPr/>
      </xdr:nvSpPr>
      <xdr:spPr>
        <a:xfrm>
          <a:off x="335280" y="1478280"/>
          <a:ext cx="1668780" cy="624840"/>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1400" b="1" kern="1200">
              <a:latin typeface="Aptos Display" panose="020B0004020202020204" pitchFamily="34" charset="0"/>
            </a:rPr>
            <a:t>DEFECT ANALYSIS</a:t>
          </a:r>
        </a:p>
      </xdr:txBody>
    </xdr:sp>
    <xdr:clientData/>
  </xdr:twoCellAnchor>
  <xdr:twoCellAnchor>
    <xdr:from>
      <xdr:col>0</xdr:col>
      <xdr:colOff>342900</xdr:colOff>
      <xdr:row>14</xdr:row>
      <xdr:rowOff>83820</xdr:rowOff>
    </xdr:from>
    <xdr:to>
      <xdr:col>3</xdr:col>
      <xdr:colOff>182880</xdr:colOff>
      <xdr:row>17</xdr:row>
      <xdr:rowOff>160020</xdr:rowOff>
    </xdr:to>
    <xdr:sp macro="" textlink="">
      <xdr:nvSpPr>
        <xdr:cNvPr id="6" name="Rectangle: Rounded Corners 5">
          <a:hlinkClick xmlns:r="http://schemas.openxmlformats.org/officeDocument/2006/relationships" r:id="rId3"/>
          <a:extLst>
            <a:ext uri="{FF2B5EF4-FFF2-40B4-BE49-F238E27FC236}">
              <a16:creationId xmlns:a16="http://schemas.microsoft.com/office/drawing/2014/main" id="{721273D2-2857-4EA8-A01B-DFF3070F5D63}"/>
            </a:ext>
          </a:extLst>
        </xdr:cNvPr>
        <xdr:cNvSpPr/>
      </xdr:nvSpPr>
      <xdr:spPr>
        <a:xfrm>
          <a:off x="342900" y="2644140"/>
          <a:ext cx="1668780" cy="624840"/>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1400" b="1" kern="1200">
              <a:latin typeface="Aptos Display" panose="020B0004020202020204" pitchFamily="34" charset="0"/>
            </a:rPr>
            <a:t>RISK ANALYSIS</a:t>
          </a:r>
        </a:p>
      </xdr:txBody>
    </xdr:sp>
    <xdr:clientData/>
  </xdr:twoCellAnchor>
  <xdr:twoCellAnchor>
    <xdr:from>
      <xdr:col>4</xdr:col>
      <xdr:colOff>571500</xdr:colOff>
      <xdr:row>0</xdr:row>
      <xdr:rowOff>114300</xdr:rowOff>
    </xdr:from>
    <xdr:to>
      <xdr:col>8</xdr:col>
      <xdr:colOff>327660</xdr:colOff>
      <xdr:row>7</xdr:row>
      <xdr:rowOff>106680</xdr:rowOff>
    </xdr:to>
    <xdr:sp macro="" textlink="'General Analysis'!F8">
      <xdr:nvSpPr>
        <xdr:cNvPr id="9" name="Rectangle: Rounded Corners 8" descr="Green to blue gradient">
          <a:extLst>
            <a:ext uri="{FF2B5EF4-FFF2-40B4-BE49-F238E27FC236}">
              <a16:creationId xmlns:a16="http://schemas.microsoft.com/office/drawing/2014/main" id="{96CD4900-2764-5A4C-D975-E7C178807F70}"/>
            </a:ext>
          </a:extLst>
        </xdr:cNvPr>
        <xdr:cNvSpPr/>
      </xdr:nvSpPr>
      <xdr:spPr>
        <a:xfrm>
          <a:off x="3009900" y="114300"/>
          <a:ext cx="2194560" cy="1272540"/>
        </a:xfrm>
        <a:prstGeom prst="roundRect">
          <a:avLst/>
        </a:prstGeom>
        <a:gradFill flip="none" rotWithShape="1">
          <a:gsLst>
            <a:gs pos="0">
              <a:schemeClr val="accent1">
                <a:lumMod val="60000"/>
                <a:lumOff val="40000"/>
              </a:schemeClr>
            </a:gs>
            <a:gs pos="50000">
              <a:schemeClr val="accent5">
                <a:lumMod val="60000"/>
                <a:lumOff val="40000"/>
              </a:schemeClr>
            </a:gs>
            <a:gs pos="100000">
              <a:schemeClr val="accent6">
                <a:lumMod val="40000"/>
                <a:lumOff val="60000"/>
              </a:schemeClr>
            </a:gs>
          </a:gsLst>
          <a:lin ang="10800000" scaled="1"/>
          <a:tileRect/>
        </a:gra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b"/>
        <a:lstStyle/>
        <a:p>
          <a:pPr algn="ctr"/>
          <a:fld id="{A7222BF1-C87A-44B4-A935-7735DFA3AB87}" type="TxLink">
            <a:rPr lang="en-US" sz="1600" b="1" i="0" u="none" strike="noStrike" kern="1200">
              <a:solidFill>
                <a:srgbClr val="000000"/>
              </a:solidFill>
              <a:latin typeface="Calibri"/>
              <a:ea typeface="Calibri"/>
              <a:cs typeface="Calibri"/>
            </a:rPr>
            <a:pPr algn="ctr"/>
            <a:t>₹ 5,77,604.82</a:t>
          </a:fld>
          <a:endParaRPr lang="en-IN" sz="1600" kern="1200"/>
        </a:p>
      </xdr:txBody>
    </xdr:sp>
    <xdr:clientData/>
  </xdr:twoCellAnchor>
  <xdr:oneCellAnchor>
    <xdr:from>
      <xdr:col>4</xdr:col>
      <xdr:colOff>571500</xdr:colOff>
      <xdr:row>1</xdr:row>
      <xdr:rowOff>160020</xdr:rowOff>
    </xdr:from>
    <xdr:ext cx="2202180" cy="280205"/>
    <xdr:sp macro="" textlink="">
      <xdr:nvSpPr>
        <xdr:cNvPr id="10" name="TextBox 9">
          <a:extLst>
            <a:ext uri="{FF2B5EF4-FFF2-40B4-BE49-F238E27FC236}">
              <a16:creationId xmlns:a16="http://schemas.microsoft.com/office/drawing/2014/main" id="{9D014176-9ACE-73DA-236D-5AA8CE17E554}"/>
            </a:ext>
          </a:extLst>
        </xdr:cNvPr>
        <xdr:cNvSpPr txBox="1"/>
      </xdr:nvSpPr>
      <xdr:spPr>
        <a:xfrm>
          <a:off x="3009900" y="342900"/>
          <a:ext cx="2202180"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lang="en-IN" sz="1200" b="1" kern="1200">
              <a:latin typeface="Aptos Display" panose="020B0004020202020204" pitchFamily="34" charset="0"/>
            </a:rPr>
            <a:t>Sum of Revenue Generated</a:t>
          </a:r>
        </a:p>
      </xdr:txBody>
    </xdr:sp>
    <xdr:clientData/>
  </xdr:oneCellAnchor>
  <xdr:twoCellAnchor editAs="oneCell">
    <xdr:from>
      <xdr:col>6</xdr:col>
      <xdr:colOff>220980</xdr:colOff>
      <xdr:row>3</xdr:row>
      <xdr:rowOff>7620</xdr:rowOff>
    </xdr:from>
    <xdr:to>
      <xdr:col>7</xdr:col>
      <xdr:colOff>106680</xdr:colOff>
      <xdr:row>5</xdr:row>
      <xdr:rowOff>137160</xdr:rowOff>
    </xdr:to>
    <xdr:pic>
      <xdr:nvPicPr>
        <xdr:cNvPr id="15" name="Graphic 14" descr="Money with solid fill">
          <a:extLst>
            <a:ext uri="{FF2B5EF4-FFF2-40B4-BE49-F238E27FC236}">
              <a16:creationId xmlns:a16="http://schemas.microsoft.com/office/drawing/2014/main" id="{ECA6456B-96D0-E316-D946-CF67409A4ED3}"/>
            </a:ext>
          </a:extLst>
        </xdr:cNvPr>
        <xdr:cNvPicPr>
          <a:picLocks noChangeAspect="1"/>
        </xdr:cNvPicPr>
      </xdr:nvPicPr>
      <xdr:blipFill>
        <a:blip xmlns:r="http://schemas.openxmlformats.org/officeDocument/2006/relationships" r:embed="rId4">
          <a:extLst>
            <a:ext uri="{96DAC541-7B7A-43D3-8B79-37D633B846F1}">
              <asvg:svgBlip xmlns:asvg="http://schemas.microsoft.com/office/drawing/2016/SVG/main" r:embed="rId5"/>
            </a:ext>
          </a:extLst>
        </a:blip>
        <a:stretch>
          <a:fillRect/>
        </a:stretch>
      </xdr:blipFill>
      <xdr:spPr>
        <a:xfrm>
          <a:off x="3878580" y="556260"/>
          <a:ext cx="495300" cy="495300"/>
        </a:xfrm>
        <a:prstGeom prst="rect">
          <a:avLst/>
        </a:prstGeom>
      </xdr:spPr>
    </xdr:pic>
    <xdr:clientData/>
  </xdr:twoCellAnchor>
  <xdr:twoCellAnchor>
    <xdr:from>
      <xdr:col>8</xdr:col>
      <xdr:colOff>541020</xdr:colOff>
      <xdr:row>0</xdr:row>
      <xdr:rowOff>106680</xdr:rowOff>
    </xdr:from>
    <xdr:to>
      <xdr:col>12</xdr:col>
      <xdr:colOff>297180</xdr:colOff>
      <xdr:row>7</xdr:row>
      <xdr:rowOff>99060</xdr:rowOff>
    </xdr:to>
    <xdr:sp macro="" textlink="'General Analysis'!F7">
      <xdr:nvSpPr>
        <xdr:cNvPr id="16" name="Rectangle: Rounded Corners 15" descr="Green to blue gradient">
          <a:extLst>
            <a:ext uri="{FF2B5EF4-FFF2-40B4-BE49-F238E27FC236}">
              <a16:creationId xmlns:a16="http://schemas.microsoft.com/office/drawing/2014/main" id="{E4633ABD-C464-47CC-BB1A-1128EE8A249A}"/>
            </a:ext>
          </a:extLst>
        </xdr:cNvPr>
        <xdr:cNvSpPr/>
      </xdr:nvSpPr>
      <xdr:spPr>
        <a:xfrm>
          <a:off x="5417820" y="106680"/>
          <a:ext cx="2194560" cy="1272540"/>
        </a:xfrm>
        <a:prstGeom prst="roundRect">
          <a:avLst/>
        </a:prstGeom>
        <a:gradFill flip="none" rotWithShape="1">
          <a:gsLst>
            <a:gs pos="0">
              <a:schemeClr val="accent1">
                <a:lumMod val="60000"/>
                <a:lumOff val="40000"/>
              </a:schemeClr>
            </a:gs>
            <a:gs pos="50000">
              <a:schemeClr val="accent5">
                <a:lumMod val="60000"/>
                <a:lumOff val="40000"/>
              </a:schemeClr>
            </a:gs>
            <a:gs pos="100000">
              <a:schemeClr val="accent6">
                <a:lumMod val="40000"/>
                <a:lumOff val="60000"/>
              </a:schemeClr>
            </a:gs>
          </a:gsLst>
          <a:lin ang="10800000" scaled="1"/>
          <a:tileRect/>
        </a:gra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b"/>
        <a:lstStyle/>
        <a:p>
          <a:pPr algn="ctr"/>
          <a:fld id="{1EC881AF-FB09-41D9-9C22-94DD9EC82DE2}" type="TxLink">
            <a:rPr lang="en-US" sz="1600" b="1" i="0" u="none" strike="noStrike" kern="1200">
              <a:solidFill>
                <a:srgbClr val="000000"/>
              </a:solidFill>
              <a:latin typeface="Calibri"/>
              <a:ea typeface="Calibri"/>
              <a:cs typeface="Calibri"/>
            </a:rPr>
            <a:pPr algn="ctr"/>
            <a:t>46099</a:t>
          </a:fld>
          <a:endParaRPr lang="en-US" sz="2400" b="1" i="0" u="none" strike="noStrike" kern="1200">
            <a:solidFill>
              <a:srgbClr val="000000"/>
            </a:solidFill>
            <a:latin typeface="Calibri"/>
            <a:ea typeface="Calibri"/>
            <a:cs typeface="Calibri"/>
          </a:endParaRPr>
        </a:p>
      </xdr:txBody>
    </xdr:sp>
    <xdr:clientData/>
  </xdr:twoCellAnchor>
  <xdr:oneCellAnchor>
    <xdr:from>
      <xdr:col>8</xdr:col>
      <xdr:colOff>510540</xdr:colOff>
      <xdr:row>1</xdr:row>
      <xdr:rowOff>175260</xdr:rowOff>
    </xdr:from>
    <xdr:ext cx="2202180" cy="280205"/>
    <xdr:sp macro="" textlink="">
      <xdr:nvSpPr>
        <xdr:cNvPr id="17" name="TextBox 16">
          <a:extLst>
            <a:ext uri="{FF2B5EF4-FFF2-40B4-BE49-F238E27FC236}">
              <a16:creationId xmlns:a16="http://schemas.microsoft.com/office/drawing/2014/main" id="{2EDC8D42-7728-4E3C-BF9E-B8D12C8505C7}"/>
            </a:ext>
          </a:extLst>
        </xdr:cNvPr>
        <xdr:cNvSpPr txBox="1"/>
      </xdr:nvSpPr>
      <xdr:spPr>
        <a:xfrm>
          <a:off x="5387340" y="358140"/>
          <a:ext cx="2202180"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lang="en-IN" sz="1200" b="1" kern="1200">
              <a:latin typeface="Aptos Display" panose="020B0004020202020204" pitchFamily="34" charset="0"/>
            </a:rPr>
            <a:t>Total Products Sold</a:t>
          </a:r>
        </a:p>
      </xdr:txBody>
    </xdr:sp>
    <xdr:clientData/>
  </xdr:oneCellAnchor>
  <xdr:twoCellAnchor editAs="oneCell">
    <xdr:from>
      <xdr:col>10</xdr:col>
      <xdr:colOff>190500</xdr:colOff>
      <xdr:row>3</xdr:row>
      <xdr:rowOff>38100</xdr:rowOff>
    </xdr:from>
    <xdr:to>
      <xdr:col>11</xdr:col>
      <xdr:colOff>60960</xdr:colOff>
      <xdr:row>5</xdr:row>
      <xdr:rowOff>152400</xdr:rowOff>
    </xdr:to>
    <xdr:pic>
      <xdr:nvPicPr>
        <xdr:cNvPr id="19" name="Graphic 18" descr="Research with solid fill">
          <a:extLst>
            <a:ext uri="{FF2B5EF4-FFF2-40B4-BE49-F238E27FC236}">
              <a16:creationId xmlns:a16="http://schemas.microsoft.com/office/drawing/2014/main" id="{8A03AC28-1CC2-8FCC-399F-F799C9BC4299}"/>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a:off x="6286500" y="586740"/>
          <a:ext cx="480060" cy="480060"/>
        </a:xfrm>
        <a:prstGeom prst="rect">
          <a:avLst/>
        </a:prstGeom>
      </xdr:spPr>
    </xdr:pic>
    <xdr:clientData/>
  </xdr:twoCellAnchor>
  <xdr:twoCellAnchor>
    <xdr:from>
      <xdr:col>12</xdr:col>
      <xdr:colOff>388620</xdr:colOff>
      <xdr:row>8</xdr:row>
      <xdr:rowOff>99060</xdr:rowOff>
    </xdr:from>
    <xdr:to>
      <xdr:col>18</xdr:col>
      <xdr:colOff>53340</xdr:colOff>
      <xdr:row>20</xdr:row>
      <xdr:rowOff>45720</xdr:rowOff>
    </xdr:to>
    <xdr:graphicFrame macro="">
      <xdr:nvGraphicFramePr>
        <xdr:cNvPr id="21" name="Chart 20">
          <a:extLst>
            <a:ext uri="{FF2B5EF4-FFF2-40B4-BE49-F238E27FC236}">
              <a16:creationId xmlns:a16="http://schemas.microsoft.com/office/drawing/2014/main" id="{EEC17C89-7ACB-4671-A72B-B373F721304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12</xdr:col>
      <xdr:colOff>388620</xdr:colOff>
      <xdr:row>0</xdr:row>
      <xdr:rowOff>83820</xdr:rowOff>
    </xdr:from>
    <xdr:to>
      <xdr:col>18</xdr:col>
      <xdr:colOff>45720</xdr:colOff>
      <xdr:row>8</xdr:row>
      <xdr:rowOff>30480</xdr:rowOff>
    </xdr:to>
    <xdr:graphicFrame macro="">
      <xdr:nvGraphicFramePr>
        <xdr:cNvPr id="22" name="Chart 21">
          <a:extLst>
            <a:ext uri="{FF2B5EF4-FFF2-40B4-BE49-F238E27FC236}">
              <a16:creationId xmlns:a16="http://schemas.microsoft.com/office/drawing/2014/main" id="{792992A9-ECB4-4655-B894-3122F2A39FB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4</xdr:col>
      <xdr:colOff>251460</xdr:colOff>
      <xdr:row>8</xdr:row>
      <xdr:rowOff>99060</xdr:rowOff>
    </xdr:from>
    <xdr:to>
      <xdr:col>12</xdr:col>
      <xdr:colOff>213360</xdr:colOff>
      <xdr:row>20</xdr:row>
      <xdr:rowOff>45720</xdr:rowOff>
    </xdr:to>
    <xdr:graphicFrame macro="">
      <xdr:nvGraphicFramePr>
        <xdr:cNvPr id="23" name="Chart 22">
          <a:extLst>
            <a:ext uri="{FF2B5EF4-FFF2-40B4-BE49-F238E27FC236}">
              <a16:creationId xmlns:a16="http://schemas.microsoft.com/office/drawing/2014/main" id="{C0D5A48E-01AA-42A9-B6D3-D7665A0E13B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18</xdr:col>
      <xdr:colOff>144780</xdr:colOff>
      <xdr:row>0</xdr:row>
      <xdr:rowOff>76200</xdr:rowOff>
    </xdr:from>
    <xdr:to>
      <xdr:col>23</xdr:col>
      <xdr:colOff>22860</xdr:colOff>
      <xdr:row>8</xdr:row>
      <xdr:rowOff>22860</xdr:rowOff>
    </xdr:to>
    <xdr:graphicFrame macro="">
      <xdr:nvGraphicFramePr>
        <xdr:cNvPr id="24" name="Chart 23">
          <a:extLst>
            <a:ext uri="{FF2B5EF4-FFF2-40B4-BE49-F238E27FC236}">
              <a16:creationId xmlns:a16="http://schemas.microsoft.com/office/drawing/2014/main" id="{482709DE-C208-41C1-B2EC-A59621F364C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18</xdr:col>
      <xdr:colOff>152400</xdr:colOff>
      <xdr:row>8</xdr:row>
      <xdr:rowOff>99060</xdr:rowOff>
    </xdr:from>
    <xdr:to>
      <xdr:col>23</xdr:col>
      <xdr:colOff>38100</xdr:colOff>
      <xdr:row>20</xdr:row>
      <xdr:rowOff>38100</xdr:rowOff>
    </xdr:to>
    <xdr:graphicFrame macro="">
      <xdr:nvGraphicFramePr>
        <xdr:cNvPr id="25" name="Chart 24">
          <a:extLst>
            <a:ext uri="{FF2B5EF4-FFF2-40B4-BE49-F238E27FC236}">
              <a16:creationId xmlns:a16="http://schemas.microsoft.com/office/drawing/2014/main" id="{4550AF25-8656-411B-A57C-EF684828AA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4</xdr:col>
      <xdr:colOff>190500</xdr:colOff>
      <xdr:row>20</xdr:row>
      <xdr:rowOff>106680</xdr:rowOff>
    </xdr:from>
    <xdr:to>
      <xdr:col>8</xdr:col>
      <xdr:colOff>236220</xdr:colOff>
      <xdr:row>32</xdr:row>
      <xdr:rowOff>137160</xdr:rowOff>
    </xdr:to>
    <xdr:graphicFrame macro="">
      <xdr:nvGraphicFramePr>
        <xdr:cNvPr id="27" name="Chart 26">
          <a:extLst>
            <a:ext uri="{FF2B5EF4-FFF2-40B4-BE49-F238E27FC236}">
              <a16:creationId xmlns:a16="http://schemas.microsoft.com/office/drawing/2014/main" id="{60FC6AB5-B033-4885-B900-CBA4DC53D4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8</xdr:col>
      <xdr:colOff>281940</xdr:colOff>
      <xdr:row>20</xdr:row>
      <xdr:rowOff>99060</xdr:rowOff>
    </xdr:from>
    <xdr:to>
      <xdr:col>12</xdr:col>
      <xdr:colOff>220980</xdr:colOff>
      <xdr:row>32</xdr:row>
      <xdr:rowOff>129540</xdr:rowOff>
    </xdr:to>
    <xdr:graphicFrame macro="">
      <xdr:nvGraphicFramePr>
        <xdr:cNvPr id="28" name="Chart 27">
          <a:extLst>
            <a:ext uri="{FF2B5EF4-FFF2-40B4-BE49-F238E27FC236}">
              <a16:creationId xmlns:a16="http://schemas.microsoft.com/office/drawing/2014/main" id="{B9CC4CF9-1756-4291-88A2-0046641378C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18</xdr:col>
      <xdr:colOff>160020</xdr:colOff>
      <xdr:row>20</xdr:row>
      <xdr:rowOff>83820</xdr:rowOff>
    </xdr:from>
    <xdr:to>
      <xdr:col>23</xdr:col>
      <xdr:colOff>60960</xdr:colOff>
      <xdr:row>32</xdr:row>
      <xdr:rowOff>99060</xdr:rowOff>
    </xdr:to>
    <xdr:graphicFrame macro="">
      <xdr:nvGraphicFramePr>
        <xdr:cNvPr id="29" name="Chart 28">
          <a:extLst>
            <a:ext uri="{FF2B5EF4-FFF2-40B4-BE49-F238E27FC236}">
              <a16:creationId xmlns:a16="http://schemas.microsoft.com/office/drawing/2014/main" id="{C965FED7-4893-454F-B970-9E2D86A27A8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12</xdr:col>
      <xdr:colOff>381000</xdr:colOff>
      <xdr:row>20</xdr:row>
      <xdr:rowOff>91440</xdr:rowOff>
    </xdr:from>
    <xdr:to>
      <xdr:col>18</xdr:col>
      <xdr:colOff>53340</xdr:colOff>
      <xdr:row>32</xdr:row>
      <xdr:rowOff>91440</xdr:rowOff>
    </xdr:to>
    <xdr:graphicFrame macro="">
      <xdr:nvGraphicFramePr>
        <xdr:cNvPr id="30" name="Chart 29">
          <a:extLst>
            <a:ext uri="{FF2B5EF4-FFF2-40B4-BE49-F238E27FC236}">
              <a16:creationId xmlns:a16="http://schemas.microsoft.com/office/drawing/2014/main" id="{01548BA1-0571-42A2-9D32-4CB49CE510A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0</xdr:col>
      <xdr:colOff>365760</xdr:colOff>
      <xdr:row>21</xdr:row>
      <xdr:rowOff>76200</xdr:rowOff>
    </xdr:from>
    <xdr:to>
      <xdr:col>3</xdr:col>
      <xdr:colOff>205740</xdr:colOff>
      <xdr:row>24</xdr:row>
      <xdr:rowOff>152400</xdr:rowOff>
    </xdr:to>
    <xdr:sp macro="" textlink="">
      <xdr:nvSpPr>
        <xdr:cNvPr id="2" name="Rectangle: Rounded Corners 1">
          <a:hlinkClick xmlns:r="http://schemas.openxmlformats.org/officeDocument/2006/relationships" r:id="rId17"/>
          <a:extLst>
            <a:ext uri="{FF2B5EF4-FFF2-40B4-BE49-F238E27FC236}">
              <a16:creationId xmlns:a16="http://schemas.microsoft.com/office/drawing/2014/main" id="{E90DE9AC-B286-430F-9C2F-076406EB828A}"/>
            </a:ext>
          </a:extLst>
        </xdr:cNvPr>
        <xdr:cNvSpPr/>
      </xdr:nvSpPr>
      <xdr:spPr>
        <a:xfrm>
          <a:off x="365760" y="3916680"/>
          <a:ext cx="1668780" cy="624840"/>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1300" b="1" kern="1200">
              <a:latin typeface="Aptos Display" panose="020B0004020202020204" pitchFamily="34" charset="0"/>
            </a:rPr>
            <a:t>ORDER</a:t>
          </a:r>
          <a:r>
            <a:rPr lang="en-IN" sz="1300" b="1" kern="1200" baseline="0">
              <a:latin typeface="Aptos Display" panose="020B0004020202020204" pitchFamily="34" charset="0"/>
            </a:rPr>
            <a:t> QUANTITY ANALYSIS</a:t>
          </a:r>
          <a:endParaRPr lang="en-IN" sz="1300" b="1" kern="1200">
            <a:latin typeface="Aptos Display" panose="020B0004020202020204" pitchFamily="34" charset="0"/>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6</xdr:col>
      <xdr:colOff>731520</xdr:colOff>
      <xdr:row>4</xdr:row>
      <xdr:rowOff>179070</xdr:rowOff>
    </xdr:from>
    <xdr:to>
      <xdr:col>11</xdr:col>
      <xdr:colOff>434340</xdr:colOff>
      <xdr:row>19</xdr:row>
      <xdr:rowOff>179070</xdr:rowOff>
    </xdr:to>
    <xdr:graphicFrame macro="">
      <xdr:nvGraphicFramePr>
        <xdr:cNvPr id="25" name="Chart 24">
          <a:extLst>
            <a:ext uri="{FF2B5EF4-FFF2-40B4-BE49-F238E27FC236}">
              <a16:creationId xmlns:a16="http://schemas.microsoft.com/office/drawing/2014/main" id="{C02C058B-79A6-3D3E-FA24-35BA66FDA09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1242060</xdr:colOff>
      <xdr:row>40</xdr:row>
      <xdr:rowOff>64770</xdr:rowOff>
    </xdr:from>
    <xdr:to>
      <xdr:col>7</xdr:col>
      <xdr:colOff>1303020</xdr:colOff>
      <xdr:row>58</xdr:row>
      <xdr:rowOff>144780</xdr:rowOff>
    </xdr:to>
    <xdr:graphicFrame macro="">
      <xdr:nvGraphicFramePr>
        <xdr:cNvPr id="2" name="Chart 1">
          <a:extLst>
            <a:ext uri="{FF2B5EF4-FFF2-40B4-BE49-F238E27FC236}">
              <a16:creationId xmlns:a16="http://schemas.microsoft.com/office/drawing/2014/main" id="{243DF5F5-7FA4-E311-DF13-C5C7CCD43D1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182880</xdr:colOff>
      <xdr:row>4</xdr:row>
      <xdr:rowOff>148590</xdr:rowOff>
    </xdr:from>
    <xdr:to>
      <xdr:col>10</xdr:col>
      <xdr:colOff>259080</xdr:colOff>
      <xdr:row>23</xdr:row>
      <xdr:rowOff>15240</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4001B954-8FC2-C739-C62A-1506BF26D74E}"/>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2011680" y="880110"/>
              <a:ext cx="4541520" cy="334137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oneCellAnchor>
    <xdr:from>
      <xdr:col>11</xdr:col>
      <xdr:colOff>68580</xdr:colOff>
      <xdr:row>4</xdr:row>
      <xdr:rowOff>167640</xdr:rowOff>
    </xdr:from>
    <xdr:ext cx="4389120" cy="4383646"/>
    <xdr:sp macro="" textlink="">
      <xdr:nvSpPr>
        <xdr:cNvPr id="4" name="TextBox 3">
          <a:extLst>
            <a:ext uri="{FF2B5EF4-FFF2-40B4-BE49-F238E27FC236}">
              <a16:creationId xmlns:a16="http://schemas.microsoft.com/office/drawing/2014/main" id="{EC5DC0A0-3C5A-68CF-5DCD-414FEAA97819}"/>
            </a:ext>
          </a:extLst>
        </xdr:cNvPr>
        <xdr:cNvSpPr txBox="1"/>
      </xdr:nvSpPr>
      <xdr:spPr>
        <a:xfrm>
          <a:off x="6972300" y="899160"/>
          <a:ext cx="4389120" cy="4383646"/>
        </a:xfrm>
        <a:prstGeom prst="rect">
          <a:avLst/>
        </a:prstGeom>
      </xdr:spPr>
      <xdr:style>
        <a:lnRef idx="2">
          <a:schemeClr val="accent1"/>
        </a:lnRef>
        <a:fillRef idx="1">
          <a:schemeClr val="lt1"/>
        </a:fillRef>
        <a:effectRef idx="0">
          <a:schemeClr val="accent1"/>
        </a:effectRef>
        <a:fontRef idx="minor">
          <a:schemeClr val="dk1"/>
        </a:fontRef>
      </xdr:style>
      <xdr:txBody>
        <a:bodyPr vertOverflow="clip" horzOverflow="clip" wrap="square" rtlCol="0" anchor="ctr">
          <a:noAutofit/>
        </a:bodyPr>
        <a:lstStyle/>
        <a:p>
          <a:pPr algn="l"/>
          <a:r>
            <a:rPr lang="en-IN" sz="1100" u="sng" kern="1200">
              <a:latin typeface="Arial" panose="020B0604020202020204" pitchFamily="34" charset="0"/>
              <a:cs typeface="Arial" panose="020B0604020202020204" pitchFamily="34" charset="0"/>
            </a:rPr>
            <a:t>Insight</a:t>
          </a:r>
        </a:p>
        <a:p>
          <a:pPr algn="l"/>
          <a:r>
            <a:rPr lang="en-IN" sz="1100" kern="1200">
              <a:latin typeface="Arial" panose="020B0604020202020204" pitchFamily="34" charset="0"/>
              <a:cs typeface="Arial" panose="020B0604020202020204" pitchFamily="34" charset="0"/>
            </a:rPr>
            <a:t>The defects do not have</a:t>
          </a:r>
          <a:r>
            <a:rPr lang="en-IN" sz="1100" kern="1200" baseline="0">
              <a:latin typeface="Arial" panose="020B0604020202020204" pitchFamily="34" charset="0"/>
              <a:cs typeface="Arial" panose="020B0604020202020204" pitchFamily="34" charset="0"/>
            </a:rPr>
            <a:t> any outliers.</a:t>
          </a:r>
        </a:p>
        <a:p>
          <a:pPr algn="l"/>
          <a:r>
            <a:rPr lang="en-IN" sz="1100" kern="1200" baseline="0">
              <a:latin typeface="Arial" panose="020B0604020202020204" pitchFamily="34" charset="0"/>
              <a:cs typeface="Arial" panose="020B0604020202020204" pitchFamily="34" charset="0"/>
            </a:rPr>
            <a:t>Both median and mean are closer, indicating symmetrical distribution</a:t>
          </a:r>
          <a:r>
            <a:rPr lang="en-IN" sz="1100" b="0" i="0" u="none" strike="noStrike" kern="0" baseline="0">
              <a:solidFill>
                <a:schemeClr val="tx1"/>
              </a:solidFill>
              <a:effectLst/>
              <a:latin typeface="Arial" panose="020B0604020202020204" pitchFamily="34" charset="0"/>
              <a:ea typeface="+mn-ea"/>
              <a:cs typeface="Arial" panose="020B0604020202020204" pitchFamily="34" charset="0"/>
            </a:rPr>
            <a:t>. </a:t>
          </a:r>
          <a:r>
            <a:rPr lang="en-IN" sz="1100" b="0" i="0" u="none" strike="noStrike">
              <a:solidFill>
                <a:schemeClr val="dk1"/>
              </a:solidFill>
              <a:effectLst/>
              <a:latin typeface="Arial" panose="020B0604020202020204" pitchFamily="34" charset="0"/>
              <a:ea typeface="+mn-ea"/>
              <a:cs typeface="Arial" panose="020B0604020202020204" pitchFamily="34" charset="0"/>
            </a:rPr>
            <a:t> Cosmetics is the best performing product</a:t>
          </a:r>
          <a:r>
            <a:rPr lang="en-IN" sz="1100" b="0" i="0" u="none" strike="noStrike" baseline="0">
              <a:solidFill>
                <a:schemeClr val="dk1"/>
              </a:solidFill>
              <a:effectLst/>
              <a:latin typeface="Arial" panose="020B0604020202020204" pitchFamily="34" charset="0"/>
              <a:ea typeface="+mn-ea"/>
              <a:cs typeface="Arial" panose="020B0604020202020204" pitchFamily="34" charset="0"/>
            </a:rPr>
            <a:t> category.</a:t>
          </a:r>
        </a:p>
        <a:p>
          <a:pPr algn="l"/>
          <a:endParaRPr lang="en-IN" sz="1100" b="0" i="0" u="none" strike="noStrike">
            <a:solidFill>
              <a:schemeClr val="dk1"/>
            </a:solidFill>
            <a:effectLst/>
            <a:latin typeface="Arial" panose="020B0604020202020204" pitchFamily="34" charset="0"/>
            <a:ea typeface="+mn-ea"/>
            <a:cs typeface="Arial" panose="020B0604020202020204" pitchFamily="34" charset="0"/>
          </a:endParaRPr>
        </a:p>
        <a:p>
          <a:pPr algn="l"/>
          <a:r>
            <a:rPr lang="en-IN" sz="1100" b="1" i="0" u="none" strike="noStrike" kern="1200" baseline="0">
              <a:solidFill>
                <a:schemeClr val="dk1"/>
              </a:solidFill>
              <a:effectLst/>
              <a:latin typeface="Arial" panose="020B0604020202020204" pitchFamily="34" charset="0"/>
              <a:ea typeface="+mn-ea"/>
              <a:cs typeface="Arial" panose="020B0604020202020204" pitchFamily="34" charset="0"/>
            </a:rPr>
            <a:t>Haircare:</a:t>
          </a:r>
          <a:r>
            <a:rPr lang="en-IN" sz="1100" b="0" i="0" u="none" strike="noStrike" kern="1200" baseline="0">
              <a:solidFill>
                <a:schemeClr val="dk1"/>
              </a:solidFill>
              <a:effectLst/>
              <a:latin typeface="Arial" panose="020B0604020202020204" pitchFamily="34" charset="0"/>
              <a:ea typeface="+mn-ea"/>
              <a:cs typeface="Arial" panose="020B0604020202020204" pitchFamily="34" charset="0"/>
            </a:rPr>
            <a:t>  </a:t>
          </a:r>
          <a:r>
            <a:rPr lang="en-IN" sz="1100" b="0" i="0">
              <a:solidFill>
                <a:schemeClr val="dk1"/>
              </a:solidFill>
              <a:effectLst/>
              <a:latin typeface="Arial" panose="020B0604020202020204" pitchFamily="34" charset="0"/>
              <a:ea typeface="+mn-ea"/>
              <a:cs typeface="Arial" panose="020B0604020202020204" pitchFamily="34" charset="0"/>
            </a:rPr>
            <a:t>Haircare has the </a:t>
          </a:r>
          <a:r>
            <a:rPr lang="en-IN" sz="1100" b="1" i="0">
              <a:solidFill>
                <a:schemeClr val="dk1"/>
              </a:solidFill>
              <a:effectLst/>
              <a:latin typeface="Arial" panose="020B0604020202020204" pitchFamily="34" charset="0"/>
              <a:ea typeface="+mn-ea"/>
              <a:cs typeface="Arial" panose="020B0604020202020204" pitchFamily="34" charset="0"/>
            </a:rPr>
            <a:t>highest defect rates</a:t>
          </a:r>
          <a:r>
            <a:rPr lang="en-IN" sz="1100" b="0" i="0">
              <a:solidFill>
                <a:schemeClr val="dk1"/>
              </a:solidFill>
              <a:effectLst/>
              <a:latin typeface="Arial" panose="020B0604020202020204" pitchFamily="34" charset="0"/>
              <a:ea typeface="+mn-ea"/>
              <a:cs typeface="Arial" panose="020B0604020202020204" pitchFamily="34" charset="0"/>
            </a:rPr>
            <a:t> (both absolute and mean) among the three product types. Its mean and median are close, indicating a </a:t>
          </a:r>
          <a:r>
            <a:rPr lang="en-IN" sz="1100" b="1" i="0">
              <a:solidFill>
                <a:schemeClr val="dk1"/>
              </a:solidFill>
              <a:effectLst/>
              <a:latin typeface="Arial" panose="020B0604020202020204" pitchFamily="34" charset="0"/>
              <a:ea typeface="+mn-ea"/>
              <a:cs typeface="Arial" panose="020B0604020202020204" pitchFamily="34" charset="0"/>
            </a:rPr>
            <a:t>symmetrical distribution</a:t>
          </a:r>
          <a:r>
            <a:rPr lang="en-IN" sz="1100" b="0" i="0">
              <a:solidFill>
                <a:schemeClr val="dk1"/>
              </a:solidFill>
              <a:effectLst/>
              <a:latin typeface="Arial" panose="020B0604020202020204" pitchFamily="34" charset="0"/>
              <a:ea typeface="+mn-ea"/>
              <a:cs typeface="Arial" panose="020B0604020202020204" pitchFamily="34" charset="0"/>
            </a:rPr>
            <a:t>. </a:t>
          </a:r>
        </a:p>
        <a:p>
          <a:pPr algn="l"/>
          <a:r>
            <a:rPr lang="en-IN" sz="1100" b="0" i="0" u="sng">
              <a:solidFill>
                <a:schemeClr val="dk1"/>
              </a:solidFill>
              <a:effectLst/>
              <a:latin typeface="Arial" panose="020B0604020202020204" pitchFamily="34" charset="0"/>
              <a:ea typeface="+mn-ea"/>
              <a:cs typeface="Arial" panose="020B0604020202020204" pitchFamily="34" charset="0"/>
            </a:rPr>
            <a:t>Improvement:</a:t>
          </a:r>
          <a:r>
            <a:rPr lang="en-IN" sz="1100" b="0" i="0" baseline="0">
              <a:solidFill>
                <a:schemeClr val="dk1"/>
              </a:solidFill>
              <a:effectLst/>
              <a:latin typeface="Arial" panose="020B0604020202020204" pitchFamily="34" charset="0"/>
              <a:ea typeface="+mn-ea"/>
              <a:cs typeface="Arial" panose="020B0604020202020204" pitchFamily="34" charset="0"/>
            </a:rPr>
            <a:t> </a:t>
          </a:r>
          <a:r>
            <a:rPr lang="en-IN" sz="1100" b="0" i="0">
              <a:solidFill>
                <a:schemeClr val="dk1"/>
              </a:solidFill>
              <a:effectLst/>
              <a:latin typeface="Arial" panose="020B0604020202020204" pitchFamily="34" charset="0"/>
              <a:ea typeface="+mn-ea"/>
              <a:cs typeface="Arial" panose="020B0604020202020204" pitchFamily="34" charset="0"/>
            </a:rPr>
            <a:t>The data is consistent, but the high defect rate warrants attention from the quality team to address systemic issues.</a:t>
          </a:r>
        </a:p>
        <a:p>
          <a:pPr algn="l"/>
          <a:endParaRPr lang="en-IN" sz="1100" b="0" i="0" u="none" strike="noStrike" kern="1200" baseline="0">
            <a:solidFill>
              <a:schemeClr val="dk1"/>
            </a:solidFill>
            <a:effectLst/>
            <a:latin typeface="Arial" panose="020B0604020202020204" pitchFamily="34" charset="0"/>
            <a:ea typeface="+mn-ea"/>
            <a:cs typeface="Arial" panose="020B0604020202020204" pitchFamily="34" charset="0"/>
          </a:endParaRPr>
        </a:p>
        <a:p>
          <a:pPr algn="l"/>
          <a:r>
            <a:rPr lang="en-IN" sz="1100" b="1" i="0" u="none" strike="noStrike" kern="1200" baseline="0">
              <a:solidFill>
                <a:schemeClr val="dk1"/>
              </a:solidFill>
              <a:effectLst/>
              <a:latin typeface="Arial" panose="020B0604020202020204" pitchFamily="34" charset="0"/>
              <a:ea typeface="+mn-ea"/>
              <a:cs typeface="Arial" panose="020B0604020202020204" pitchFamily="34" charset="0"/>
            </a:rPr>
            <a:t>Skincare</a:t>
          </a:r>
          <a:r>
            <a:rPr lang="en-IN" sz="1100" b="0" i="0" u="none" strike="noStrike" kern="1200" baseline="0">
              <a:solidFill>
                <a:schemeClr val="dk1"/>
              </a:solidFill>
              <a:effectLst/>
              <a:latin typeface="Arial" panose="020B0604020202020204" pitchFamily="34" charset="0"/>
              <a:ea typeface="+mn-ea"/>
              <a:cs typeface="Arial" panose="020B0604020202020204" pitchFamily="34" charset="0"/>
            </a:rPr>
            <a:t>: </a:t>
          </a:r>
          <a:r>
            <a:rPr lang="en-IN" sz="1100" b="0" i="0">
              <a:solidFill>
                <a:schemeClr val="dk1"/>
              </a:solidFill>
              <a:effectLst/>
              <a:latin typeface="Arial" panose="020B0604020202020204" pitchFamily="34" charset="0"/>
              <a:ea typeface="+mn-ea"/>
              <a:cs typeface="Arial" panose="020B0604020202020204" pitchFamily="34" charset="0"/>
            </a:rPr>
            <a:t>Skincare has the </a:t>
          </a:r>
          <a:r>
            <a:rPr lang="en-IN" sz="1100" b="1" i="0">
              <a:solidFill>
                <a:schemeClr val="dk1"/>
              </a:solidFill>
              <a:effectLst/>
              <a:latin typeface="Arial" panose="020B0604020202020204" pitchFamily="34" charset="0"/>
              <a:ea typeface="+mn-ea"/>
              <a:cs typeface="Arial" panose="020B0604020202020204" pitchFamily="34" charset="0"/>
            </a:rPr>
            <a:t>highest IQR</a:t>
          </a:r>
          <a:r>
            <a:rPr lang="en-IN" sz="1100" b="0" i="0">
              <a:solidFill>
                <a:schemeClr val="dk1"/>
              </a:solidFill>
              <a:effectLst/>
              <a:latin typeface="Arial" panose="020B0604020202020204" pitchFamily="34" charset="0"/>
              <a:ea typeface="+mn-ea"/>
              <a:cs typeface="Arial" panose="020B0604020202020204" pitchFamily="34" charset="0"/>
            </a:rPr>
            <a:t>, indicating the most variability in defect rates among the three categories. Its box plot shows symmetrical distribution, though absolute values (mean higher than median) suggests a </a:t>
          </a:r>
          <a:r>
            <a:rPr lang="en-IN" sz="1100" b="1" i="0">
              <a:solidFill>
                <a:schemeClr val="dk1"/>
              </a:solidFill>
              <a:effectLst/>
              <a:latin typeface="Arial" panose="020B0604020202020204" pitchFamily="34" charset="0"/>
              <a:ea typeface="+mn-ea"/>
              <a:cs typeface="Arial" panose="020B0604020202020204" pitchFamily="34" charset="0"/>
            </a:rPr>
            <a:t>right-skewed distribution</a:t>
          </a:r>
          <a:r>
            <a:rPr lang="en-IN" sz="1100" b="0" i="0">
              <a:solidFill>
                <a:schemeClr val="dk1"/>
              </a:solidFill>
              <a:effectLst/>
              <a:latin typeface="Arial" panose="020B0604020202020204" pitchFamily="34" charset="0"/>
              <a:ea typeface="+mn-ea"/>
              <a:cs typeface="Arial" panose="020B0604020202020204" pitchFamily="34" charset="0"/>
            </a:rPr>
            <a:t>.</a:t>
          </a:r>
        </a:p>
        <a:p>
          <a:pPr algn="l"/>
          <a:r>
            <a:rPr lang="en-IN" sz="1100" b="0" i="0" u="sng">
              <a:solidFill>
                <a:schemeClr val="dk1"/>
              </a:solidFill>
              <a:effectLst/>
              <a:latin typeface="Arial" panose="020B0604020202020204" pitchFamily="34" charset="0"/>
              <a:ea typeface="+mn-ea"/>
              <a:cs typeface="Arial" panose="020B0604020202020204" pitchFamily="34" charset="0"/>
            </a:rPr>
            <a:t>Improvement</a:t>
          </a:r>
          <a:r>
            <a:rPr lang="en-IN" sz="1100" b="0" i="0">
              <a:solidFill>
                <a:schemeClr val="dk1"/>
              </a:solidFill>
              <a:effectLst/>
              <a:latin typeface="Arial" panose="020B0604020202020204" pitchFamily="34" charset="0"/>
              <a:ea typeface="+mn-ea"/>
              <a:cs typeface="Arial" panose="020B0604020202020204" pitchFamily="34" charset="0"/>
            </a:rPr>
            <a:t>: The variability and skewness may point to systemic issues in production or quality control. </a:t>
          </a:r>
        </a:p>
        <a:p>
          <a:pPr algn="l"/>
          <a:endParaRPr lang="en-IN" sz="1100" b="0" i="0">
            <a:solidFill>
              <a:schemeClr val="dk1"/>
            </a:solidFill>
            <a:effectLst/>
            <a:latin typeface="Arial" panose="020B0604020202020204" pitchFamily="34" charset="0"/>
            <a:ea typeface="+mn-ea"/>
            <a:cs typeface="Arial" panose="020B0604020202020204" pitchFamily="34" charset="0"/>
          </a:endParaRPr>
        </a:p>
        <a:p>
          <a:pPr algn="l"/>
          <a:r>
            <a:rPr lang="en-IN" sz="1100" b="1" i="0" u="none" strike="noStrike" kern="1200" baseline="0">
              <a:solidFill>
                <a:schemeClr val="dk1"/>
              </a:solidFill>
              <a:effectLst/>
              <a:latin typeface="Arial" panose="020B0604020202020204" pitchFamily="34" charset="0"/>
              <a:ea typeface="+mn-ea"/>
              <a:cs typeface="Arial" panose="020B0604020202020204" pitchFamily="34" charset="0"/>
            </a:rPr>
            <a:t>Cosmetics</a:t>
          </a:r>
          <a:r>
            <a:rPr lang="en-IN" sz="1100" b="0" i="0" u="none" strike="noStrike" kern="1200" baseline="0">
              <a:solidFill>
                <a:schemeClr val="dk1"/>
              </a:solidFill>
              <a:effectLst/>
              <a:latin typeface="Arial" panose="020B0604020202020204" pitchFamily="34" charset="0"/>
              <a:ea typeface="+mn-ea"/>
              <a:cs typeface="Arial" panose="020B0604020202020204" pitchFamily="34" charset="0"/>
            </a:rPr>
            <a:t>: </a:t>
          </a:r>
          <a:r>
            <a:rPr lang="en-IN" sz="1100" b="0" i="0">
              <a:solidFill>
                <a:schemeClr val="dk1"/>
              </a:solidFill>
              <a:effectLst/>
              <a:latin typeface="Arial" panose="020B0604020202020204" pitchFamily="34" charset="0"/>
              <a:ea typeface="+mn-ea"/>
              <a:cs typeface="Arial" panose="020B0604020202020204" pitchFamily="34" charset="0"/>
            </a:rPr>
            <a:t>Cosmetics has the </a:t>
          </a:r>
          <a:r>
            <a:rPr lang="en-IN" sz="1100" b="1" i="0">
              <a:solidFill>
                <a:schemeClr val="dk1"/>
              </a:solidFill>
              <a:effectLst/>
              <a:latin typeface="Arial" panose="020B0604020202020204" pitchFamily="34" charset="0"/>
              <a:ea typeface="+mn-ea"/>
              <a:cs typeface="Arial" panose="020B0604020202020204" pitchFamily="34" charset="0"/>
            </a:rPr>
            <a:t>lowest defect rates</a:t>
          </a:r>
          <a:r>
            <a:rPr lang="en-IN" sz="1100" b="0" i="0">
              <a:solidFill>
                <a:schemeClr val="dk1"/>
              </a:solidFill>
              <a:effectLst/>
              <a:latin typeface="Arial" panose="020B0604020202020204" pitchFamily="34" charset="0"/>
              <a:ea typeface="+mn-ea"/>
              <a:cs typeface="Arial" panose="020B0604020202020204" pitchFamily="34" charset="0"/>
            </a:rPr>
            <a:t> (absolute, mean, and median) among the three product types. While its variability is moderate (IQR = 2.32), it is lower than Skincare. It</a:t>
          </a:r>
          <a:r>
            <a:rPr lang="en-IN" sz="1100" b="0" i="0" baseline="0">
              <a:solidFill>
                <a:schemeClr val="dk1"/>
              </a:solidFill>
              <a:effectLst/>
              <a:latin typeface="Arial" panose="020B0604020202020204" pitchFamily="34" charset="0"/>
              <a:ea typeface="+mn-ea"/>
              <a:cs typeface="Arial" panose="020B0604020202020204" pitchFamily="34" charset="0"/>
            </a:rPr>
            <a:t> has </a:t>
          </a:r>
          <a:r>
            <a:rPr lang="en-IN" sz="1100" b="0" i="0">
              <a:solidFill>
                <a:schemeClr val="dk1"/>
              </a:solidFill>
              <a:effectLst/>
              <a:latin typeface="Arial" panose="020B0604020202020204" pitchFamily="34" charset="0"/>
              <a:ea typeface="+mn-ea"/>
              <a:cs typeface="Arial" panose="020B0604020202020204" pitchFamily="34" charset="0"/>
            </a:rPr>
            <a:t>a </a:t>
          </a:r>
          <a:r>
            <a:rPr lang="en-IN" sz="1100" b="1" i="0">
              <a:solidFill>
                <a:schemeClr val="dk1"/>
              </a:solidFill>
              <a:effectLst/>
              <a:latin typeface="Arial" panose="020B0604020202020204" pitchFamily="34" charset="0"/>
              <a:ea typeface="+mn-ea"/>
              <a:cs typeface="Arial" panose="020B0604020202020204" pitchFamily="34" charset="0"/>
            </a:rPr>
            <a:t>right-skewed distribution</a:t>
          </a:r>
          <a:r>
            <a:rPr lang="en-IN" sz="1100" b="0" i="0">
              <a:solidFill>
                <a:schemeClr val="dk1"/>
              </a:solidFill>
              <a:effectLst/>
              <a:latin typeface="Arial" panose="020B0604020202020204" pitchFamily="34" charset="0"/>
              <a:ea typeface="+mn-ea"/>
              <a:cs typeface="Arial" panose="020B0604020202020204" pitchFamily="34" charset="0"/>
            </a:rPr>
            <a:t>,</a:t>
          </a:r>
          <a:r>
            <a:rPr lang="en-IN" sz="1100" b="0" i="0" baseline="0">
              <a:solidFill>
                <a:schemeClr val="dk1"/>
              </a:solidFill>
              <a:effectLst/>
              <a:latin typeface="Arial" panose="020B0604020202020204" pitchFamily="34" charset="0"/>
              <a:ea typeface="+mn-ea"/>
              <a:cs typeface="Arial" panose="020B0604020202020204" pitchFamily="34" charset="0"/>
            </a:rPr>
            <a:t> concluded by slightly higher </a:t>
          </a:r>
          <a:r>
            <a:rPr lang="en-IN" sz="1100" b="0" i="0">
              <a:solidFill>
                <a:schemeClr val="dk1"/>
              </a:solidFill>
              <a:effectLst/>
              <a:latin typeface="Arial" panose="020B0604020202020204" pitchFamily="34" charset="0"/>
              <a:ea typeface="+mn-ea"/>
              <a:cs typeface="Arial" panose="020B0604020202020204" pitchFamily="34" charset="0"/>
            </a:rPr>
            <a:t>mean than the median</a:t>
          </a:r>
          <a:r>
            <a:rPr lang="en-IN" sz="1100" b="0" i="0" baseline="0">
              <a:solidFill>
                <a:schemeClr val="dk1"/>
              </a:solidFill>
              <a:effectLst/>
              <a:latin typeface="Arial" panose="020B0604020202020204" pitchFamily="34" charset="0"/>
              <a:ea typeface="+mn-ea"/>
              <a:cs typeface="Arial" panose="020B0604020202020204" pitchFamily="34" charset="0"/>
            </a:rPr>
            <a:t> and longer upper tail</a:t>
          </a:r>
          <a:r>
            <a:rPr lang="en-IN" sz="1100" b="0" i="0">
              <a:solidFill>
                <a:schemeClr val="dk1"/>
              </a:solidFill>
              <a:effectLst/>
              <a:latin typeface="Arial" panose="020B0604020202020204" pitchFamily="34" charset="0"/>
              <a:ea typeface="+mn-ea"/>
              <a:cs typeface="Arial" panose="020B0604020202020204" pitchFamily="34" charset="0"/>
            </a:rPr>
            <a:t> . </a:t>
          </a:r>
        </a:p>
        <a:p>
          <a:pPr algn="l"/>
          <a:r>
            <a:rPr lang="en-IN" sz="1100" b="0" i="0" u="sng">
              <a:solidFill>
                <a:schemeClr val="dk1"/>
              </a:solidFill>
              <a:effectLst/>
              <a:latin typeface="Arial" panose="020B0604020202020204" pitchFamily="34" charset="0"/>
              <a:ea typeface="+mn-ea"/>
              <a:cs typeface="Arial" panose="020B0604020202020204" pitchFamily="34" charset="0"/>
            </a:rPr>
            <a:t>Improvement</a:t>
          </a:r>
          <a:r>
            <a:rPr lang="en-IN" sz="1100" b="0" i="0">
              <a:solidFill>
                <a:schemeClr val="dk1"/>
              </a:solidFill>
              <a:effectLst/>
              <a:latin typeface="Arial" panose="020B0604020202020204" pitchFamily="34" charset="0"/>
              <a:ea typeface="+mn-ea"/>
              <a:cs typeface="Arial" panose="020B0604020202020204" pitchFamily="34" charset="0"/>
            </a:rPr>
            <a:t>: Most products perform well, with a few outliers pulling the defect rates higher. This suggests that Cosmetics is generally well-controlled, but occasional issues may need attention.</a:t>
          </a:r>
          <a:endParaRPr lang="en-IN" sz="1100" kern="1200" baseline="0">
            <a:latin typeface="Arial" panose="020B0604020202020204" pitchFamily="34" charset="0"/>
            <a:cs typeface="Arial" panose="020B0604020202020204" pitchFamily="34" charset="0"/>
          </a:endParaRPr>
        </a:p>
      </xdr:txBody>
    </xdr:sp>
    <xdr:clientData/>
  </xdr:oneCellAnchor>
  <xdr:oneCellAnchor>
    <xdr:from>
      <xdr:col>7</xdr:col>
      <xdr:colOff>479186</xdr:colOff>
      <xdr:row>0</xdr:row>
      <xdr:rowOff>30480</xdr:rowOff>
    </xdr:from>
    <xdr:ext cx="5016053" cy="741229"/>
    <xdr:sp macro="" textlink="">
      <xdr:nvSpPr>
        <xdr:cNvPr id="6" name="TextBox 5">
          <a:extLst>
            <a:ext uri="{FF2B5EF4-FFF2-40B4-BE49-F238E27FC236}">
              <a16:creationId xmlns:a16="http://schemas.microsoft.com/office/drawing/2014/main" id="{E9A2988D-9835-8B3B-34B1-B026D8996F30}"/>
            </a:ext>
          </a:extLst>
        </xdr:cNvPr>
        <xdr:cNvSpPr txBox="1"/>
      </xdr:nvSpPr>
      <xdr:spPr>
        <a:xfrm>
          <a:off x="4944506" y="30480"/>
          <a:ext cx="5016053" cy="741229"/>
        </a:xfrm>
        <a:prstGeom prst="rect">
          <a:avLst/>
        </a:prstGeom>
        <a:solidFill>
          <a:schemeClr val="bg1"/>
        </a:solidFill>
        <a:ln>
          <a:solidFill>
            <a:schemeClr val="accent1"/>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n-IN" sz="1100" u="sng" kern="1200">
              <a:latin typeface="Arial" panose="020B0604020202020204" pitchFamily="34" charset="0"/>
              <a:cs typeface="Arial" panose="020B0604020202020204" pitchFamily="34" charset="0"/>
            </a:rPr>
            <a:t>Steps: </a:t>
          </a:r>
        </a:p>
        <a:p>
          <a:pPr algn="l"/>
          <a:r>
            <a:rPr lang="en-IN" sz="1100" kern="1200">
              <a:latin typeface="Arial" panose="020B0604020202020204" pitchFamily="34" charset="0"/>
              <a:cs typeface="Arial" panose="020B0604020202020204" pitchFamily="34" charset="0"/>
            </a:rPr>
            <a:t>Returning Defect rate by product category through </a:t>
          </a:r>
          <a:r>
            <a:rPr lang="en-IN" sz="1100" b="1" kern="1200">
              <a:latin typeface="Arial" panose="020B0604020202020204" pitchFamily="34" charset="0"/>
              <a:cs typeface="Arial" panose="020B0604020202020204" pitchFamily="34" charset="0"/>
            </a:rPr>
            <a:t>filter</a:t>
          </a:r>
          <a:r>
            <a:rPr lang="en-IN" sz="1100" kern="1200">
              <a:latin typeface="Arial" panose="020B0604020202020204" pitchFamily="34" charset="0"/>
              <a:cs typeface="Arial" panose="020B0604020202020204" pitchFamily="34" charset="0"/>
            </a:rPr>
            <a:t> function</a:t>
          </a:r>
        </a:p>
        <a:p>
          <a:pPr algn="l"/>
          <a:r>
            <a:rPr lang="en-IN" sz="1100" kern="1200">
              <a:latin typeface="Arial" panose="020B0604020202020204" pitchFamily="34" charset="0"/>
              <a:cs typeface="Arial" panose="020B0604020202020204" pitchFamily="34" charset="0"/>
            </a:rPr>
            <a:t>Identifying Quartile range</a:t>
          </a:r>
          <a:r>
            <a:rPr lang="en-IN" sz="1100" kern="1200" baseline="0">
              <a:latin typeface="Arial" panose="020B0604020202020204" pitchFamily="34" charset="0"/>
              <a:cs typeface="Arial" panose="020B0604020202020204" pitchFamily="34" charset="0"/>
            </a:rPr>
            <a:t>, mean and median through </a:t>
          </a:r>
          <a:r>
            <a:rPr lang="en-IN" sz="1100" b="1" kern="1200" baseline="0">
              <a:latin typeface="Arial" panose="020B0604020202020204" pitchFamily="34" charset="0"/>
              <a:cs typeface="Arial" panose="020B0604020202020204" pitchFamily="34" charset="0"/>
            </a:rPr>
            <a:t>mathematical</a:t>
          </a:r>
          <a:r>
            <a:rPr lang="en-IN" sz="1100" kern="1200" baseline="0">
              <a:latin typeface="Arial" panose="020B0604020202020204" pitchFamily="34" charset="0"/>
              <a:cs typeface="Arial" panose="020B0604020202020204" pitchFamily="34" charset="0"/>
            </a:rPr>
            <a:t> formulae</a:t>
          </a:r>
        </a:p>
        <a:p>
          <a:pPr algn="l"/>
          <a:r>
            <a:rPr lang="en-IN" sz="1100" kern="1200" baseline="0">
              <a:latin typeface="Arial" panose="020B0604020202020204" pitchFamily="34" charset="0"/>
              <a:cs typeface="Arial" panose="020B0604020202020204" pitchFamily="34" charset="0"/>
            </a:rPr>
            <a:t>Constructing </a:t>
          </a:r>
          <a:r>
            <a:rPr lang="en-IN" sz="1100" b="1" kern="1200" baseline="0">
              <a:latin typeface="Arial" panose="020B0604020202020204" pitchFamily="34" charset="0"/>
              <a:cs typeface="Arial" panose="020B0604020202020204" pitchFamily="34" charset="0"/>
            </a:rPr>
            <a:t>Box Plot </a:t>
          </a:r>
          <a:r>
            <a:rPr lang="en-IN" sz="1100" kern="1200" baseline="0">
              <a:latin typeface="Arial" panose="020B0604020202020204" pitchFamily="34" charset="0"/>
              <a:cs typeface="Arial" panose="020B0604020202020204" pitchFamily="34" charset="0"/>
            </a:rPr>
            <a:t>for Visual Analysis</a:t>
          </a:r>
          <a:endParaRPr lang="en-IN" sz="1100" kern="1200">
            <a:latin typeface="Arial" panose="020B0604020202020204" pitchFamily="34" charset="0"/>
            <a:cs typeface="Arial" panose="020B0604020202020204" pitchFamily="34" charset="0"/>
          </a:endParaRPr>
        </a:p>
      </xdr:txBody>
    </xdr:sp>
    <xdr:clientData/>
  </xdr:oneCellAnchor>
  <xdr:oneCellAnchor>
    <xdr:from>
      <xdr:col>2</xdr:col>
      <xdr:colOff>85997</xdr:colOff>
      <xdr:row>0</xdr:row>
      <xdr:rowOff>83635</xdr:rowOff>
    </xdr:from>
    <xdr:ext cx="3516091" cy="655885"/>
    <xdr:sp macro="" textlink="">
      <xdr:nvSpPr>
        <xdr:cNvPr id="8" name="Rectangle 7">
          <a:extLst>
            <a:ext uri="{FF2B5EF4-FFF2-40B4-BE49-F238E27FC236}">
              <a16:creationId xmlns:a16="http://schemas.microsoft.com/office/drawing/2014/main" id="{CA21D98C-95D3-D92F-873A-DEADE9218BB3}"/>
            </a:ext>
          </a:extLst>
        </xdr:cNvPr>
        <xdr:cNvSpPr/>
      </xdr:nvSpPr>
      <xdr:spPr>
        <a:xfrm>
          <a:off x="1305197" y="83635"/>
          <a:ext cx="3516091" cy="655885"/>
        </a:xfrm>
        <a:prstGeom prst="rect">
          <a:avLst/>
        </a:prstGeom>
        <a:noFill/>
      </xdr:spPr>
      <xdr:txBody>
        <a:bodyPr wrap="none" lIns="91440" tIns="45720" rIns="91440" bIns="45720">
          <a:spAutoFit/>
        </a:bodyPr>
        <a:lstStyle/>
        <a:p>
          <a:pPr algn="ctr"/>
          <a:r>
            <a:rPr lang="en-US" sz="3600" b="1" u="sng" cap="none" spc="0">
              <a:ln w="9525">
                <a:solidFill>
                  <a:schemeClr val="bg1"/>
                </a:solidFill>
                <a:prstDash val="solid"/>
              </a:ln>
              <a:solidFill>
                <a:schemeClr val="accent5"/>
              </a:solidFill>
              <a:effectLst>
                <a:outerShdw blurRad="12700" dist="38100" dir="2700000" algn="tl" rotWithShape="0">
                  <a:schemeClr val="accent5">
                    <a:lumMod val="60000"/>
                    <a:lumOff val="40000"/>
                  </a:schemeClr>
                </a:outerShdw>
              </a:effectLst>
            </a:rPr>
            <a:t>DEFECT INSIGHTS</a:t>
          </a:r>
          <a:endParaRPr lang="en-IN" sz="3600" b="1" u="sng" cap="none" spc="0">
            <a:ln w="9525">
              <a:solidFill>
                <a:schemeClr val="bg1"/>
              </a:solidFill>
              <a:prstDash val="solid"/>
            </a:ln>
            <a:solidFill>
              <a:schemeClr val="accent5"/>
            </a:solidFill>
            <a:effectLst>
              <a:outerShdw blurRad="12700" dist="38100" dir="2700000" algn="tl" rotWithShape="0">
                <a:schemeClr val="accent5">
                  <a:lumMod val="60000"/>
                  <a:lumOff val="40000"/>
                </a:schemeClr>
              </a:outerShdw>
            </a:effectLst>
          </a:endParaRPr>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4</xdr:col>
      <xdr:colOff>655319</xdr:colOff>
      <xdr:row>0</xdr:row>
      <xdr:rowOff>68580</xdr:rowOff>
    </xdr:from>
    <xdr:ext cx="8930641" cy="1286314"/>
    <xdr:sp macro="" textlink="">
      <xdr:nvSpPr>
        <xdr:cNvPr id="2" name="TextBox 1">
          <a:extLst>
            <a:ext uri="{FF2B5EF4-FFF2-40B4-BE49-F238E27FC236}">
              <a16:creationId xmlns:a16="http://schemas.microsoft.com/office/drawing/2014/main" id="{4E1FA9A8-F692-4553-8D43-24D71C36733B}"/>
            </a:ext>
          </a:extLst>
        </xdr:cNvPr>
        <xdr:cNvSpPr txBox="1"/>
      </xdr:nvSpPr>
      <xdr:spPr>
        <a:xfrm>
          <a:off x="3390899" y="68580"/>
          <a:ext cx="8930641" cy="1286314"/>
        </a:xfrm>
        <a:prstGeom prst="rect">
          <a:avLst/>
        </a:prstGeom>
        <a:solidFill>
          <a:schemeClr val="bg1"/>
        </a:solidFill>
        <a:ln>
          <a:solidFill>
            <a:schemeClr val="accent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lang="en-IN" sz="900" u="sng" kern="1200">
              <a:latin typeface="Arial" panose="020B0604020202020204" pitchFamily="34" charset="0"/>
              <a:cs typeface="Arial" panose="020B0604020202020204" pitchFamily="34" charset="0"/>
            </a:rPr>
            <a:t>Steps: </a:t>
          </a:r>
        </a:p>
        <a:p>
          <a:pPr algn="l"/>
          <a:r>
            <a:rPr lang="en-IN" sz="900" kern="1200">
              <a:latin typeface="Arial" panose="020B0604020202020204" pitchFamily="34" charset="0"/>
              <a:cs typeface="Arial" panose="020B0604020202020204" pitchFamily="34" charset="0"/>
            </a:rPr>
            <a:t>Since there is only one value</a:t>
          </a:r>
          <a:r>
            <a:rPr lang="en-IN" sz="900" kern="1200" baseline="0">
              <a:latin typeface="Arial" panose="020B0604020202020204" pitchFamily="34" charset="0"/>
              <a:cs typeface="Arial" panose="020B0604020202020204" pitchFamily="34" charset="0"/>
            </a:rPr>
            <a:t> against each product, we do not have data reg demand variability, supplier reliability, forecasting accuracy.</a:t>
          </a:r>
        </a:p>
        <a:p>
          <a:pPr algn="l"/>
          <a:r>
            <a:rPr lang="en-IN" sz="900" kern="1200" baseline="0">
              <a:latin typeface="Arial" panose="020B0604020202020204" pitchFamily="34" charset="0"/>
              <a:cs typeface="Arial" panose="020B0604020202020204" pitchFamily="34" charset="0"/>
            </a:rPr>
            <a:t>Since risk in supply chain relates to </a:t>
          </a:r>
          <a:r>
            <a:rPr lang="en-IN" sz="900" b="1" kern="1200" baseline="0">
              <a:latin typeface="Arial" panose="020B0604020202020204" pitchFamily="34" charset="0"/>
              <a:cs typeface="Arial" panose="020B0604020202020204" pitchFamily="34" charset="0"/>
            </a:rPr>
            <a:t>two</a:t>
          </a:r>
          <a:r>
            <a:rPr lang="en-IN" sz="900" kern="1200" baseline="0">
              <a:latin typeface="Arial" panose="020B0604020202020204" pitchFamily="34" charset="0"/>
              <a:cs typeface="Arial" panose="020B0604020202020204" pitchFamily="34" charset="0"/>
            </a:rPr>
            <a:t> dimensions - </a:t>
          </a:r>
          <a:r>
            <a:rPr lang="en-IN" sz="900" b="1" kern="1200" baseline="0">
              <a:latin typeface="Arial" panose="020B0604020202020204" pitchFamily="34" charset="0"/>
              <a:cs typeface="Arial" panose="020B0604020202020204" pitchFamily="34" charset="0"/>
            </a:rPr>
            <a:t>risk of stock outs </a:t>
          </a:r>
          <a:r>
            <a:rPr lang="en-IN" sz="900" kern="1200" baseline="0">
              <a:latin typeface="Arial" panose="020B0604020202020204" pitchFamily="34" charset="0"/>
              <a:cs typeface="Arial" panose="020B0604020202020204" pitchFamily="34" charset="0"/>
            </a:rPr>
            <a:t>and </a:t>
          </a:r>
          <a:r>
            <a:rPr lang="en-IN" sz="900" b="1" kern="1200" baseline="0">
              <a:latin typeface="Arial" panose="020B0604020202020204" pitchFamily="34" charset="0"/>
              <a:cs typeface="Arial" panose="020B0604020202020204" pitchFamily="34" charset="0"/>
            </a:rPr>
            <a:t>risk of high carrying costs</a:t>
          </a:r>
          <a:r>
            <a:rPr lang="en-IN" sz="900" kern="1200" baseline="0">
              <a:latin typeface="Arial" panose="020B0604020202020204" pitchFamily="34" charset="0"/>
              <a:cs typeface="Arial" panose="020B0604020202020204" pitchFamily="34" charset="0"/>
            </a:rPr>
            <a:t>- we calculate a </a:t>
          </a:r>
          <a:r>
            <a:rPr lang="en-IN" sz="900" b="1" kern="1200" baseline="0">
              <a:latin typeface="Arial" panose="020B0604020202020204" pitchFamily="34" charset="0"/>
              <a:cs typeface="Arial" panose="020B0604020202020204" pitchFamily="34" charset="0"/>
            </a:rPr>
            <a:t>consolidated score</a:t>
          </a:r>
          <a:r>
            <a:rPr lang="en-IN" sz="900" kern="1200" baseline="0">
              <a:latin typeface="Arial" panose="020B0604020202020204" pitchFamily="34" charset="0"/>
              <a:cs typeface="Arial" panose="020B0604020202020204" pitchFamily="34" charset="0"/>
            </a:rPr>
            <a:t> for this with equal weightage.</a:t>
          </a:r>
        </a:p>
        <a:p>
          <a:pPr algn="l"/>
          <a:endParaRPr lang="en-IN" sz="900" kern="1200" baseline="0">
            <a:latin typeface="Arial" panose="020B0604020202020204" pitchFamily="34" charset="0"/>
            <a:cs typeface="Arial" panose="020B0604020202020204" pitchFamily="34" charset="0"/>
          </a:endParaRPr>
        </a:p>
        <a:p>
          <a:pPr algn="l"/>
          <a:r>
            <a:rPr lang="en-IN" sz="900" b="1" kern="1200" baseline="0">
              <a:latin typeface="Arial" panose="020B0604020202020204" pitchFamily="34" charset="0"/>
              <a:cs typeface="Arial" panose="020B0604020202020204" pitchFamily="34" charset="0"/>
            </a:rPr>
            <a:t>Stock Out Risk </a:t>
          </a:r>
          <a:r>
            <a:rPr lang="en-IN" sz="900" kern="1200" baseline="0">
              <a:latin typeface="Arial" panose="020B0604020202020204" pitchFamily="34" charset="0"/>
              <a:cs typeface="Arial" panose="020B0604020202020204" pitchFamily="34" charset="0"/>
            </a:rPr>
            <a:t>= (Lead Time/Availability Level) * Stock Velocity  </a:t>
          </a:r>
        </a:p>
        <a:p>
          <a:pPr algn="l"/>
          <a:r>
            <a:rPr lang="en-IN" sz="900" kern="1200" baseline="0">
              <a:latin typeface="Arial" panose="020B0604020202020204" pitchFamily="34" charset="0"/>
              <a:cs typeface="Arial" panose="020B0604020202020204" pitchFamily="34" charset="0"/>
            </a:rPr>
            <a:t>[Lead time and stock velocity increase risk, stock level decrease risk)</a:t>
          </a:r>
        </a:p>
        <a:p>
          <a:pPr algn="l"/>
          <a:endParaRPr lang="en-IN" sz="900" kern="1200" baseline="0">
            <a:latin typeface="Arial" panose="020B0604020202020204" pitchFamily="34" charset="0"/>
            <a:cs typeface="Arial" panose="020B0604020202020204" pitchFamily="34" charset="0"/>
          </a:endParaRPr>
        </a:p>
        <a:p>
          <a:pPr algn="l"/>
          <a:r>
            <a:rPr lang="en-IN" sz="900" b="1" kern="1200" baseline="0">
              <a:latin typeface="Arial" panose="020B0604020202020204" pitchFamily="34" charset="0"/>
              <a:cs typeface="Arial" panose="020B0604020202020204" pitchFamily="34" charset="0"/>
            </a:rPr>
            <a:t>Carrying Out Risk </a:t>
          </a:r>
          <a:r>
            <a:rPr lang="en-IN" sz="900" kern="1200" baseline="0">
              <a:latin typeface="Arial" panose="020B0604020202020204" pitchFamily="34" charset="0"/>
              <a:cs typeface="Arial" panose="020B0604020202020204" pitchFamily="34" charset="0"/>
            </a:rPr>
            <a:t>= Stock Levels * (Price+Total Cost)*(1+Defect Rate) </a:t>
          </a:r>
        </a:p>
        <a:p>
          <a:pPr algn="l"/>
          <a:r>
            <a:rPr lang="en-IN" sz="900" kern="1200" baseline="0">
              <a:latin typeface="Arial" panose="020B0604020202020204" pitchFamily="34" charset="0"/>
              <a:cs typeface="Arial" panose="020B0604020202020204" pitchFamily="34" charset="0"/>
            </a:rPr>
            <a:t>[All these parameters increase risk of holding inventory getting accummulated</a:t>
          </a:r>
        </a:p>
      </xdr:txBody>
    </xdr:sp>
    <xdr:clientData/>
  </xdr:oneCellAnchor>
  <xdr:oneCellAnchor>
    <xdr:from>
      <xdr:col>0</xdr:col>
      <xdr:colOff>126245</xdr:colOff>
      <xdr:row>1</xdr:row>
      <xdr:rowOff>167455</xdr:rowOff>
    </xdr:from>
    <xdr:ext cx="2943563" cy="655885"/>
    <xdr:sp macro="" textlink="">
      <xdr:nvSpPr>
        <xdr:cNvPr id="3" name="Rectangle 2">
          <a:extLst>
            <a:ext uri="{FF2B5EF4-FFF2-40B4-BE49-F238E27FC236}">
              <a16:creationId xmlns:a16="http://schemas.microsoft.com/office/drawing/2014/main" id="{E30D412F-C45D-41FE-8B00-7F0EF80C7F7D}"/>
            </a:ext>
          </a:extLst>
        </xdr:cNvPr>
        <xdr:cNvSpPr/>
      </xdr:nvSpPr>
      <xdr:spPr>
        <a:xfrm>
          <a:off x="126245" y="350335"/>
          <a:ext cx="2943563" cy="655885"/>
        </a:xfrm>
        <a:prstGeom prst="rect">
          <a:avLst/>
        </a:prstGeom>
        <a:noFill/>
      </xdr:spPr>
      <xdr:txBody>
        <a:bodyPr wrap="none" lIns="91440" tIns="45720" rIns="91440" bIns="45720">
          <a:spAutoFit/>
        </a:bodyPr>
        <a:lstStyle/>
        <a:p>
          <a:pPr algn="ctr"/>
          <a:r>
            <a:rPr lang="en-US" sz="3600" b="1" u="sng" cap="none" spc="0">
              <a:ln w="9525">
                <a:solidFill>
                  <a:schemeClr val="bg1"/>
                </a:solidFill>
                <a:prstDash val="solid"/>
              </a:ln>
              <a:solidFill>
                <a:schemeClr val="accent5"/>
              </a:solidFill>
              <a:effectLst>
                <a:outerShdw blurRad="12700" dist="38100" dir="2700000" algn="tl" rotWithShape="0">
                  <a:schemeClr val="accent5">
                    <a:lumMod val="60000"/>
                    <a:lumOff val="40000"/>
                  </a:schemeClr>
                </a:outerShdw>
              </a:effectLst>
            </a:rPr>
            <a:t>RISK INSIGHTS</a:t>
          </a:r>
          <a:endParaRPr lang="en-IN" sz="3600" b="1" u="sng" cap="none" spc="0">
            <a:ln w="9525">
              <a:solidFill>
                <a:schemeClr val="bg1"/>
              </a:solidFill>
              <a:prstDash val="solid"/>
            </a:ln>
            <a:solidFill>
              <a:schemeClr val="accent5"/>
            </a:solidFill>
            <a:effectLst>
              <a:outerShdw blurRad="12700" dist="38100" dir="2700000" algn="tl" rotWithShape="0">
                <a:schemeClr val="accent5">
                  <a:lumMod val="60000"/>
                  <a:lumOff val="40000"/>
                </a:schemeClr>
              </a:outerShdw>
            </a:effectLst>
          </a:endParaRPr>
        </a:p>
      </xdr:txBody>
    </xdr:sp>
    <xdr:clientData/>
  </xdr:oneCellAnchor>
  <xdr:twoCellAnchor>
    <xdr:from>
      <xdr:col>25</xdr:col>
      <xdr:colOff>388620</xdr:colOff>
      <xdr:row>14</xdr:row>
      <xdr:rowOff>156210</xdr:rowOff>
    </xdr:from>
    <xdr:to>
      <xdr:col>28</xdr:col>
      <xdr:colOff>1104900</xdr:colOff>
      <xdr:row>26</xdr:row>
      <xdr:rowOff>45720</xdr:rowOff>
    </xdr:to>
    <mc:AlternateContent xmlns:mc="http://schemas.openxmlformats.org/markup-compatibility/2006">
      <mc:Choice xmlns:cx1="http://schemas.microsoft.com/office/drawing/2015/9/8/chartex" Requires="cx1">
        <xdr:graphicFrame macro="">
          <xdr:nvGraphicFramePr>
            <xdr:cNvPr id="4" name="Chart 3">
              <a:extLst>
                <a:ext uri="{FF2B5EF4-FFF2-40B4-BE49-F238E27FC236}">
                  <a16:creationId xmlns:a16="http://schemas.microsoft.com/office/drawing/2014/main" id="{5241429F-A5F5-9D44-70E6-B93F3B6F762D}"/>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23439120" y="2716530"/>
              <a:ext cx="4046220" cy="263271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16</xdr:col>
      <xdr:colOff>541020</xdr:colOff>
      <xdr:row>4</xdr:row>
      <xdr:rowOff>129540</xdr:rowOff>
    </xdr:from>
    <xdr:to>
      <xdr:col>22</xdr:col>
      <xdr:colOff>251460</xdr:colOff>
      <xdr:row>14</xdr:row>
      <xdr:rowOff>22860</xdr:rowOff>
    </xdr:to>
    <xdr:sp macro="" textlink="">
      <xdr:nvSpPr>
        <xdr:cNvPr id="7" name="Rectangle 6">
          <a:extLst>
            <a:ext uri="{FF2B5EF4-FFF2-40B4-BE49-F238E27FC236}">
              <a16:creationId xmlns:a16="http://schemas.microsoft.com/office/drawing/2014/main" id="{01B39983-7EE1-DF37-5317-B26974C72ACE}"/>
            </a:ext>
          </a:extLst>
        </xdr:cNvPr>
        <xdr:cNvSpPr/>
      </xdr:nvSpPr>
      <xdr:spPr>
        <a:xfrm>
          <a:off x="16070580" y="861060"/>
          <a:ext cx="5273040" cy="172212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100" u="sng">
              <a:solidFill>
                <a:sysClr val="windowText" lastClr="000000"/>
              </a:solidFill>
              <a:effectLst/>
              <a:latin typeface="Arial" panose="020B0604020202020204" pitchFamily="34" charset="0"/>
              <a:ea typeface="+mn-ea"/>
              <a:cs typeface="Arial" panose="020B0604020202020204" pitchFamily="34" charset="0"/>
            </a:rPr>
            <a:t>Insight</a:t>
          </a:r>
          <a:endParaRPr lang="en-IN" u="sng">
            <a:solidFill>
              <a:sysClr val="windowText" lastClr="000000"/>
            </a:solidFill>
            <a:effectLst/>
            <a:latin typeface="Arial" panose="020B0604020202020204" pitchFamily="34" charset="0"/>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IN" sz="1100" baseline="0">
              <a:solidFill>
                <a:sysClr val="windowText" lastClr="000000"/>
              </a:solidFill>
              <a:effectLst/>
              <a:latin typeface="Arial" panose="020B0604020202020204" pitchFamily="34" charset="0"/>
              <a:ea typeface="+mn-ea"/>
              <a:cs typeface="Arial" panose="020B0604020202020204" pitchFamily="34" charset="0"/>
            </a:rPr>
            <a:t>All three categories are </a:t>
          </a:r>
          <a:r>
            <a:rPr lang="en-IN" sz="1100" b="1" baseline="0">
              <a:solidFill>
                <a:sysClr val="windowText" lastClr="000000"/>
              </a:solidFill>
              <a:effectLst/>
              <a:latin typeface="Arial" panose="020B0604020202020204" pitchFamily="34" charset="0"/>
              <a:ea typeface="+mn-ea"/>
              <a:cs typeface="Arial" panose="020B0604020202020204" pitchFamily="34" charset="0"/>
            </a:rPr>
            <a:t>right skewed- </a:t>
          </a:r>
          <a:r>
            <a:rPr lang="en-IN" sz="1100" baseline="0">
              <a:solidFill>
                <a:sysClr val="windowText" lastClr="000000"/>
              </a:solidFill>
              <a:effectLst/>
              <a:latin typeface="Arial" panose="020B0604020202020204" pitchFamily="34" charset="0"/>
              <a:ea typeface="+mn-ea"/>
              <a:cs typeface="Arial" panose="020B0604020202020204" pitchFamily="34" charset="0"/>
            </a:rPr>
            <a:t>meaning even though there are many products with lower risks, there are few items in in high risk category that skews the distribution towards right. It remains right skewed even after removal of outliers.</a:t>
          </a:r>
          <a:endParaRPr lang="en-IN">
            <a:solidFill>
              <a:sysClr val="windowText" lastClr="000000"/>
            </a:solidFill>
            <a:effectLst/>
            <a:latin typeface="Arial" panose="020B0604020202020204" pitchFamily="34" charset="0"/>
            <a:cs typeface="Arial" panose="020B0604020202020204" pitchFamily="34" charset="0"/>
          </a:endParaRPr>
        </a:p>
        <a:p>
          <a:r>
            <a:rPr lang="en-IN" sz="1100">
              <a:solidFill>
                <a:sysClr val="windowText" lastClr="000000"/>
              </a:solidFill>
              <a:effectLst/>
              <a:latin typeface="Arial" panose="020B0604020202020204" pitchFamily="34" charset="0"/>
              <a:ea typeface="+mn-ea"/>
              <a:cs typeface="Arial" panose="020B0604020202020204" pitchFamily="34" charset="0"/>
            </a:rPr>
            <a:t>The data contains </a:t>
          </a:r>
          <a:r>
            <a:rPr lang="en-IN" sz="1100" b="1">
              <a:solidFill>
                <a:sysClr val="windowText" lastClr="000000"/>
              </a:solidFill>
              <a:effectLst/>
              <a:latin typeface="Arial" panose="020B0604020202020204" pitchFamily="34" charset="0"/>
              <a:ea typeface="+mn-ea"/>
              <a:cs typeface="Arial" panose="020B0604020202020204" pitchFamily="34" charset="0"/>
            </a:rPr>
            <a:t>outliers</a:t>
          </a:r>
          <a:r>
            <a:rPr lang="en-IN" sz="1100" baseline="0">
              <a:solidFill>
                <a:sysClr val="windowText" lastClr="000000"/>
              </a:solidFill>
              <a:effectLst/>
              <a:latin typeface="Arial" panose="020B0604020202020204" pitchFamily="34" charset="0"/>
              <a:ea typeface="+mn-ea"/>
              <a:cs typeface="Arial" panose="020B0604020202020204" pitchFamily="34" charset="0"/>
            </a:rPr>
            <a:t> (higher order).</a:t>
          </a:r>
          <a:endParaRPr lang="en-IN" sz="1100">
            <a:solidFill>
              <a:sysClr val="windowText" lastClr="000000"/>
            </a:solidFill>
            <a:effectLst/>
            <a:latin typeface="Arial" panose="020B0604020202020204" pitchFamily="34" charset="0"/>
            <a:ea typeface="+mn-ea"/>
            <a:cs typeface="Arial" panose="020B0604020202020204" pitchFamily="34" charset="0"/>
          </a:endParaRPr>
        </a:p>
        <a:p>
          <a:r>
            <a:rPr lang="en-IN" sz="1100">
              <a:solidFill>
                <a:sysClr val="windowText" lastClr="000000"/>
              </a:solidFill>
              <a:effectLst/>
              <a:latin typeface="Arial" panose="020B0604020202020204" pitchFamily="34" charset="0"/>
              <a:ea typeface="+mn-ea"/>
              <a:cs typeface="Arial" panose="020B0604020202020204" pitchFamily="34" charset="0"/>
            </a:rPr>
            <a:t>Skincare</a:t>
          </a:r>
          <a:r>
            <a:rPr lang="en-IN" sz="1100" baseline="0">
              <a:solidFill>
                <a:sysClr val="windowText" lastClr="000000"/>
              </a:solidFill>
              <a:effectLst/>
              <a:latin typeface="Arial" panose="020B0604020202020204" pitchFamily="34" charset="0"/>
              <a:ea typeface="+mn-ea"/>
              <a:cs typeface="Arial" panose="020B0604020202020204" pitchFamily="34" charset="0"/>
            </a:rPr>
            <a:t> and Haircare form the top and bottom 5 SKU list by Risk.</a:t>
          </a:r>
          <a:endParaRPr lang="en-IN">
            <a:solidFill>
              <a:sysClr val="windowText" lastClr="000000"/>
            </a:solidFill>
            <a:effectLst/>
            <a:latin typeface="Arial" panose="020B0604020202020204" pitchFamily="34" charset="0"/>
            <a:cs typeface="Arial" panose="020B0604020202020204" pitchFamily="34" charset="0"/>
          </a:endParaRPr>
        </a:p>
        <a:p>
          <a:r>
            <a:rPr lang="en-IN" sz="1100" b="1" baseline="0">
              <a:solidFill>
                <a:sysClr val="windowText" lastClr="000000"/>
              </a:solidFill>
              <a:effectLst/>
              <a:latin typeface="Arial" panose="020B0604020202020204" pitchFamily="34" charset="0"/>
              <a:ea typeface="+mn-ea"/>
              <a:cs typeface="Arial" panose="020B0604020202020204" pitchFamily="34" charset="0"/>
            </a:rPr>
            <a:t>Skincare</a:t>
          </a:r>
          <a:r>
            <a:rPr lang="en-IN" sz="1100" baseline="0">
              <a:solidFill>
                <a:sysClr val="windowText" lastClr="000000"/>
              </a:solidFill>
              <a:effectLst/>
              <a:latin typeface="Arial" panose="020B0604020202020204" pitchFamily="34" charset="0"/>
              <a:ea typeface="+mn-ea"/>
              <a:cs typeface="Arial" panose="020B0604020202020204" pitchFamily="34" charset="0"/>
            </a:rPr>
            <a:t> has </a:t>
          </a:r>
          <a:r>
            <a:rPr lang="en-IN" sz="1100" b="1" baseline="0">
              <a:solidFill>
                <a:sysClr val="windowText" lastClr="000000"/>
              </a:solidFill>
              <a:effectLst/>
              <a:latin typeface="Arial" panose="020B0604020202020204" pitchFamily="34" charset="0"/>
              <a:ea typeface="+mn-ea"/>
              <a:cs typeface="Arial" panose="020B0604020202020204" pitchFamily="34" charset="0"/>
            </a:rPr>
            <a:t>highest overall risk </a:t>
          </a:r>
          <a:r>
            <a:rPr lang="en-IN" sz="1100" baseline="0">
              <a:solidFill>
                <a:sysClr val="windowText" lastClr="000000"/>
              </a:solidFill>
              <a:effectLst/>
              <a:latin typeface="Arial" panose="020B0604020202020204" pitchFamily="34" charset="0"/>
              <a:ea typeface="+mn-ea"/>
              <a:cs typeface="Arial" panose="020B0604020202020204" pitchFamily="34" charset="0"/>
            </a:rPr>
            <a:t>in absolute and overall terms (min, max. mean) and  has the </a:t>
          </a:r>
          <a:r>
            <a:rPr lang="en-IN" sz="1100" b="1" baseline="0">
              <a:solidFill>
                <a:sysClr val="windowText" lastClr="000000"/>
              </a:solidFill>
              <a:effectLst/>
              <a:latin typeface="Arial" panose="020B0604020202020204" pitchFamily="34" charset="0"/>
              <a:ea typeface="+mn-ea"/>
              <a:cs typeface="Arial" panose="020B0604020202020204" pitchFamily="34" charset="0"/>
            </a:rPr>
            <a:t>highest risk variability.</a:t>
          </a:r>
        </a:p>
        <a:p>
          <a:r>
            <a:rPr lang="en-IN" sz="1100" b="1" baseline="0">
              <a:solidFill>
                <a:sysClr val="windowText" lastClr="000000"/>
              </a:solidFill>
              <a:effectLst/>
              <a:latin typeface="Arial" panose="020B0604020202020204" pitchFamily="34" charset="0"/>
              <a:ea typeface="+mn-ea"/>
              <a:cs typeface="Arial" panose="020B0604020202020204" pitchFamily="34" charset="0"/>
            </a:rPr>
            <a:t>Cosmetics </a:t>
          </a:r>
          <a:r>
            <a:rPr lang="en-IN" sz="1100" b="0" baseline="0">
              <a:solidFill>
                <a:sysClr val="windowText" lastClr="000000"/>
              </a:solidFill>
              <a:effectLst/>
              <a:latin typeface="Arial" panose="020B0604020202020204" pitchFamily="34" charset="0"/>
              <a:ea typeface="+mn-ea"/>
              <a:cs typeface="Arial" panose="020B0604020202020204" pitchFamily="34" charset="0"/>
            </a:rPr>
            <a:t>have low min (similar to haircare) and is more stable (less variable).</a:t>
          </a:r>
          <a:endParaRPr lang="en-IN" b="1">
            <a:solidFill>
              <a:sysClr val="windowText" lastClr="000000"/>
            </a:solidFill>
            <a:effectLst/>
            <a:latin typeface="Arial" panose="020B0604020202020204" pitchFamily="34" charset="0"/>
            <a:cs typeface="Arial" panose="020B0604020202020204" pitchFamily="34" charset="0"/>
          </a:endParaRPr>
        </a:p>
        <a:p>
          <a:pPr algn="l"/>
          <a:endParaRPr lang="en-IN" sz="1100" kern="1200">
            <a:solidFill>
              <a:sysClr val="windowText" lastClr="000000"/>
            </a:solidFill>
            <a:latin typeface="Arial" panose="020B0604020202020204" pitchFamily="34" charset="0"/>
            <a:cs typeface="Arial" panose="020B0604020202020204" pitchFamily="34" charset="0"/>
          </a:endParaRPr>
        </a:p>
      </xdr:txBody>
    </xdr:sp>
    <xdr:clientData/>
  </xdr:twoCellAnchor>
  <xdr:twoCellAnchor>
    <xdr:from>
      <xdr:col>25</xdr:col>
      <xdr:colOff>403860</xdr:colOff>
      <xdr:row>26</xdr:row>
      <xdr:rowOff>45720</xdr:rowOff>
    </xdr:from>
    <xdr:to>
      <xdr:col>28</xdr:col>
      <xdr:colOff>1104900</xdr:colOff>
      <xdr:row>38</xdr:row>
      <xdr:rowOff>45720</xdr:rowOff>
    </xdr:to>
    <mc:AlternateContent xmlns:mc="http://schemas.openxmlformats.org/markup-compatibility/2006">
      <mc:Choice xmlns:cx1="http://schemas.microsoft.com/office/drawing/2015/9/8/chartex" Requires="cx1">
        <xdr:graphicFrame macro="">
          <xdr:nvGraphicFramePr>
            <xdr:cNvPr id="12" name="Chart 11">
              <a:extLst>
                <a:ext uri="{FF2B5EF4-FFF2-40B4-BE49-F238E27FC236}">
                  <a16:creationId xmlns:a16="http://schemas.microsoft.com/office/drawing/2014/main" id="{FE2FD545-1B1C-4739-84B2-A5D1D62254EE}"/>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23454360" y="5349240"/>
              <a:ext cx="4030980" cy="237744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28</xdr:col>
      <xdr:colOff>1104900</xdr:colOff>
      <xdr:row>14</xdr:row>
      <xdr:rowOff>140970</xdr:rowOff>
    </xdr:from>
    <xdr:to>
      <xdr:col>33</xdr:col>
      <xdr:colOff>571500</xdr:colOff>
      <xdr:row>30</xdr:row>
      <xdr:rowOff>114300</xdr:rowOff>
    </xdr:to>
    <mc:AlternateContent xmlns:mc="http://schemas.openxmlformats.org/markup-compatibility/2006">
      <mc:Choice xmlns:cx1="http://schemas.microsoft.com/office/drawing/2015/9/8/chartex" Requires="cx1">
        <xdr:graphicFrame macro="">
          <xdr:nvGraphicFramePr>
            <xdr:cNvPr id="13" name="Chart 12">
              <a:extLst>
                <a:ext uri="{FF2B5EF4-FFF2-40B4-BE49-F238E27FC236}">
                  <a16:creationId xmlns:a16="http://schemas.microsoft.com/office/drawing/2014/main" id="{D10093DA-93CF-0C6A-301A-D3323C8A0F45}"/>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27485340" y="2701290"/>
              <a:ext cx="4602480" cy="344805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28</xdr:col>
      <xdr:colOff>1127760</xdr:colOff>
      <xdr:row>30</xdr:row>
      <xdr:rowOff>95250</xdr:rowOff>
    </xdr:from>
    <xdr:to>
      <xdr:col>33</xdr:col>
      <xdr:colOff>563880</xdr:colOff>
      <xdr:row>44</xdr:row>
      <xdr:rowOff>137160</xdr:rowOff>
    </xdr:to>
    <mc:AlternateContent xmlns:mc="http://schemas.openxmlformats.org/markup-compatibility/2006">
      <mc:Choice xmlns:cx1="http://schemas.microsoft.com/office/drawing/2015/9/8/chartex" Requires="cx1">
        <xdr:graphicFrame macro="">
          <xdr:nvGraphicFramePr>
            <xdr:cNvPr id="14" name="Chart 13">
              <a:extLst>
                <a:ext uri="{FF2B5EF4-FFF2-40B4-BE49-F238E27FC236}">
                  <a16:creationId xmlns:a16="http://schemas.microsoft.com/office/drawing/2014/main" id="{74C21BFE-8F22-AEF2-D094-304222E98B0C}"/>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4"/>
            </a:graphicData>
          </a:graphic>
        </xdr:graphicFrame>
      </mc:Choice>
      <mc:Fallback>
        <xdr:sp macro="" textlink="">
          <xdr:nvSpPr>
            <xdr:cNvPr id="0" name=""/>
            <xdr:cNvSpPr>
              <a:spLocks noTextEdit="1"/>
            </xdr:cNvSpPr>
          </xdr:nvSpPr>
          <xdr:spPr>
            <a:xfrm>
              <a:off x="27508200" y="6130290"/>
              <a:ext cx="4572000" cy="315087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11</xdr:col>
      <xdr:colOff>426720</xdr:colOff>
      <xdr:row>3</xdr:row>
      <xdr:rowOff>167640</xdr:rowOff>
    </xdr:from>
    <xdr:to>
      <xdr:col>13</xdr:col>
      <xdr:colOff>220980</xdr:colOff>
      <xdr:row>7</xdr:row>
      <xdr:rowOff>0</xdr:rowOff>
    </xdr:to>
    <xdr:sp macro="" textlink="">
      <xdr:nvSpPr>
        <xdr:cNvPr id="15" name="Arrow: Right 14">
          <a:extLst>
            <a:ext uri="{FF2B5EF4-FFF2-40B4-BE49-F238E27FC236}">
              <a16:creationId xmlns:a16="http://schemas.microsoft.com/office/drawing/2014/main" id="{1F155A42-E136-A5E9-DF8D-B05922D03DE9}"/>
            </a:ext>
          </a:extLst>
        </xdr:cNvPr>
        <xdr:cNvSpPr/>
      </xdr:nvSpPr>
      <xdr:spPr>
        <a:xfrm>
          <a:off x="9814560" y="716280"/>
          <a:ext cx="2034540" cy="563880"/>
        </a:xfrm>
        <a:prstGeom prst="righ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100" b="1" kern="1200"/>
            <a:t>ANALYSIS</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6</xdr:col>
      <xdr:colOff>243840</xdr:colOff>
      <xdr:row>13</xdr:row>
      <xdr:rowOff>0</xdr:rowOff>
    </xdr:from>
    <xdr:to>
      <xdr:col>13</xdr:col>
      <xdr:colOff>464820</xdr:colOff>
      <xdr:row>32</xdr:row>
      <xdr:rowOff>80010</xdr:rowOff>
    </xdr:to>
    <xdr:graphicFrame macro="">
      <xdr:nvGraphicFramePr>
        <xdr:cNvPr id="3" name="Chart 2">
          <a:extLst>
            <a:ext uri="{FF2B5EF4-FFF2-40B4-BE49-F238E27FC236}">
              <a16:creationId xmlns:a16="http://schemas.microsoft.com/office/drawing/2014/main" id="{FF25A5D1-191F-44FB-AACC-9876BF7D2CB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251460</xdr:colOff>
      <xdr:row>2</xdr:row>
      <xdr:rowOff>99060</xdr:rowOff>
    </xdr:from>
    <xdr:to>
      <xdr:col>20</xdr:col>
      <xdr:colOff>487680</xdr:colOff>
      <xdr:row>12</xdr:row>
      <xdr:rowOff>76200</xdr:rowOff>
    </xdr:to>
    <xdr:sp macro="" textlink="">
      <xdr:nvSpPr>
        <xdr:cNvPr id="5" name="Rectangle: Rounded Corners 4">
          <a:extLst>
            <a:ext uri="{FF2B5EF4-FFF2-40B4-BE49-F238E27FC236}">
              <a16:creationId xmlns:a16="http://schemas.microsoft.com/office/drawing/2014/main" id="{63F2707C-FF47-D8D0-9FAC-6428A9AF737F}"/>
            </a:ext>
          </a:extLst>
        </xdr:cNvPr>
        <xdr:cNvSpPr/>
      </xdr:nvSpPr>
      <xdr:spPr>
        <a:xfrm>
          <a:off x="4998720" y="723900"/>
          <a:ext cx="8770620" cy="1805940"/>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b="1" u="sng" kern="1200">
              <a:latin typeface="Aptos Display" panose="020B0004020202020204" pitchFamily="34" charset="0"/>
            </a:rPr>
            <a:t>Insight: </a:t>
          </a:r>
          <a:r>
            <a:rPr lang="en-IN" sz="1100" kern="1200">
              <a:latin typeface="Aptos Display" panose="020B0004020202020204" pitchFamily="34" charset="0"/>
            </a:rPr>
            <a:t>EOQ                    wherein</a:t>
          </a:r>
          <a:r>
            <a:rPr lang="en-IN" sz="1100" kern="1200" baseline="0">
              <a:latin typeface="Aptos Display" panose="020B0004020202020204" pitchFamily="34" charset="0"/>
            </a:rPr>
            <a:t> Co is Cost of Ordering Per Order (Here, Cost Column), D is Demand for planning period (No of Products Sold column),                             Cc is inventory </a:t>
          </a:r>
          <a:r>
            <a:rPr lang="en-IN" sz="1100" kern="1200">
              <a:latin typeface="Aptos Display" panose="020B0004020202020204" pitchFamily="34" charset="0"/>
            </a:rPr>
            <a:t> carrying cost</a:t>
          </a:r>
          <a:r>
            <a:rPr lang="en-IN" sz="1100" kern="1200" baseline="0">
              <a:latin typeface="Aptos Display" panose="020B0004020202020204" pitchFamily="34" charset="0"/>
            </a:rPr>
            <a:t> (Holding percentage *Price of Product). </a:t>
          </a:r>
        </a:p>
        <a:p>
          <a:pPr algn="l"/>
          <a:r>
            <a:rPr lang="en-IN" sz="1100" kern="1200" baseline="0">
              <a:latin typeface="Aptos Display" panose="020B0004020202020204" pitchFamily="34" charset="0"/>
            </a:rPr>
            <a:t>Here Holding percentage is taken as 0.2 of price if a product and Price of Product is taken from Price column)</a:t>
          </a:r>
        </a:p>
        <a:p>
          <a:pPr algn="l"/>
          <a:r>
            <a:rPr lang="en-IN" sz="1100" kern="1200" baseline="0">
              <a:latin typeface="Aptos Display" panose="020B0004020202020204" pitchFamily="34" charset="0"/>
            </a:rPr>
            <a:t>Through stacked column chart, we understand that </a:t>
          </a:r>
          <a:r>
            <a:rPr lang="en-IN" sz="1100" b="1" kern="1200" baseline="0">
              <a:latin typeface="Aptos Display" panose="020B0004020202020204" pitchFamily="34" charset="0"/>
            </a:rPr>
            <a:t>present order quantities are way less than EOQ</a:t>
          </a:r>
          <a:r>
            <a:rPr lang="en-IN" sz="1100" kern="1200" baseline="0">
              <a:latin typeface="Aptos Display" panose="020B0004020202020204" pitchFamily="34" charset="0"/>
            </a:rPr>
            <a:t>, spiking for certain products like SKU4 and SKU94.</a:t>
          </a:r>
        </a:p>
        <a:p>
          <a:pPr algn="l"/>
          <a:r>
            <a:rPr lang="en-IN" sz="1100" kern="1200" baseline="0">
              <a:latin typeface="Aptos Display" panose="020B0004020202020204" pitchFamily="34" charset="0"/>
            </a:rPr>
            <a:t>This might be because of </a:t>
          </a:r>
          <a:r>
            <a:rPr lang="en-IN" sz="1100" b="1" kern="1200" baseline="0">
              <a:latin typeface="Aptos Display" panose="020B0004020202020204" pitchFamily="34" charset="0"/>
            </a:rPr>
            <a:t>inadequate data for EOQ calculation </a:t>
          </a:r>
          <a:r>
            <a:rPr lang="en-IN" sz="1100" kern="1200" baseline="0">
              <a:latin typeface="Aptos Display" panose="020B0004020202020204" pitchFamily="34" charset="0"/>
            </a:rPr>
            <a:t>(e.g.,reliance on past sales record) or may point to </a:t>
          </a:r>
          <a:r>
            <a:rPr lang="en-IN" sz="1100" b="1" kern="1200" baseline="0">
              <a:latin typeface="Aptos Display" panose="020B0004020202020204" pitchFamily="34" charset="0"/>
            </a:rPr>
            <a:t>systemic inefficiencies </a:t>
          </a:r>
          <a:r>
            <a:rPr lang="en-IN" sz="1100" kern="1200" baseline="0">
              <a:latin typeface="Aptos Display" panose="020B0004020202020204" pitchFamily="34" charset="0"/>
            </a:rPr>
            <a:t>in inventory managament such as </a:t>
          </a:r>
          <a:r>
            <a:rPr lang="en-IN" sz="1100" b="1" kern="1200" baseline="0">
              <a:latin typeface="Aptos Display" panose="020B0004020202020204" pitchFamily="34" charset="0"/>
            </a:rPr>
            <a:t>demand forecasting, high ordering costs, lower holding costs, demand variability </a:t>
          </a:r>
          <a:r>
            <a:rPr lang="en-IN" sz="1100" kern="1200" baseline="0">
              <a:latin typeface="Aptos Display" panose="020B0004020202020204" pitchFamily="34" charset="0"/>
            </a:rPr>
            <a:t>leading team to decide on lower ordering costs, even at the cost of deviating from EOQ to remain cost effective </a:t>
          </a:r>
          <a:r>
            <a:rPr lang="en-IN" sz="1100" u="sng" kern="1200" baseline="0">
              <a:latin typeface="Aptos Display" panose="020B0004020202020204" pitchFamily="34" charset="0"/>
            </a:rPr>
            <a:t>(cost effectiveness is trade-off for demand-supply match).  </a:t>
          </a:r>
        </a:p>
        <a:p>
          <a:pPr algn="l"/>
          <a:r>
            <a:rPr lang="en-IN" sz="1100" b="1" kern="1200">
              <a:latin typeface="Aptos Display" panose="020B0004020202020204" pitchFamily="34" charset="0"/>
            </a:rPr>
            <a:t>Supplier 5</a:t>
          </a:r>
          <a:r>
            <a:rPr lang="en-IN" sz="1100" kern="1200">
              <a:latin typeface="Aptos Display" panose="020B0004020202020204" pitchFamily="34" charset="0"/>
            </a:rPr>
            <a:t> faces </a:t>
          </a:r>
          <a:r>
            <a:rPr lang="en-IN" sz="1100" b="1" kern="1200">
              <a:latin typeface="Aptos Display" panose="020B0004020202020204" pitchFamily="34" charset="0"/>
            </a:rPr>
            <a:t>highest</a:t>
          </a:r>
          <a:r>
            <a:rPr lang="en-IN" sz="1100" kern="1200">
              <a:latin typeface="Aptos Display" panose="020B0004020202020204" pitchFamily="34" charset="0"/>
            </a:rPr>
            <a:t> EOQ levels and variability. </a:t>
          </a:r>
          <a:r>
            <a:rPr lang="en-IN" sz="1100" b="1" kern="1200">
              <a:latin typeface="Aptos Display" panose="020B0004020202020204" pitchFamily="34" charset="0"/>
            </a:rPr>
            <a:t>Supplier 1</a:t>
          </a:r>
          <a:r>
            <a:rPr lang="en-IN" sz="1100" kern="1200">
              <a:latin typeface="Aptos Display" panose="020B0004020202020204" pitchFamily="34" charset="0"/>
            </a:rPr>
            <a:t> has </a:t>
          </a:r>
          <a:r>
            <a:rPr lang="en-IN" sz="1100" b="1" kern="1200">
              <a:latin typeface="Aptos Display" panose="020B0004020202020204" pitchFamily="34" charset="0"/>
            </a:rPr>
            <a:t>lowest</a:t>
          </a:r>
          <a:r>
            <a:rPr lang="en-IN" sz="1100" kern="1200">
              <a:latin typeface="Aptos Display" panose="020B0004020202020204" pitchFamily="34" charset="0"/>
            </a:rPr>
            <a:t> EOQ</a:t>
          </a:r>
          <a:r>
            <a:rPr lang="en-IN" sz="1100" kern="1200" baseline="0">
              <a:latin typeface="Aptos Display" panose="020B0004020202020204" pitchFamily="34" charset="0"/>
            </a:rPr>
            <a:t> levels and variability.</a:t>
          </a:r>
          <a:endParaRPr lang="en-IN" sz="1100" kern="1200">
            <a:latin typeface="Aptos Display" panose="020B0004020202020204" pitchFamily="34" charset="0"/>
          </a:endParaRPr>
        </a:p>
      </xdr:txBody>
    </xdr:sp>
    <xdr:clientData/>
  </xdr:twoCellAnchor>
  <xdr:twoCellAnchor editAs="oneCell">
    <xdr:from>
      <xdr:col>7</xdr:col>
      <xdr:colOff>579121</xdr:colOff>
      <xdr:row>2</xdr:row>
      <xdr:rowOff>137161</xdr:rowOff>
    </xdr:from>
    <xdr:to>
      <xdr:col>8</xdr:col>
      <xdr:colOff>426720</xdr:colOff>
      <xdr:row>4</xdr:row>
      <xdr:rowOff>58997</xdr:rowOff>
    </xdr:to>
    <xdr:pic>
      <xdr:nvPicPr>
        <xdr:cNvPr id="6" name="Picture 5">
          <a:extLst>
            <a:ext uri="{FF2B5EF4-FFF2-40B4-BE49-F238E27FC236}">
              <a16:creationId xmlns:a16="http://schemas.microsoft.com/office/drawing/2014/main" id="{0E14E042-B8A4-2F22-B2BE-09C28D7DFE2E}"/>
            </a:ext>
          </a:extLst>
        </xdr:cNvPr>
        <xdr:cNvPicPr>
          <a:picLocks noChangeAspect="1"/>
        </xdr:cNvPicPr>
      </xdr:nvPicPr>
      <xdr:blipFill>
        <a:blip xmlns:r="http://schemas.openxmlformats.org/officeDocument/2006/relationships" r:embed="rId2"/>
        <a:stretch>
          <a:fillRect/>
        </a:stretch>
      </xdr:blipFill>
      <xdr:spPr>
        <a:xfrm>
          <a:off x="5935981" y="762001"/>
          <a:ext cx="457199" cy="287596"/>
        </a:xfrm>
        <a:prstGeom prst="rect">
          <a:avLst/>
        </a:prstGeom>
      </xdr:spPr>
    </xdr:pic>
    <xdr:clientData/>
  </xdr:twoCellAnchor>
  <xdr:oneCellAnchor>
    <xdr:from>
      <xdr:col>6</xdr:col>
      <xdr:colOff>290995</xdr:colOff>
      <xdr:row>0</xdr:row>
      <xdr:rowOff>45720</xdr:rowOff>
    </xdr:from>
    <xdr:ext cx="5285421" cy="381000"/>
    <xdr:sp macro="" textlink="">
      <xdr:nvSpPr>
        <xdr:cNvPr id="17" name="Rectangle 16">
          <a:extLst>
            <a:ext uri="{FF2B5EF4-FFF2-40B4-BE49-F238E27FC236}">
              <a16:creationId xmlns:a16="http://schemas.microsoft.com/office/drawing/2014/main" id="{FC323446-4BF8-793A-CEC4-2A4497E14996}"/>
            </a:ext>
          </a:extLst>
        </xdr:cNvPr>
        <xdr:cNvSpPr/>
      </xdr:nvSpPr>
      <xdr:spPr>
        <a:xfrm>
          <a:off x="5937415" y="45720"/>
          <a:ext cx="5285421" cy="381000"/>
        </a:xfrm>
        <a:prstGeom prst="rect">
          <a:avLst/>
        </a:prstGeom>
        <a:noFill/>
      </xdr:spPr>
      <xdr:txBody>
        <a:bodyPr wrap="none" lIns="91440" tIns="45720" rIns="91440" bIns="45720">
          <a:noAutofit/>
        </a:bodyPr>
        <a:lstStyle/>
        <a:p>
          <a:pPr algn="ctr"/>
          <a:r>
            <a:rPr lang="en-US" sz="4000" b="1" cap="none" spc="0">
              <a:ln w="9525">
                <a:solidFill>
                  <a:schemeClr val="bg1"/>
                </a:solidFill>
                <a:prstDash val="solid"/>
              </a:ln>
              <a:solidFill>
                <a:schemeClr val="accent5"/>
              </a:solidFill>
              <a:effectLst>
                <a:outerShdw blurRad="12700" dist="38100" dir="2700000" algn="tl" rotWithShape="0">
                  <a:schemeClr val="accent5">
                    <a:lumMod val="60000"/>
                    <a:lumOff val="40000"/>
                  </a:schemeClr>
                </a:outerShdw>
              </a:effectLst>
            </a:rPr>
            <a:t>Order Quantity</a:t>
          </a:r>
          <a:r>
            <a:rPr lang="en-US" sz="4000" b="1" cap="none" spc="0" baseline="0">
              <a:ln w="9525">
                <a:solidFill>
                  <a:schemeClr val="bg1"/>
                </a:solidFill>
                <a:prstDash val="solid"/>
              </a:ln>
              <a:solidFill>
                <a:schemeClr val="accent5"/>
              </a:solidFill>
              <a:effectLst>
                <a:outerShdw blurRad="12700" dist="38100" dir="2700000" algn="tl" rotWithShape="0">
                  <a:schemeClr val="accent5">
                    <a:lumMod val="60000"/>
                    <a:lumOff val="40000"/>
                  </a:schemeClr>
                </a:outerShdw>
              </a:effectLst>
            </a:rPr>
            <a:t> Analysis</a:t>
          </a:r>
          <a:endParaRPr lang="en-US" sz="4000" b="1" cap="none" spc="0">
            <a:ln w="9525">
              <a:solidFill>
                <a:schemeClr val="bg1"/>
              </a:solidFill>
              <a:prstDash val="solid"/>
            </a:ln>
            <a:solidFill>
              <a:schemeClr val="accent5"/>
            </a:solidFill>
            <a:effectLst>
              <a:outerShdw blurRad="12700" dist="38100" dir="2700000" algn="tl" rotWithShape="0">
                <a:schemeClr val="accent5">
                  <a:lumMod val="60000"/>
                  <a:lumOff val="40000"/>
                </a:schemeClr>
              </a:outerShdw>
            </a:effectLst>
          </a:endParaRPr>
        </a:p>
      </xdr:txBody>
    </xdr:sp>
    <xdr:clientData/>
  </xdr:oneCellAnchor>
  <xdr:twoCellAnchor>
    <xdr:from>
      <xdr:col>13</xdr:col>
      <xdr:colOff>548640</xdr:colOff>
      <xdr:row>13</xdr:row>
      <xdr:rowOff>0</xdr:rowOff>
    </xdr:from>
    <xdr:to>
      <xdr:col>20</xdr:col>
      <xdr:colOff>449580</xdr:colOff>
      <xdr:row>32</xdr:row>
      <xdr:rowOff>83820</xdr:rowOff>
    </xdr:to>
    <xdr:graphicFrame macro="">
      <xdr:nvGraphicFramePr>
        <xdr:cNvPr id="20" name="Chart 19">
          <a:extLst>
            <a:ext uri="{FF2B5EF4-FFF2-40B4-BE49-F238E27FC236}">
              <a16:creationId xmlns:a16="http://schemas.microsoft.com/office/drawing/2014/main" id="{C64AABCD-55F0-3373-85EC-5028FF00BEC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91440</xdr:colOff>
      <xdr:row>33</xdr:row>
      <xdr:rowOff>76200</xdr:rowOff>
    </xdr:from>
    <xdr:to>
      <xdr:col>17</xdr:col>
      <xdr:colOff>396240</xdr:colOff>
      <xdr:row>48</xdr:row>
      <xdr:rowOff>76200</xdr:rowOff>
    </xdr:to>
    <mc:AlternateContent xmlns:mc="http://schemas.openxmlformats.org/markup-compatibility/2006">
      <mc:Choice xmlns:cx1="http://schemas.microsoft.com/office/drawing/2015/9/8/chartex" Requires="cx1">
        <xdr:graphicFrame macro="">
          <xdr:nvGraphicFramePr>
            <xdr:cNvPr id="23" name="Chart 22">
              <a:extLst>
                <a:ext uri="{FF2B5EF4-FFF2-40B4-BE49-F238E27FC236}">
                  <a16:creationId xmlns:a16="http://schemas.microsoft.com/office/drawing/2014/main" id="{91D9AED9-97E6-47FC-9181-AA71F7D48988}"/>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4"/>
            </a:graphicData>
          </a:graphic>
        </xdr:graphicFrame>
      </mc:Choice>
      <mc:Fallback>
        <xdr:sp macro="" textlink="">
          <xdr:nvSpPr>
            <xdr:cNvPr id="0" name=""/>
            <xdr:cNvSpPr>
              <a:spLocks noTextEdit="1"/>
            </xdr:cNvSpPr>
          </xdr:nvSpPr>
          <xdr:spPr>
            <a:xfrm>
              <a:off x="7277100" y="6370320"/>
              <a:ext cx="45720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persons/person.xml><?xml version="1.0" encoding="utf-8"?>
<personList xmlns="http://schemas.microsoft.com/office/spreadsheetml/2018/threadedcomments" xmlns:x="http://schemas.openxmlformats.org/spreadsheetml/2006/main">
  <person displayName="Indu mathi" id="{1E735A8B-0797-4F8F-A44C-3B60A73DB127}" userId="479286de0e8efa45" providerId="Windows Live"/>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ell" refreshedDate="45609.546611342594" createdVersion="8" refreshedVersion="8" minRefreshableVersion="3" recordCount="100" xr:uid="{2642693A-785A-49B1-836A-88B90982A90F}">
  <cacheSource type="worksheet">
    <worksheetSource name="Table2"/>
  </cacheSource>
  <cacheFields count="16">
    <cacheField name="SKU" numFmtId="0">
      <sharedItems count="100">
        <s v="SKU0"/>
        <s v="SKU1"/>
        <s v="SKU2"/>
        <s v="SKU3"/>
        <s v="SKU4"/>
        <s v="SKU5"/>
        <s v="SKU6"/>
        <s v="SKU7"/>
        <s v="SKU8"/>
        <s v="SKU9"/>
        <s v="SKU10"/>
        <s v="SKU11"/>
        <s v="SKU12"/>
        <s v="SKU13"/>
        <s v="SKU14"/>
        <s v="SKU15"/>
        <s v="SKU16"/>
        <s v="SKU17"/>
        <s v="SKU18"/>
        <s v="SKU19"/>
        <s v="SKU20"/>
        <s v="SKU21"/>
        <s v="SKU22"/>
        <s v="SKU23"/>
        <s v="SKU24"/>
        <s v="SKU25"/>
        <s v="SKU26"/>
        <s v="SKU27"/>
        <s v="SKU28"/>
        <s v="SKU29"/>
        <s v="SKU30"/>
        <s v="SKU31"/>
        <s v="SKU32"/>
        <s v="SKU33"/>
        <s v="SKU34"/>
        <s v="SKU35"/>
        <s v="SKU36"/>
        <s v="SKU37"/>
        <s v="SKU38"/>
        <s v="SKU39"/>
        <s v="SKU40"/>
        <s v="SKU41"/>
        <s v="SKU42"/>
        <s v="SKU43"/>
        <s v="SKU44"/>
        <s v="SKU45"/>
        <s v="SKU46"/>
        <s v="SKU47"/>
        <s v="SKU48"/>
        <s v="SKU49"/>
        <s v="SKU50"/>
        <s v="SKU51"/>
        <s v="SKU52"/>
        <s v="SKU53"/>
        <s v="SKU54"/>
        <s v="SKU55"/>
        <s v="SKU56"/>
        <s v="SKU57"/>
        <s v="SKU58"/>
        <s v="SKU59"/>
        <s v="SKU60"/>
        <s v="SKU61"/>
        <s v="SKU62"/>
        <s v="SKU63"/>
        <s v="SKU64"/>
        <s v="SKU65"/>
        <s v="SKU66"/>
        <s v="SKU67"/>
        <s v="SKU68"/>
        <s v="SKU69"/>
        <s v="SKU70"/>
        <s v="SKU71"/>
        <s v="SKU72"/>
        <s v="SKU73"/>
        <s v="SKU74"/>
        <s v="SKU75"/>
        <s v="SKU76"/>
        <s v="SKU77"/>
        <s v="SKU78"/>
        <s v="SKU79"/>
        <s v="SKU80"/>
        <s v="SKU81"/>
        <s v="SKU82"/>
        <s v="SKU83"/>
        <s v="SKU84"/>
        <s v="SKU85"/>
        <s v="SKU86"/>
        <s v="SKU87"/>
        <s v="SKU88"/>
        <s v="SKU89"/>
        <s v="SKU90"/>
        <s v="SKU91"/>
        <s v="SKU92"/>
        <s v="SKU93"/>
        <s v="SKU94"/>
        <s v="SKU95"/>
        <s v="SKU96"/>
        <s v="SKU97"/>
        <s v="SKU98"/>
        <s v="SKU99"/>
      </sharedItems>
    </cacheField>
    <cacheField name="Product Type" numFmtId="0">
      <sharedItems count="3">
        <s v="Haircare"/>
        <s v="Skincare"/>
        <s v="Cosmetics"/>
      </sharedItems>
    </cacheField>
    <cacheField name="Availability" numFmtId="0">
      <sharedItems containsSemiMixedTypes="0" containsString="0" containsNumber="1" containsInteger="1" minValue="1" maxValue="100"/>
    </cacheField>
    <cacheField name="Stock Levels" numFmtId="0">
      <sharedItems containsSemiMixedTypes="0" containsString="0" containsNumber="1" containsInteger="1" minValue="0" maxValue="100"/>
    </cacheField>
    <cacheField name="Lead Times" numFmtId="0">
      <sharedItems containsSemiMixedTypes="0" containsString="0" containsNumber="1" containsInteger="1" minValue="1" maxValue="30"/>
    </cacheField>
    <cacheField name="Price" numFmtId="164">
      <sharedItems containsSemiMixedTypes="0" containsString="0" containsNumber="1" minValue="1.6999760138659299" maxValue="99.171328638624104"/>
    </cacheField>
    <cacheField name="Shipping Costs" numFmtId="164">
      <sharedItems containsSemiMixedTypes="0" containsString="0" containsNumber="1" minValue="1.0134865660958901" maxValue="9.9298162452772498"/>
    </cacheField>
    <cacheField name="Manufacturing Costs" numFmtId="164">
      <sharedItems containsSemiMixedTypes="0" containsString="0" containsNumber="1" minValue="1.0850685695870601" maxValue="99.466108603599096"/>
    </cacheField>
    <cacheField name="Costs" numFmtId="164">
      <sharedItems containsSemiMixedTypes="0" containsString="0" containsNumber="1" minValue="103.916247960704" maxValue="997.41345013319403"/>
    </cacheField>
    <cacheField name="Defect Rates" numFmtId="0">
      <sharedItems containsSemiMixedTypes="0" containsString="0" containsNumber="1" minValue="1.8607567631014899E-2" maxValue="4.9392552886209398"/>
    </cacheField>
    <cacheField name="Stock Velocity " numFmtId="0">
      <sharedItems containsSemiMixedTypes="0" containsString="0" containsNumber="1" minValue="8.8888888888888892E-2" maxValue="11.066666666666666"/>
    </cacheField>
    <cacheField name="Stock Out Risk" numFmtId="0">
      <sharedItems containsSemiMixedTypes="0" containsString="0" containsNumber="1" minValue="2.6143790849673203E-2" maxValue="100.22222222222221"/>
    </cacheField>
    <cacheField name="Carrying Cost Risk" numFmtId="2">
      <sharedItems containsSemiMixedTypes="0" containsString="0" containsNumber="1" minValue="8660.0498033965796" maxValue="729685.63162618107"/>
    </cacheField>
    <cacheField name="Normalised SO Risk" numFmtId="0">
      <sharedItems containsSemiMixedTypes="0" containsString="0" containsNumber="1" minValue="0" maxValue="1"/>
    </cacheField>
    <cacheField name="Normalised CC Risk" numFmtId="0">
      <sharedItems containsSemiMixedTypes="0" containsString="0" containsNumber="1" minValue="0" maxValue="1"/>
    </cacheField>
    <cacheField name="Consolidated Score" numFmtId="2">
      <sharedItems containsSemiMixedTypes="0" containsString="0" containsNumber="1" minValue="6.7309787553969692E-3" maxValue="0.59515161883525114"/>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ell" refreshedDate="45609.595719444442" createdVersion="8" refreshedVersion="8" minRefreshableVersion="3" recordCount="91" xr:uid="{46E9B268-D1D6-4C9A-8875-A203C3791542}">
  <cacheSource type="worksheet">
    <worksheetSource ref="V17:X108" sheet="Risk Assessment"/>
  </cacheSource>
  <cacheFields count="3">
    <cacheField name="SKU" numFmtId="0">
      <sharedItems/>
    </cacheField>
    <cacheField name="Product Type" numFmtId="0">
      <sharedItems count="3">
        <s v="Haircare"/>
        <s v="Skincare"/>
        <s v="Cosmetics"/>
      </sharedItems>
    </cacheField>
    <cacheField name="Consolidated Score" numFmtId="2">
      <sharedItems containsSemiMixedTypes="0" containsString="0" containsNumber="1" minValue="6.7309787553969692E-3" maxValue="0.29465276007412455"/>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ell" refreshedDate="45609.748952546295" createdVersion="8" refreshedVersion="8" minRefreshableVersion="3" recordCount="100" xr:uid="{D7BACEBE-B170-4295-B90B-EA106067F158}">
  <cacheSource type="worksheet">
    <worksheetSource name="Table1"/>
  </cacheSource>
  <cacheFields count="27">
    <cacheField name="Product Type" numFmtId="0">
      <sharedItems count="3">
        <s v="Haircare"/>
        <s v="Skincare"/>
        <s v="Cosmetics"/>
      </sharedItems>
    </cacheField>
    <cacheField name="SKU" numFmtId="0">
      <sharedItems count="100">
        <s v="SKU0"/>
        <s v="SKU1"/>
        <s v="SKU2"/>
        <s v="SKU3"/>
        <s v="SKU4"/>
        <s v="SKU5"/>
        <s v="SKU6"/>
        <s v="SKU7"/>
        <s v="SKU8"/>
        <s v="SKU9"/>
        <s v="SKU10"/>
        <s v="SKU11"/>
        <s v="SKU12"/>
        <s v="SKU13"/>
        <s v="SKU14"/>
        <s v="SKU15"/>
        <s v="SKU16"/>
        <s v="SKU17"/>
        <s v="SKU18"/>
        <s v="SKU19"/>
        <s v="SKU20"/>
        <s v="SKU21"/>
        <s v="SKU22"/>
        <s v="SKU23"/>
        <s v="SKU24"/>
        <s v="SKU25"/>
        <s v="SKU26"/>
        <s v="SKU27"/>
        <s v="SKU28"/>
        <s v="SKU29"/>
        <s v="SKU30"/>
        <s v="SKU31"/>
        <s v="SKU32"/>
        <s v="SKU33"/>
        <s v="SKU34"/>
        <s v="SKU35"/>
        <s v="SKU36"/>
        <s v="SKU37"/>
        <s v="SKU38"/>
        <s v="SKU39"/>
        <s v="SKU40"/>
        <s v="SKU41"/>
        <s v="SKU42"/>
        <s v="SKU43"/>
        <s v="SKU44"/>
        <s v="SKU45"/>
        <s v="SKU46"/>
        <s v="SKU47"/>
        <s v="SKU48"/>
        <s v="SKU49"/>
        <s v="SKU50"/>
        <s v="SKU51"/>
        <s v="SKU52"/>
        <s v="SKU53"/>
        <s v="SKU54"/>
        <s v="SKU55"/>
        <s v="SKU56"/>
        <s v="SKU57"/>
        <s v="SKU58"/>
        <s v="SKU59"/>
        <s v="SKU60"/>
        <s v="SKU61"/>
        <s v="SKU62"/>
        <s v="SKU63"/>
        <s v="SKU64"/>
        <s v="SKU65"/>
        <s v="SKU66"/>
        <s v="SKU67"/>
        <s v="SKU68"/>
        <s v="SKU69"/>
        <s v="SKU70"/>
        <s v="SKU71"/>
        <s v="SKU72"/>
        <s v="SKU73"/>
        <s v="SKU74"/>
        <s v="SKU75"/>
        <s v="SKU76"/>
        <s v="SKU77"/>
        <s v="SKU78"/>
        <s v="SKU79"/>
        <s v="SKU80"/>
        <s v="SKU81"/>
        <s v="SKU82"/>
        <s v="SKU83"/>
        <s v="SKU84"/>
        <s v="SKU85"/>
        <s v="SKU86"/>
        <s v="SKU87"/>
        <s v="SKU88"/>
        <s v="SKU89"/>
        <s v="SKU90"/>
        <s v="SKU91"/>
        <s v="SKU92"/>
        <s v="SKU93"/>
        <s v="SKU94"/>
        <s v="SKU95"/>
        <s v="SKU96"/>
        <s v="SKU97"/>
        <s v="SKU98"/>
        <s v="SKU99"/>
      </sharedItems>
    </cacheField>
    <cacheField name="Price" numFmtId="164">
      <sharedItems containsSemiMixedTypes="0" containsString="0" containsNumber="1" minValue="1.6999760138659299" maxValue="99.171328638624104"/>
    </cacheField>
    <cacheField name="Availability" numFmtId="0">
      <sharedItems containsSemiMixedTypes="0" containsString="0" containsNumber="1" containsInteger="1" minValue="1" maxValue="100"/>
    </cacheField>
    <cacheField name="Number Of Products Sold" numFmtId="0">
      <sharedItems containsSemiMixedTypes="0" containsString="0" containsNumber="1" containsInteger="1" minValue="8" maxValue="996"/>
    </cacheField>
    <cacheField name="Revenue Generated" numFmtId="164">
      <sharedItems containsSemiMixedTypes="0" containsString="0" containsNumber="1" minValue="1061.6185230132801" maxValue="9866.4654579796897"/>
    </cacheField>
    <cacheField name="Customer Demographics" numFmtId="0">
      <sharedItems count="4">
        <s v="Non-Binary"/>
        <s v="Female"/>
        <s v="Unknown"/>
        <s v="Male"/>
      </sharedItems>
    </cacheField>
    <cacheField name="Stock Levels" numFmtId="0">
      <sharedItems containsSemiMixedTypes="0" containsString="0" containsNumber="1" containsInteger="1" minValue="0" maxValue="100"/>
    </cacheField>
    <cacheField name="Lead Times" numFmtId="0">
      <sharedItems containsSemiMixedTypes="0" containsString="0" containsNumber="1" containsInteger="1" minValue="1" maxValue="30"/>
    </cacheField>
    <cacheField name="Order Quantities" numFmtId="0">
      <sharedItems containsSemiMixedTypes="0" containsString="0" containsNumber="1" containsInteger="1" minValue="1" maxValue="96"/>
    </cacheField>
    <cacheField name="Shipping Times" numFmtId="0">
      <sharedItems containsSemiMixedTypes="0" containsString="0" containsNumber="1" containsInteger="1" minValue="1" maxValue="10"/>
    </cacheField>
    <cacheField name="Shipping Carriers" numFmtId="0">
      <sharedItems count="3">
        <s v="Carrier B"/>
        <s v="Carrier A"/>
        <s v="Carrier C"/>
      </sharedItems>
    </cacheField>
    <cacheField name="Shipping Costs" numFmtId="164">
      <sharedItems containsSemiMixedTypes="0" containsString="0" containsNumber="1" minValue="1.0134865660958901" maxValue="9.9298162452772498"/>
    </cacheField>
    <cacheField name="Supplier Name" numFmtId="0">
      <sharedItems count="5">
        <s v="Supplier 3"/>
        <s v="Supplier 1"/>
        <s v="Supplier 5"/>
        <s v="Supplier 4"/>
        <s v="Supplier 2"/>
      </sharedItems>
    </cacheField>
    <cacheField name="Location" numFmtId="0">
      <sharedItems/>
    </cacheField>
    <cacheField name="Lead Time" numFmtId="0">
      <sharedItems containsSemiMixedTypes="0" containsString="0" containsNumber="1" containsInteger="1" minValue="1" maxValue="30"/>
    </cacheField>
    <cacheField name="Production Volumes" numFmtId="0">
      <sharedItems containsSemiMixedTypes="0" containsString="0" containsNumber="1" containsInteger="1" minValue="104" maxValue="985"/>
    </cacheField>
    <cacheField name="Manufacturing Lead Time" numFmtId="0">
      <sharedItems containsSemiMixedTypes="0" containsString="0" containsNumber="1" containsInteger="1" minValue="1" maxValue="30"/>
    </cacheField>
    <cacheField name="Manufacturing Costs" numFmtId="164">
      <sharedItems containsSemiMixedTypes="0" containsString="0" containsNumber="1" minValue="1.0850685695870601" maxValue="99.466108603599096"/>
    </cacheField>
    <cacheField name="Inspection Results" numFmtId="0">
      <sharedItems count="3">
        <s v="Pending"/>
        <s v="Fail"/>
        <s v="Pass"/>
      </sharedItems>
    </cacheField>
    <cacheField name="Defect Rates" numFmtId="0">
      <sharedItems containsSemiMixedTypes="0" containsString="0" containsNumber="1" minValue="1.8607567631014899E-2" maxValue="4.9392552886209398"/>
    </cacheField>
    <cacheField name="Transportation Modes" numFmtId="0">
      <sharedItems count="4">
        <s v="Road"/>
        <s v="Air"/>
        <s v="Rail"/>
        <s v="Sea"/>
      </sharedItems>
    </cacheField>
    <cacheField name="Routes" numFmtId="0">
      <sharedItems count="3">
        <s v="Route B"/>
        <s v="Route C"/>
        <s v="Route A"/>
      </sharedItems>
    </cacheField>
    <cacheField name="Costs" numFmtId="164">
      <sharedItems containsSemiMixedTypes="0" containsString="0" containsNumber="1" minValue="103.916247960704" maxValue="997.41345013319403"/>
    </cacheField>
    <cacheField name="Column1" numFmtId="0">
      <sharedItems containsNonDate="0" containsString="0" containsBlank="1"/>
    </cacheField>
    <cacheField name="Column2" numFmtId="0">
      <sharedItems containsNonDate="0" containsString="0" containsBlank="1"/>
    </cacheField>
    <cacheField name="Column3" numFmtId="0">
      <sharedItems containsNonDate="0" containsString="0"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
  <r>
    <x v="0"/>
    <x v="0"/>
    <n v="55"/>
    <n v="58"/>
    <n v="7"/>
    <n v="69.808005542115694"/>
    <n v="2.9565721394308002"/>
    <n v="46.279879240508301"/>
    <n v="187.75207545920301"/>
    <n v="0.226410360849925"/>
    <n v="8.9111111111111114"/>
    <n v="1.1341414141414141"/>
    <n v="42517.204396328067"/>
    <n v="1.105829330486865E-2"/>
    <n v="4.6956939457458789E-2"/>
    <n v="2.9007616381163719E-2"/>
  </r>
  <r>
    <x v="1"/>
    <x v="1"/>
    <n v="95"/>
    <n v="53"/>
    <n v="30"/>
    <n v="14.8435232750843"/>
    <n v="9.7165747714313095"/>
    <n v="33.616768953730002"/>
    <n v="503.06557914966902"/>
    <n v="4.8540680263886999"/>
    <n v="8.1777777777777771"/>
    <n v="2.5824561403508768"/>
    <n v="486261.61594064272"/>
    <n v="2.5513097813025715E-2"/>
    <n v="0.66239198466418947"/>
    <n v="0.34395254123860758"/>
  </r>
  <r>
    <x v="2"/>
    <x v="0"/>
    <n v="34"/>
    <n v="1"/>
    <n v="10"/>
    <n v="11.319683293090501"/>
    <n v="8.0544792617321495"/>
    <n v="30.6880193482842"/>
    <n v="141.920281771519"/>
    <n v="4.5805926191992201"/>
    <n v="8.8888888888888892E-2"/>
    <n v="2.6143790849673203E-2"/>
    <n v="37498.157192940482"/>
    <n v="0"/>
    <n v="3.9995955922451316E-2"/>
    <n v="1.9997977961225658E-2"/>
  </r>
  <r>
    <x v="3"/>
    <x v="1"/>
    <n v="68"/>
    <n v="23"/>
    <n v="13"/>
    <n v="61.1633430164377"/>
    <n v="1.7295685635434199"/>
    <n v="35.624741397125"/>
    <n v="254.776159219286"/>
    <n v="4.7466486206477496"/>
    <n v="0.92222222222222228"/>
    <n v="0.17630718954248367"/>
    <n v="184753.24126730213"/>
    <n v="1.4986953685583826E-3"/>
    <n v="0.24422599683458415"/>
    <n v="0.12286234610157126"/>
  </r>
  <r>
    <x v="4"/>
    <x v="1"/>
    <n v="26"/>
    <n v="5"/>
    <n v="3"/>
    <n v="4.8054960363458896"/>
    <n v="3.8905479158706702"/>
    <n v="92.065160598712794"/>
    <n v="923.44063171192204"/>
    <n v="3.1455795228330001"/>
    <n v="9.6777777777777771"/>
    <n v="1.1166666666666667"/>
    <n v="131623.21494943625"/>
    <n v="1.0883887801696022E-2"/>
    <n v="0.17053925442587398"/>
    <n v="9.0711571113785E-2"/>
  </r>
  <r>
    <x v="5"/>
    <x v="0"/>
    <n v="87"/>
    <n v="90"/>
    <n v="27"/>
    <n v="1.6999760138659299"/>
    <n v="4.4440988643822896"/>
    <n v="56.766475557431797"/>
    <n v="235.461236735537"/>
    <n v="2.7791935115711599"/>
    <n v="1.6333333333333333"/>
    <n v="0.50689655172413794"/>
    <n v="199586.03581406374"/>
    <n v="4.798119531232427E-3"/>
    <n v="0.26479779750393578"/>
    <n v="0.13479795851758411"/>
  </r>
  <r>
    <x v="6"/>
    <x v="1"/>
    <n v="48"/>
    <n v="11"/>
    <n v="15"/>
    <n v="4.0783328631079403"/>
    <n v="3.8807633029519999"/>
    <n v="1.0850685695870601"/>
    <n v="134.36909686103101"/>
    <n v="1.0009106193041299"/>
    <n v="0.72222222222222221"/>
    <n v="0.22569444444444445"/>
    <n v="16930.469966592216"/>
    <n v="1.9916014350945862E-3"/>
    <n v="1.1470356075699352E-2"/>
    <n v="6.7309787553969692E-3"/>
  </r>
  <r>
    <x v="7"/>
    <x v="2"/>
    <n v="59"/>
    <n v="93"/>
    <n v="17"/>
    <n v="42.958384382459997"/>
    <n v="2.3483387844177801"/>
    <n v="99.466108603599096"/>
    <n v="802.05631181755803"/>
    <n v="0.39817718685065001"/>
    <n v="4.7333333333333334"/>
    <n v="1.3638418079096046"/>
    <n v="201222.90607833958"/>
    <n v="1.3350802127212624E-2"/>
    <n v="0.26706799471405107"/>
    <n v="0.14020939842063185"/>
  </r>
  <r>
    <x v="8"/>
    <x v="2"/>
    <n v="78"/>
    <n v="5"/>
    <n v="10"/>
    <n v="68.717596748527299"/>
    <n v="3.4047338570830199"/>
    <n v="11.423027139565599"/>
    <n v="505.55713422546398"/>
    <n v="2.7098626911099601"/>
    <n v="1.6666666666666667"/>
    <n v="0.21367521367521367"/>
    <n v="181395.61656474791"/>
    <n v="1.8716443373977623E-3"/>
    <n v="0.23956926233417156"/>
    <n v="0.12072045333578466"/>
  </r>
  <r>
    <x v="9"/>
    <x v="1"/>
    <n v="35"/>
    <n v="14"/>
    <n v="27"/>
    <n v="64.0157329412785"/>
    <n v="7.1666452910482104"/>
    <n v="47.957601634951502"/>
    <n v="995.92946149864099"/>
    <n v="3.8446144787675798"/>
    <n v="10.888888888888889"/>
    <n v="8.4"/>
    <n v="264701.99646315788"/>
    <n v="8.3574690150032632E-2"/>
    <n v="0.35510799216371208"/>
    <n v="0.21934134115687237"/>
  </r>
  <r>
    <x v="10"/>
    <x v="1"/>
    <n v="11"/>
    <n v="51"/>
    <n v="13"/>
    <n v="15.707795681912099"/>
    <n v="8.6732112112786108"/>
    <n v="96.527352785310896"/>
    <n v="806.10317770292295"/>
    <n v="1.72731392835594"/>
    <n v="11.066666666666666"/>
    <n v="13.07878787878788"/>
    <n v="156751.59161411476"/>
    <n v="0.13027100753128151"/>
    <n v="0.20539013530745504"/>
    <n v="0.16783057141936827"/>
  </r>
  <r>
    <x v="11"/>
    <x v="1"/>
    <n v="95"/>
    <n v="46"/>
    <n v="23"/>
    <n v="90.635459982288594"/>
    <n v="4.5239431243166601"/>
    <n v="27.5923630866636"/>
    <n v="126.72303340940699"/>
    <n v="2.1169821372994301E-2"/>
    <n v="10.666666666666666"/>
    <n v="2.5824561403508772"/>
    <n v="35920.615253173251"/>
    <n v="2.5513097813025718E-2"/>
    <n v="3.780804195720873E-2"/>
    <n v="3.1660569885117222E-2"/>
  </r>
  <r>
    <x v="12"/>
    <x v="0"/>
    <n v="41"/>
    <n v="100"/>
    <n v="30"/>
    <n v="71.213389075359999"/>
    <n v="1.32527401018452"/>
    <n v="32.321286213424003"/>
    <n v="402.96878907376998"/>
    <n v="2.1612537475559099"/>
    <n v="3.7333333333333334"/>
    <n v="2.7317073170731705"/>
    <n v="226357.94582393469"/>
    <n v="2.7002688813580897E-2"/>
    <n v="0.30192811671146014"/>
    <n v="0.16446540276252053"/>
  </r>
  <r>
    <x v="13"/>
    <x v="1"/>
    <n v="5"/>
    <n v="80"/>
    <n v="8"/>
    <n v="16.160393317379899"/>
    <n v="9.5372830611083295"/>
    <n v="97.829050110173199"/>
    <n v="547.24100516096803"/>
    <n v="1.63107423007153"/>
    <n v="2.7666666666666666"/>
    <n v="4.4266666666666667"/>
    <n v="150011.3739140844"/>
    <n v="4.3919112850619703E-2"/>
    <n v="0.19604203744525325"/>
    <n v="0.11998057514793647"/>
  </r>
  <r>
    <x v="14"/>
    <x v="1"/>
    <n v="26"/>
    <n v="54"/>
    <n v="29"/>
    <n v="99.171328638624104"/>
    <n v="2.0397701894493299"/>
    <n v="5.7914366298629796"/>
    <n v="929.23528996088896"/>
    <n v="0.100682851565093"/>
    <n v="6.2444444444444445"/>
    <n v="6.9649572649572651"/>
    <n v="91245.536366528308"/>
    <n v="6.92523458276883E-2"/>
    <n v="0.1145389132440377"/>
    <n v="9.1895629535862999E-2"/>
  </r>
  <r>
    <x v="15"/>
    <x v="1"/>
    <n v="94"/>
    <n v="9"/>
    <n v="8"/>
    <n v="36.989244928626903"/>
    <n v="2.4220397232752"/>
    <n v="97.121281751474299"/>
    <n v="127.861800001625"/>
    <n v="2.2644057611985402"/>
    <n v="5.2111111111111112"/>
    <n v="0.44349881796690305"/>
    <n v="88898.320770855207"/>
    <n v="4.1653828538118828E-3"/>
    <n v="0.11128352861574305"/>
    <n v="5.7724455734777462E-2"/>
  </r>
  <r>
    <x v="16"/>
    <x v="1"/>
    <n v="74"/>
    <n v="2"/>
    <n v="5"/>
    <n v="7.5471721097912701"/>
    <n v="4.1913245857054999"/>
    <n v="77.106342497849994"/>
    <n v="865.52577977123997"/>
    <n v="1.01256308925804"/>
    <n v="3.1111111111111112"/>
    <n v="0.21021021021021022"/>
    <n v="145975.56217123623"/>
    <n v="1.8370621110347142E-3"/>
    <n v="0.19044471628967724"/>
    <n v="9.6140889200355975E-2"/>
  </r>
  <r>
    <x v="17"/>
    <x v="2"/>
    <n v="82"/>
    <n v="45"/>
    <n v="17"/>
    <n v="81.462534369237005"/>
    <n v="3.5854189582323399"/>
    <n v="47.679680368355299"/>
    <n v="670.93439079241"/>
    <n v="0.102020754918176"/>
    <n v="1.4"/>
    <n v="0.29024390243902437"/>
    <n v="112477.83332755044"/>
    <n v="2.6358328162537983E-3"/>
    <n v="0.14398626919962801"/>
    <n v="7.33110510079409E-2"/>
  </r>
  <r>
    <x v="18"/>
    <x v="0"/>
    <n v="23"/>
    <n v="10"/>
    <n v="10"/>
    <n v="36.4436277704609"/>
    <n v="4.3392247141107001"/>
    <n v="27.107980854843898"/>
    <n v="593.48025872065102"/>
    <n v="2.2319391107292601"/>
    <n v="6.8888888888888893"/>
    <n v="2.9951690821256038"/>
    <n v="70537.86627144349"/>
    <n v="2.9632150656569958E-2"/>
    <n v="8.5819169288858049E-2"/>
    <n v="5.7725659972714005E-2"/>
  </r>
  <r>
    <x v="19"/>
    <x v="1"/>
    <n v="100"/>
    <n v="48"/>
    <n v="11"/>
    <n v="51.123870087964697"/>
    <n v="4.7426358828418698"/>
    <n v="82.373320587990193"/>
    <n v="477.30763109090299"/>
    <n v="3.64645086541702"/>
    <n v="2.0777777777777779"/>
    <n v="0.22855555555555557"/>
    <n v="423296.43056065065"/>
    <n v="2.0201565557729944E-3"/>
    <n v="0.57506472892270344"/>
    <n v="0.28854244273923824"/>
  </r>
  <r>
    <x v="20"/>
    <x v="1"/>
    <n v="22"/>
    <n v="27"/>
    <n v="12"/>
    <n v="96.341072439963298"/>
    <n v="8.8783346509268402"/>
    <n v="65.686259608488598"/>
    <n v="493.871215316205"/>
    <n v="4.2314165735345304"/>
    <n v="3.5555555555555554"/>
    <n v="1.9393939393939392"/>
    <n v="170408.51511566777"/>
    <n v="1.9095060190950603E-2"/>
    <n v="0.22433110473468076"/>
    <n v="0.12171308246281569"/>
  </r>
  <r>
    <x v="21"/>
    <x v="2"/>
    <n v="60"/>
    <n v="69"/>
    <n v="25"/>
    <n v="84.893868984950799"/>
    <n v="6.0378837692182898"/>
    <n v="61.735728954160898"/>
    <n v="523.36091472015801"/>
    <n v="1.8607567631014899E-2"/>
    <n v="6.677777777777778"/>
    <n v="2.7824074074074074"/>
    <n v="88830.385629081778"/>
    <n v="2.7508697542944122E-2"/>
    <n v="0.1111893084611659"/>
    <n v="6.9349003002055015E-2"/>
  </r>
  <r>
    <x v="22"/>
    <x v="0"/>
    <n v="55"/>
    <n v="71"/>
    <n v="1"/>
    <n v="27.679780886501899"/>
    <n v="9.5676489209230393"/>
    <n v="50.120839612977299"/>
    <n v="205.57199582694699"/>
    <n v="2.5912754732111098"/>
    <n v="9.8222222222222229"/>
    <n v="0.1785858585858586"/>
    <n v="132555.677902044"/>
    <n v="1.5214374666429463E-3"/>
    <n v="0.1718324997366027"/>
    <n v="8.6676968601622814E-2"/>
  </r>
  <r>
    <x v="23"/>
    <x v="2"/>
    <n v="30"/>
    <n v="84"/>
    <n v="5"/>
    <n v="4.3243411858641601"/>
    <n v="2.92485760114555"/>
    <n v="98.6099572427038"/>
    <n v="196.329446112412"/>
    <n v="1.3422915627227301"/>
    <n v="4.3444444444444441"/>
    <n v="0.72407407407407398"/>
    <n v="80690.77469892634"/>
    <n v="6.9656447053707323E-3"/>
    <n v="9.9900373456144095E-2"/>
    <n v="5.3433009080757411E-2"/>
  </r>
  <r>
    <x v="24"/>
    <x v="0"/>
    <n v="32"/>
    <n v="4"/>
    <n v="26"/>
    <n v="4.1563083593111001"/>
    <n v="9.7412916892843597"/>
    <n v="40.382359702924802"/>
    <n v="758.72477260293795"/>
    <n v="3.69131029262872"/>
    <n v="2.3222222222222224"/>
    <n v="1.8868055555555556"/>
    <n v="137306.06887861178"/>
    <n v="1.8570205479452057E-2"/>
    <n v="0.17842088036598144"/>
    <n v="9.8495542922716756E-2"/>
  </r>
  <r>
    <x v="25"/>
    <x v="0"/>
    <n v="73"/>
    <n v="82"/>
    <n v="11"/>
    <n v="39.629343985092603"/>
    <n v="2.2310736812817198"/>
    <n v="78.280383118415301"/>
    <n v="458.53594573920901"/>
    <n v="3.79723121711418"/>
    <n v="1.5777777777777777"/>
    <n v="0.23774733637747333"/>
    <n v="430287.15372166439"/>
    <n v="2.1118944856982013E-3"/>
    <n v="0.58476025615121152"/>
    <n v="0.29343607531845484"/>
  </r>
  <r>
    <x v="26"/>
    <x v="0"/>
    <n v="9"/>
    <n v="59"/>
    <n v="16"/>
    <n v="97.446946617892806"/>
    <n v="6.5075486210785503"/>
    <n v="15.972229757181699"/>
    <n v="617.86691645837698"/>
    <n v="2.1193197367249201"/>
    <n v="3.9222222222222221"/>
    <n v="6.9728395061728392"/>
    <n v="156496.17018451"/>
    <n v="6.933101398854824E-2"/>
    <n v="0.20503588791867439"/>
    <n v="0.13718345095361131"/>
  </r>
  <r>
    <x v="27"/>
    <x v="2"/>
    <n v="42"/>
    <n v="47"/>
    <n v="9"/>
    <n v="92.557360812401996"/>
    <n v="7.4067509529980704"/>
    <n v="10.5282450700421"/>
    <n v="762.45918215568304"/>
    <n v="2.8646678378833701"/>
    <n v="3.911111111111111"/>
    <n v="0.838095238095238"/>
    <n v="300256.42857251148"/>
    <n v="8.1036250116484944E-3"/>
    <n v="0.40441890845529554"/>
    <n v="0.20626126673347203"/>
  </r>
  <r>
    <x v="28"/>
    <x v="2"/>
    <n v="12"/>
    <n v="48"/>
    <n v="15"/>
    <n v="2.3972747055971402"/>
    <n v="9.8981405080692202"/>
    <n v="59.429381810691503"/>
    <n v="123.437027511827"/>
    <n v="0.81575707929567198"/>
    <n v="4.3777777777777782"/>
    <n v="5.4722222222222232"/>
    <n v="21261.987870590245"/>
    <n v="5.4354207436399231E-2"/>
    <n v="1.7477796051750909E-2"/>
    <n v="3.5916001744075068E-2"/>
  </r>
  <r>
    <x v="29"/>
    <x v="2"/>
    <n v="3"/>
    <n v="45"/>
    <n v="5"/>
    <n v="63.447559185207297"/>
    <n v="8.1009731453970293"/>
    <n v="39.292875586065698"/>
    <n v="764.93537594070801"/>
    <n v="3.8780989365884802"/>
    <n v="2.8111111111111109"/>
    <n v="4.6851851851851851"/>
    <n v="205062.03830513064"/>
    <n v="4.6499238964992397E-2"/>
    <n v="0.27239253842453298"/>
    <n v="0.1594458886947627"/>
  </r>
  <r>
    <x v="30"/>
    <x v="0"/>
    <n v="10"/>
    <n v="60"/>
    <n v="26"/>
    <n v="8.0228592105263896"/>
    <n v="8.9545283153180097"/>
    <n v="51.634893400109299"/>
    <n v="880.08098824716103"/>
    <n v="0.96539470535239302"/>
    <n v="3.6333333333333333"/>
    <n v="9.4466666666666672"/>
    <n v="130518.97097654046"/>
    <n v="9.4020874103065893E-2"/>
    <n v="0.16900776372605136"/>
    <n v="0.13151431891455861"/>
  </r>
  <r>
    <x v="31"/>
    <x v="1"/>
    <n v="28"/>
    <n v="6"/>
    <n v="17"/>
    <n v="50.847393051718697"/>
    <n v="2.6796609649813998"/>
    <n v="60.251145661598002"/>
    <n v="609.379206618426"/>
    <n v="2.9890000066550702"/>
    <n v="1.8666666666666667"/>
    <n v="1.1333333333333333"/>
    <n v="98078.946550030058"/>
    <n v="1.1050228310502284E-2"/>
    <n v="0.12401626100502364"/>
    <n v="6.7533244657762961E-2"/>
  </r>
  <r>
    <x v="32"/>
    <x v="1"/>
    <n v="43"/>
    <n v="89"/>
    <n v="13"/>
    <n v="79.209936015656695"/>
    <n v="6.5991049012385803"/>
    <n v="29.6924671537497"/>
    <n v="761.17390951487698"/>
    <n v="1.94603611938611"/>
    <n v="8.6777777777777771"/>
    <n v="2.6235142118863046"/>
    <n v="340918.70276439999"/>
    <n v="2.5922875043614131E-2"/>
    <n v="0.46081395908455686"/>
    <n v="0.24336841706408549"/>
  </r>
  <r>
    <x v="33"/>
    <x v="2"/>
    <n v="63"/>
    <n v="4"/>
    <n v="17"/>
    <n v="64.795435000155607"/>
    <n v="4.85827050343664"/>
    <n v="23.853427512896101"/>
    <n v="371.25529551987103"/>
    <n v="3.54104601225092"/>
    <n v="6.8444444444444441"/>
    <n v="1.8469135802469134"/>
    <n v="141404.00737418889"/>
    <n v="1.8172066391244475E-2"/>
    <n v="0.18410436594386809"/>
    <n v="0.10113821616755628"/>
  </r>
  <r>
    <x v="34"/>
    <x v="1"/>
    <n v="96"/>
    <n v="1"/>
    <n v="26"/>
    <n v="37.467592329842397"/>
    <n v="1.0194875708221101"/>
    <n v="10.754272815029299"/>
    <n v="510.35800043352299"/>
    <n v="0.64660455937205397"/>
    <n v="6.6888888888888891"/>
    <n v="1.811574074074074"/>
    <n v="89379.568092763788"/>
    <n v="1.7819362904979343E-2"/>
    <n v="0.11195097694773144"/>
    <n v="6.4885169926355388E-2"/>
  </r>
  <r>
    <x v="35"/>
    <x v="2"/>
    <n v="11"/>
    <n v="42"/>
    <n v="27"/>
    <n v="84.957786816350406"/>
    <n v="5.2881899903273997"/>
    <n v="58.004787044743701"/>
    <n v="553.42047123035502"/>
    <n v="0.54115409806058101"/>
    <n v="4.9888888888888889"/>
    <n v="12.245454545454546"/>
    <n v="57313.325470187992"/>
    <n v="0.1219539820909684"/>
    <n v="6.7477877197912706E-2"/>
    <n v="9.4715929644440561E-2"/>
  </r>
  <r>
    <x v="36"/>
    <x v="1"/>
    <n v="34"/>
    <n v="18"/>
    <n v="23"/>
    <n v="9.81300257875405"/>
    <n v="2.1079512671590801"/>
    <n v="45.531364237162101"/>
    <n v="403.80897424817999"/>
    <n v="3.8055333792433501"/>
    <n v="10.7"/>
    <n v="7.2382352941176471"/>
    <n v="115263.53991624013"/>
    <n v="7.197977821265493E-2"/>
    <n v="0.14784980283687746"/>
    <n v="0.10991479052476619"/>
  </r>
  <r>
    <x v="37"/>
    <x v="1"/>
    <n v="5"/>
    <n v="25"/>
    <n v="8"/>
    <n v="23.3998447526143"/>
    <n v="1.53265527359043"/>
    <n v="34.343277465075303"/>
    <n v="183.932968043594"/>
    <n v="2.61028808484811"/>
    <n v="10.7"/>
    <n v="17.12"/>
    <n v="26341.609084062351"/>
    <n v="0.17060404435746904"/>
    <n v="2.4522790489577374E-2"/>
    <n v="9.7563417423523202E-2"/>
  </r>
  <r>
    <x v="38"/>
    <x v="2"/>
    <n v="75"/>
    <n v="69"/>
    <n v="1"/>
    <n v="52.075930682707799"/>
    <n v="9.2359314372492207"/>
    <n v="5.9306936455283097"/>
    <n v="339.67286994860598"/>
    <n v="0.613326899164507"/>
    <n v="7.833333333333333"/>
    <n v="0.10444444444444445"/>
    <n v="94534.214686490915"/>
    <n v="7.8147423352902814E-4"/>
    <n v="0.11910002508648951"/>
    <n v="5.9940749660009271E-2"/>
  </r>
  <r>
    <x v="39"/>
    <x v="1"/>
    <n v="26"/>
    <n v="78"/>
    <n v="29"/>
    <n v="19.127477265823199"/>
    <n v="5.5625037788303802"/>
    <n v="9.0058074287816403"/>
    <n v="653.67299455203295"/>
    <n v="1.4519722039968099"/>
    <n v="1.9555555555555555"/>
    <n v="2.181196581196581"/>
    <n v="175282.55158685049"/>
    <n v="2.1508354659039591E-2"/>
    <n v="0.23109097095033004"/>
    <n v="0.12629966280468483"/>
  </r>
  <r>
    <x v="40"/>
    <x v="1"/>
    <n v="97"/>
    <n v="90"/>
    <n v="20"/>
    <n v="80.541424170940303"/>
    <n v="7.2295951397364702"/>
    <n v="88.179407104217404"/>
    <n v="529.80872398069096"/>
    <n v="4.2132694305865597"/>
    <n v="10.366666666666667"/>
    <n v="2.1374570446735395"/>
    <n v="688031.45696932659"/>
    <n v="2.1071815253428022E-2"/>
    <n v="0.94222926938105178"/>
    <n v="0.48165054231723992"/>
  </r>
  <r>
    <x v="41"/>
    <x v="1"/>
    <n v="35"/>
    <n v="64"/>
    <n v="19"/>
    <n v="99.113291615317095"/>
    <n v="5.7732637437666501"/>
    <n v="95.332064548772493"/>
    <n v="275.52437113130901"/>
    <n v="4.5302262398259602E-2"/>
    <n v="6.177777777777778"/>
    <n v="3.3536507936507935"/>
    <n v="49232.227260482083"/>
    <n v="3.3209952474140346E-2"/>
    <n v="5.627009426561156E-2"/>
    <n v="4.4740023369875953E-2"/>
  </r>
  <r>
    <x v="42"/>
    <x v="1"/>
    <n v="98"/>
    <n v="22"/>
    <n v="27"/>
    <n v="46.529167614516702"/>
    <n v="7.5262483268515004"/>
    <n v="96.422820639571796"/>
    <n v="635.65712050199102"/>
    <n v="4.9392552886209398"/>
    <n v="1.7222222222222223"/>
    <n v="0.47448979591836732"/>
    <n v="560287.02925520507"/>
    <n v="4.4746861562628961E-3"/>
    <n v="0.76505881810361176"/>
    <n v="0.38476675212993733"/>
  </r>
  <r>
    <x v="43"/>
    <x v="0"/>
    <n v="6"/>
    <n v="36"/>
    <n v="29"/>
    <n v="11.7432717763092"/>
    <n v="3.6940212683884499"/>
    <n v="26.2773659573324"/>
    <n v="716.04411975933999"/>
    <n v="0.37230476798509698"/>
    <n v="6.6444444444444448"/>
    <n v="32.114814814814814"/>
    <n v="43674.791373225285"/>
    <n v="0.32025875190258751"/>
    <n v="4.8562412281281192E-2"/>
    <n v="0.18441058209193434"/>
  </r>
  <r>
    <x v="44"/>
    <x v="2"/>
    <n v="34"/>
    <n v="13"/>
    <n v="19"/>
    <n v="51.355790913110297"/>
    <n v="7.5774496573766896"/>
    <n v="22.554106620887701"/>
    <n v="610.45326961922694"/>
    <n v="2.9626263204548802"/>
    <n v="10.21111111111111"/>
    <n v="5.7062091503267975"/>
    <n v="128869.3987171773"/>
    <n v="5.6689497716894986E-2"/>
    <n v="0.16671994994946807"/>
    <n v="0.11170472383318153"/>
  </r>
  <r>
    <x v="45"/>
    <x v="0"/>
    <n v="1"/>
    <n v="93"/>
    <n v="7"/>
    <n v="33.784138033065503"/>
    <n v="5.2151550087119096"/>
    <n v="66.312544439991598"/>
    <n v="495.30569702847299"/>
    <n v="3.2196046120841002"/>
    <n v="0.26666666666666666"/>
    <n v="1.8666666666666667"/>
    <n v="238230.64075949183"/>
    <n v="1.8369210697977825E-2"/>
    <n v="0.31839451573372846"/>
    <n v="0.16838186321585313"/>
  </r>
  <r>
    <x v="46"/>
    <x v="0"/>
    <n v="75"/>
    <n v="92"/>
    <n v="29"/>
    <n v="27.082207199888899"/>
    <n v="4.0709558370840799"/>
    <n v="77.322353211051606"/>
    <n v="380.43593711196399"/>
    <n v="3.6486105925361998"/>
    <n v="9.5444444444444443"/>
    <n v="3.6905185185185183"/>
    <n v="379550.74647055229"/>
    <n v="3.6572037399434661E-2"/>
    <n v="0.51439325596399454"/>
    <n v="0.27548264668171463"/>
  </r>
  <r>
    <x v="47"/>
    <x v="1"/>
    <n v="93"/>
    <n v="4"/>
    <n v="15"/>
    <n v="95.712135880936003"/>
    <n v="8.9787507559499709"/>
    <n v="19.7129929112936"/>
    <n v="581.60235505058597"/>
    <n v="0.38057358671321301"/>
    <n v="10.111111111111111"/>
    <n v="1.6308243727598566"/>
    <n v="94545.275275565058"/>
    <n v="1.6015403067988133E-2"/>
    <n v="0.11911536516505673"/>
    <n v="6.7565384116522437E-2"/>
  </r>
  <r>
    <x v="48"/>
    <x v="0"/>
    <n v="28"/>
    <n v="30"/>
    <n v="16"/>
    <n v="76.035544426891704"/>
    <n v="7.0958331565551296"/>
    <n v="23.126363582464698"/>
    <n v="768.65191395437"/>
    <n v="1.6981125407144"/>
    <n v="0.32222222222222224"/>
    <n v="0.18412698412698414"/>
    <n v="136915.07332338425"/>
    <n v="1.5767402851551583E-3"/>
    <n v="0.17787860341342301"/>
    <n v="8.9727671849289092E-2"/>
  </r>
  <r>
    <x v="49"/>
    <x v="2"/>
    <n v="19"/>
    <n v="97"/>
    <n v="24"/>
    <n v="78.897913205639995"/>
    <n v="2.5056210329009101"/>
    <n v="14.1478154439792"/>
    <n v="336.89016851997701"/>
    <n v="2.8258139854001301"/>
    <n v="1.1000000000000001"/>
    <n v="1.3894736842105264"/>
    <n v="191915.13375198629"/>
    <n v="1.3606619287945895E-2"/>
    <n v="0.25415892108198546"/>
    <n v="0.13388277018496567"/>
  </r>
  <r>
    <x v="50"/>
    <x v="2"/>
    <n v="91"/>
    <n v="31"/>
    <n v="23"/>
    <n v="14.203484264803"/>
    <n v="6.2478609149759903"/>
    <n v="45.178757924634503"/>
    <n v="496.24865029194001"/>
    <n v="4.7548008046711798"/>
    <n v="7.0333333333333332"/>
    <n v="1.7776556776556776"/>
    <n v="394487.03686510294"/>
    <n v="1.748084270589163E-2"/>
    <n v="0.53510859640557928"/>
    <n v="0.27629471955573548"/>
  </r>
  <r>
    <x v="51"/>
    <x v="0"/>
    <n v="61"/>
    <n v="100"/>
    <n v="4"/>
    <n v="26.700760972461701"/>
    <n v="4.78300055794766"/>
    <n v="14.190328344569901"/>
    <n v="694.98231757944495"/>
    <n v="1.77295117208355"/>
    <n v="1.711111111111111"/>
    <n v="0.1122040072859745"/>
    <n v="330662.45255907183"/>
    <n v="8.5891801139948462E-4"/>
    <n v="0.44658942882669844"/>
    <n v="0.22372417341904896"/>
  </r>
  <r>
    <x v="52"/>
    <x v="1"/>
    <n v="1"/>
    <n v="64"/>
    <n v="11"/>
    <n v="98.031829656465007"/>
    <n v="8.6310521797689397"/>
    <n v="9.1668491485971497"/>
    <n v="602.89849883838303"/>
    <n v="2.1224716191438202"/>
    <n v="9.1111111111111107"/>
    <n v="100.22222222222221"/>
    <n v="145873.55246753013"/>
    <n v="1"/>
    <n v="0.19030323767050231"/>
    <n v="0.59515161883525114"/>
  </r>
  <r>
    <x v="53"/>
    <x v="1"/>
    <n v="93"/>
    <n v="96"/>
    <n v="25"/>
    <n v="30.3414707112142"/>
    <n v="1.0134865660958901"/>
    <n v="83.344058991677898"/>
    <n v="750.73784066827"/>
    <n v="1.41034757607602"/>
    <n v="2.6888888888888891"/>
    <n v="0.72281959378733573"/>
    <n v="394254.68613909255"/>
    <n v="6.9531244520197244E-3"/>
    <n v="0.53478634608344366"/>
    <n v="0.27086973526773167"/>
  </r>
  <r>
    <x v="54"/>
    <x v="0"/>
    <n v="11"/>
    <n v="33"/>
    <n v="22"/>
    <n v="31.1462431602408"/>
    <n v="4.3051034712876302"/>
    <n v="30.186023375822501"/>
    <n v="814.06999658218695"/>
    <n v="2.4787719755397402"/>
    <n v="6.9111111111111114"/>
    <n v="13.822222222222223"/>
    <n v="134653.25867697215"/>
    <n v="0.13769080234833661"/>
    <n v="0.1747416625011545"/>
    <n v="0.15621623242474555"/>
  </r>
  <r>
    <x v="55"/>
    <x v="0"/>
    <n v="16"/>
    <n v="97"/>
    <n v="11"/>
    <n v="79.855058340789398"/>
    <n v="5.0143649550309002"/>
    <n v="30.323545256616502"/>
    <n v="323.01292795247798"/>
    <n v="4.5489196593963799"/>
    <n v="7.7888888888888888"/>
    <n v="5.3548611111111111"/>
    <n v="274767.3324796877"/>
    <n v="5.3182893020221791E-2"/>
    <n v="0.36906774098577777"/>
    <n v="0.21112531700299977"/>
  </r>
  <r>
    <x v="56"/>
    <x v="1"/>
    <n v="90"/>
    <n v="25"/>
    <n v="23"/>
    <n v="20.9863860370433"/>
    <n v="1.77442971407173"/>
    <n v="12.8362845728327"/>
    <n v="832.210808706021"/>
    <n v="1.1737554953874501"/>
    <n v="1.0333333333333334"/>
    <n v="0.26407407407407407"/>
    <n v="216936.25428737749"/>
    <n v="2.3746466623178956E-3"/>
    <n v="0.28886104700675042"/>
    <n v="0.14561784683453416"/>
  </r>
  <r>
    <x v="57"/>
    <x v="0"/>
    <n v="65"/>
    <n v="5"/>
    <n v="18"/>
    <n v="49.263205350734097"/>
    <n v="9.1605585353818704"/>
    <n v="67.779622987078099"/>
    <n v="482.19123860252802"/>
    <n v="2.5111748302126999"/>
    <n v="2.5222222222222221"/>
    <n v="0.69846153846153847"/>
    <n v="149532.59270649264"/>
    <n v="6.7100205730342716E-3"/>
    <n v="0.19537800940011596"/>
    <n v="0.10104401498657511"/>
  </r>
  <r>
    <x v="58"/>
    <x v="1"/>
    <n v="81"/>
    <n v="10"/>
    <n v="5"/>
    <n v="59.841561377289302"/>
    <n v="4.9384385647120901"/>
    <n v="65.047415094691402"/>
    <n v="110.364335231364"/>
    <n v="1.7303747198591899"/>
    <n v="9.9555555555555557"/>
    <n v="0.61454046639231819"/>
    <n v="59679.026939407704"/>
    <n v="5.8724521433806054E-3"/>
    <n v="7.0758900130884261E-2"/>
    <n v="3.831567613713243E-2"/>
  </r>
  <r>
    <x v="59"/>
    <x v="2"/>
    <n v="30"/>
    <n v="100"/>
    <n v="16"/>
    <n v="63.828398347710902"/>
    <n v="7.2937225968677204"/>
    <n v="1.90076224351945"/>
    <n v="312.57427361009297"/>
    <n v="0.44719401546382298"/>
    <n v="5.3777777777777782"/>
    <n v="2.8681481481481486"/>
    <n v="72544.40670076698"/>
    <n v="2.8364427049358563E-2"/>
    <n v="8.8602066983348812E-2"/>
    <n v="5.8483247016353684E-2"/>
  </r>
  <r>
    <x v="60"/>
    <x v="1"/>
    <n v="16"/>
    <n v="41"/>
    <n v="27"/>
    <n v="17.028027920188698"/>
    <n v="4.3813681581023101"/>
    <n v="87.213057815135599"/>
    <n v="430.16909697513597"/>
    <n v="2.8530906166490499"/>
    <n v="4.2222222222222223"/>
    <n v="7.125"/>
    <n v="118332.72213194253"/>
    <n v="7.0849641226353566E-2"/>
    <n v="0.15210649260361692"/>
    <n v="0.11147806691498524"/>
  </r>
  <r>
    <x v="61"/>
    <x v="0"/>
    <n v="23"/>
    <n v="32"/>
    <n v="23"/>
    <n v="52.028749903294901"/>
    <n v="9.0303404225219399"/>
    <n v="78.702393968878894"/>
    <n v="164.366528243419"/>
    <n v="4.3674705382050503"/>
    <n v="1.3"/>
    <n v="1.3"/>
    <n v="89781.898092765274"/>
    <n v="1.2713633398564907E-2"/>
    <n v="0.11250897379298121"/>
    <n v="6.2611303595773063E-2"/>
  </r>
  <r>
    <x v="62"/>
    <x v="2"/>
    <n v="89"/>
    <n v="86"/>
    <n v="2"/>
    <n v="72.796353955587307"/>
    <n v="7.2917013887767697"/>
    <n v="21.048642725168602"/>
    <n v="320.84651575911101"/>
    <n v="1.87400140404437"/>
    <n v="3"/>
    <n v="6.741573033707865E-2"/>
    <n v="212236.56107966861"/>
    <n v="4.1191172482537723E-4"/>
    <n v="0.28234297978945716"/>
    <n v="0.14137744575714126"/>
  </r>
  <r>
    <x v="63"/>
    <x v="1"/>
    <n v="55"/>
    <n v="54"/>
    <n v="19"/>
    <n v="13.0173767852878"/>
    <n v="2.45793352798733"/>
    <n v="20.075003975630398"/>
    <n v="687.28617786641701"/>
    <n v="3.6328432903821302"/>
    <n v="2.7333333333333334"/>
    <n v="0.94424242424242433"/>
    <n v="365017.91300704039"/>
    <n v="9.1630196287730541E-3"/>
    <n v="0.49423747532335177"/>
    <n v="0.2517002474760624"/>
  </r>
  <r>
    <x v="64"/>
    <x v="1"/>
    <n v="11"/>
    <n v="73"/>
    <n v="27"/>
    <n v="89.634095608135297"/>
    <n v="4.5853534681946497"/>
    <n v="8.6930424258772803"/>
    <n v="771.225084681157"/>
    <n v="0.15948631471751401"/>
    <n v="1.4888888888888889"/>
    <n v="3.6545454545454548"/>
    <n v="85138.246768255718"/>
    <n v="3.6213010733558683E-2"/>
    <n v="0.10606863181125817"/>
    <n v="7.1140821272408422E-2"/>
  </r>
  <r>
    <x v="65"/>
    <x v="1"/>
    <n v="72"/>
    <n v="57"/>
    <n v="24"/>
    <n v="33.697717206643098"/>
    <n v="6.5805413478845898"/>
    <n v="1.59722274305067"/>
    <n v="555.85910367174301"/>
    <n v="4.9110959548423301"/>
    <n v="5.0777777777777775"/>
    <n v="1.6925925925925924"/>
    <n v="455791.37685931544"/>
    <n v="1.6631876494890195E-2"/>
    <n v="0.62013240352103893"/>
    <n v="0.31838214000796455"/>
  </r>
  <r>
    <x v="66"/>
    <x v="1"/>
    <n v="52"/>
    <n v="13"/>
    <n v="17"/>
    <n v="26.034869773962001"/>
    <n v="2.2161427287713602"/>
    <n v="42.084436738309897"/>
    <n v="393.84334857842703"/>
    <n v="3.44806328834026"/>
    <n v="7.822222222222222"/>
    <n v="2.5572649572649571"/>
    <n v="134205.28353743558"/>
    <n v="2.5261678960309099E-2"/>
    <n v="0.17412035980284513"/>
    <n v="9.9691019381577109E-2"/>
  </r>
  <r>
    <x v="67"/>
    <x v="1"/>
    <n v="16"/>
    <n v="12"/>
    <n v="9"/>
    <n v="87.755432354001002"/>
    <n v="9.1478115447106294"/>
    <n v="7.0578761469782298"/>
    <n v="169.27180138478599"/>
    <n v="0.131955444311814"/>
    <n v="5.7"/>
    <n v="3.2062500000000003"/>
    <n v="8660.0498033965796"/>
    <n v="3.1738829093281157E-2"/>
    <n v="0"/>
    <n v="1.5869414546640578E-2"/>
  </r>
  <r>
    <x v="68"/>
    <x v="0"/>
    <n v="29"/>
    <n v="0"/>
    <n v="8"/>
    <n v="37.931812382790298"/>
    <n v="1.19425186488499"/>
    <n v="97.113581563462205"/>
    <n v="299.70630311810299"/>
    <n v="1.9834678721741801"/>
    <n v="1.8111111111111111"/>
    <n v="0.49961685823754787"/>
    <n v="37718.291246411376"/>
    <n v="4.7254650561216454E-3"/>
    <n v="4.030126277843607E-2"/>
    <n v="2.2513363917278859E-2"/>
  </r>
  <r>
    <x v="69"/>
    <x v="1"/>
    <n v="62"/>
    <n v="95"/>
    <n v="1"/>
    <n v="54.865528517069698"/>
    <n v="9.7052867901203399"/>
    <n v="77.627765812748095"/>
    <n v="207.66320620857499"/>
    <n v="1.3623879886490999"/>
    <n v="5.677777777777778"/>
    <n v="9.1577060931899643E-2"/>
    <n v="129761.95759933308"/>
    <n v="6.5305220630010731E-4"/>
    <n v="0.16795785177245101"/>
    <n v="8.4305451989375557E-2"/>
  </r>
  <r>
    <x v="70"/>
    <x v="0"/>
    <n v="90"/>
    <n v="10"/>
    <n v="12"/>
    <n v="47.914541824058702"/>
    <n v="6.3157177546007199"/>
    <n v="11.440781823761199"/>
    <n v="183.27289874871099"/>
    <n v="1.8305755986122301"/>
    <n v="0.35555555555555557"/>
    <n v="4.7407407407407412E-2"/>
    <n v="70465.464241417649"/>
    <n v="2.1222004783648623E-4"/>
    <n v="8.5718753947362392E-2"/>
    <n v="4.2965486997599438E-2"/>
  </r>
  <r>
    <x v="71"/>
    <x v="2"/>
    <n v="14"/>
    <n v="76"/>
    <n v="2"/>
    <n v="6.3815331627479601"/>
    <n v="9.2281903170525101"/>
    <n v="30.661677477859499"/>
    <n v="405.167067888855"/>
    <n v="2.07875060787496"/>
    <n v="7.0777777777777775"/>
    <n v="1.0111111111111111"/>
    <n v="125087.98143414142"/>
    <n v="9.8303979125896942E-3"/>
    <n v="0.16147545186456475"/>
    <n v="8.5652924888577217E-2"/>
  </r>
  <r>
    <x v="72"/>
    <x v="2"/>
    <n v="88"/>
    <n v="57"/>
    <n v="29"/>
    <n v="90.204427520528"/>
    <n v="6.5996141596895397"/>
    <n v="55.760492895244198"/>
    <n v="677.94456984618296"/>
    <n v="3.2133296074383"/>
    <n v="5.3111111111111109"/>
    <n v="1.7502525252525252"/>
    <n v="507385.24684148352"/>
    <n v="1.7207347447073477E-2"/>
    <n v="0.69168863021099425"/>
    <n v="0.35444798882903389"/>
  </r>
  <r>
    <x v="73"/>
    <x v="2"/>
    <n v="41"/>
    <n v="17"/>
    <n v="25"/>
    <n v="83.851017681304597"/>
    <n v="1.5129368369160701"/>
    <n v="46.870238797617098"/>
    <n v="866.472800129657"/>
    <n v="4.6205460645137002"/>
    <n v="4.166666666666667"/>
    <n v="2.5406504065040654"/>
    <n v="325570.16237351834"/>
    <n v="2.5095858590679847E-2"/>
    <n v="0.43952686362245152"/>
    <n v="0.23231136110656569"/>
  </r>
  <r>
    <x v="74"/>
    <x v="0"/>
    <n v="64"/>
    <n v="41"/>
    <n v="6"/>
    <n v="3.1700114135661499"/>
    <n v="5.2376546500374399"/>
    <n v="80.580852156447804"/>
    <n v="341.55265678322297"/>
    <n v="0.39661272410993498"/>
    <n v="10.044444444444444"/>
    <n v="0.94166666666666665"/>
    <n v="63136.424742595598"/>
    <n v="9.1373124592302683E-3"/>
    <n v="7.5554011275827879E-2"/>
    <n v="4.2345661867529076E-2"/>
  </r>
  <r>
    <x v="75"/>
    <x v="1"/>
    <n v="29"/>
    <n v="16"/>
    <n v="20"/>
    <n v="92.996884233970604"/>
    <n v="2.47389776104546"/>
    <n v="48.064782640006499"/>
    <n v="873.12964801765099"/>
    <n v="2.0300690886687498"/>
    <n v="1.1777777777777778"/>
    <n v="0.81226053639846751"/>
    <n v="138625.46254726683"/>
    <n v="7.8457835661425654E-3"/>
    <n v="0.18025076504957277"/>
    <n v="9.4048274307857671E-2"/>
  </r>
  <r>
    <x v="76"/>
    <x v="0"/>
    <n v="23"/>
    <n v="38"/>
    <n v="1"/>
    <n v="69.108799547430294"/>
    <n v="7.0545383368369201"/>
    <n v="64.323597795600193"/>
    <n v="997.41345013319403"/>
    <n v="2.1800374515822099"/>
    <n v="2.6777777777777776"/>
    <n v="0.11642512077294685"/>
    <n v="220732.51642637825"/>
    <n v="9.0104654130860197E-4"/>
    <n v="0.2941261336204648"/>
    <n v="0.14751359008088671"/>
  </r>
  <r>
    <x v="77"/>
    <x v="0"/>
    <n v="14"/>
    <n v="96"/>
    <n v="28"/>
    <n v="57.449742958971399"/>
    <n v="6.7809466256178901"/>
    <n v="42.952444748991802"/>
    <n v="852.56809891984994"/>
    <n v="3.0551418183075398"/>
    <n v="3.9888888888888889"/>
    <n v="7.9777777777777779"/>
    <n v="428112.00972520444"/>
    <n v="7.936073059360732E-2"/>
    <n v="0.58174351991979922"/>
    <n v="0.3305521252567033"/>
  </r>
  <r>
    <x v="78"/>
    <x v="0"/>
    <n v="50"/>
    <n v="5"/>
    <n v="4"/>
    <n v="6.30688317611191"/>
    <n v="8.4670497708619905"/>
    <n v="71.126514720403307"/>
    <n v="323.59220343132199"/>
    <n v="4.0968813324704501"/>
    <n v="10.511111111111111"/>
    <n v="0.84088888888888891"/>
    <n v="114792.44970428372"/>
    <n v="8.1315068493150698E-3"/>
    <n v="0.14719644153620701"/>
    <n v="7.766397419276104E-2"/>
  </r>
  <r>
    <x v="79"/>
    <x v="0"/>
    <n v="56"/>
    <n v="31"/>
    <n v="25"/>
    <n v="57.057031221103202"/>
    <n v="6.49632536429504"/>
    <n v="57.870902924036201"/>
    <n v="351.50421933503799"/>
    <n v="0.16587162748060799"/>
    <n v="2.2000000000000002"/>
    <n v="0.98214285714285732"/>
    <n v="47969.528892173003"/>
    <n v="9.5412822663311931E-3"/>
    <n v="5.4518841050549591E-2"/>
    <n v="3.2030061658440391E-2"/>
  </r>
  <r>
    <x v="80"/>
    <x v="1"/>
    <n v="75"/>
    <n v="39"/>
    <n v="14"/>
    <n v="91.128318350444303"/>
    <n v="2.8331846794189701"/>
    <n v="76.961228023819999"/>
    <n v="787.77985049434403"/>
    <n v="2.8496621985053299"/>
    <n v="9.6888888888888882"/>
    <n v="1.8085925925925925"/>
    <n v="420737.64400862023"/>
    <n v="1.7789606436181781E-2"/>
    <n v="0.57151591371206734"/>
    <n v="0.29465276007412455"/>
  </r>
  <r>
    <x v="81"/>
    <x v="0"/>
    <n v="9"/>
    <n v="48"/>
    <n v="6"/>
    <n v="72.819206930318202"/>
    <n v="4.0662775015120403"/>
    <n v="19.789592941903599"/>
    <n v="276.77833594679799"/>
    <n v="2.54754712154871"/>
    <n v="8.6"/>
    <n v="5.7333333333333325"/>
    <n v="75516.084143094224"/>
    <n v="5.6960208741030659E-2"/>
    <n v="9.2723526078898111E-2"/>
    <n v="7.4841867409964388E-2"/>
  </r>
  <r>
    <x v="82"/>
    <x v="1"/>
    <n v="13"/>
    <n v="42"/>
    <n v="19"/>
    <n v="17.034930739467899"/>
    <n v="4.7081818735419301"/>
    <n v="4.4652784349432402"/>
    <n v="589.97855562804"/>
    <n v="4.1378770486223502"/>
    <n v="3.7333333333333334"/>
    <n v="5.4564102564102566"/>
    <n v="174124.1024042998"/>
    <n v="5.4196397210095844E-2"/>
    <n v="0.22948430232198253"/>
    <n v="0.14184034976603918"/>
  </r>
  <r>
    <x v="83"/>
    <x v="0"/>
    <n v="82"/>
    <n v="65"/>
    <n v="24"/>
    <n v="68.911246211606297"/>
    <n v="4.94983957799694"/>
    <n v="97.730593800533001"/>
    <n v="682.97101822609295"/>
    <n v="0.77300613406724705"/>
    <n v="7.3666666666666663"/>
    <n v="2.1560975609756095"/>
    <n v="222726.30106046476"/>
    <n v="2.1257855631393888E-2"/>
    <n v="0.29689134013234214"/>
    <n v="0.15907459788186801"/>
  </r>
  <r>
    <x v="84"/>
    <x v="0"/>
    <n v="99"/>
    <n v="73"/>
    <n v="26"/>
    <n v="89.104367292102197"/>
    <n v="8.3816156249226292"/>
    <n v="33.808636513209002"/>
    <n v="465.45700596368698"/>
    <n v="4.8434565771180402"/>
    <n v="6.8666666666666663"/>
    <n v="1.8033670033670035"/>
    <n v="599779.86017400585"/>
    <n v="1.773745280594596E-2"/>
    <n v="0.81983195225366667"/>
    <n v="0.41878470252980632"/>
  </r>
  <r>
    <x v="85"/>
    <x v="2"/>
    <n v="83"/>
    <n v="15"/>
    <n v="18"/>
    <n v="76.962994415193805"/>
    <n v="8.2491687048717193"/>
    <n v="69.929345518672307"/>
    <n v="842.68683000464102"/>
    <n v="1.3744289997457499"/>
    <n v="0.27777777777777779"/>
    <n v="6.0240963855421693E-2"/>
    <n v="232188.70931621024"/>
    <n v="3.4030446639788129E-4"/>
    <n v="0.31001488039817304"/>
    <n v="0.15517759243228546"/>
  </r>
  <r>
    <x v="86"/>
    <x v="1"/>
    <n v="18"/>
    <n v="32"/>
    <n v="14"/>
    <n v="19.9981769404042"/>
    <n v="1.4543053101535499"/>
    <n v="74.608969995194599"/>
    <n v="264.25488983586598"/>
    <n v="2.0515129307662399"/>
    <n v="2.4777777777777779"/>
    <n v="1.9271604938271605"/>
    <n v="54975.498851422512"/>
    <n v="1.89729651373487E-2"/>
    <n v="6.4235514266967386E-2"/>
    <n v="4.1604239702158041E-2"/>
  </r>
  <r>
    <x v="87"/>
    <x v="0"/>
    <n v="24"/>
    <n v="5"/>
    <n v="7"/>
    <n v="80.414036650355698"/>
    <n v="6.5758037975485299"/>
    <n v="28.696996824143099"/>
    <n v="879.35921773492396"/>
    <n v="3.6937377878392699"/>
    <n v="0.87777777777777777"/>
    <n v="0.25601851851851853"/>
    <n v="135444.07280177181"/>
    <n v="2.2942487497282023E-3"/>
    <n v="0.17583845316259045"/>
    <n v="8.9066350956159321E-2"/>
  </r>
  <r>
    <x v="88"/>
    <x v="2"/>
    <n v="58"/>
    <n v="60"/>
    <n v="18"/>
    <n v="75.270406975724995"/>
    <n v="3.8012531329310701"/>
    <n v="68.1849190570411"/>
    <n v="103.916247960704"/>
    <n v="0.722204401882931"/>
    <n v="8.1888888888888882"/>
    <n v="2.5413793103448277"/>
    <n v="51043.371924235289"/>
    <n v="2.5103133364824441E-2"/>
    <n v="5.8781994965687354E-2"/>
    <n v="4.1942564165255894E-2"/>
  </r>
  <r>
    <x v="89"/>
    <x v="2"/>
    <n v="10"/>
    <n v="90"/>
    <n v="1"/>
    <n v="97.760085581938597"/>
    <n v="9.9298162452772498"/>
    <n v="46.603873381644398"/>
    <n v="517.49997392906005"/>
    <n v="1.9076657339590699"/>
    <n v="1.4888888888888889"/>
    <n v="0.1488888888888889"/>
    <n v="195335.16646562263"/>
    <n v="1.2250489236790608E-3"/>
    <n v="0.25890221008567149"/>
    <n v="0.13006362950467529"/>
  </r>
  <r>
    <x v="90"/>
    <x v="1"/>
    <n v="56"/>
    <n v="66"/>
    <n v="18"/>
    <n v="13.881913501359101"/>
    <n v="7.6744307081126903"/>
    <n v="85.675963335797903"/>
    <n v="990.07847250581096"/>
    <n v="1.2193822244013801"/>
    <n v="3.5555555555555554"/>
    <n v="1.1428571428571428"/>
    <n v="297112.94886650448"/>
    <n v="1.1145280029820149E-2"/>
    <n v="0.4000591745079089"/>
    <n v="0.20560222726886451"/>
  </r>
  <r>
    <x v="91"/>
    <x v="2"/>
    <n v="90"/>
    <n v="98"/>
    <n v="22"/>
    <n v="62.111965463961702"/>
    <n v="7.4715140844011403"/>
    <n v="39.772882502339897"/>
    <n v="996.77831495062298"/>
    <n v="0.62600185820939402"/>
    <n v="10.177777777777777"/>
    <n v="2.487901234567901"/>
    <n v="338132.48356399272"/>
    <n v="2.456939914474161E-2"/>
    <n v="0.45694971449927657"/>
    <n v="0.24075955682200909"/>
  </r>
  <r>
    <x v="92"/>
    <x v="2"/>
    <n v="44"/>
    <n v="90"/>
    <n v="25"/>
    <n v="47.714233075820196"/>
    <n v="4.4695000261236002"/>
    <n v="62.612690395614301"/>
    <n v="230.092782536762"/>
    <n v="0.33343182522473902"/>
    <n v="3.0666666666666669"/>
    <n v="1.7424242424242427"/>
    <n v="61624.756629355703"/>
    <n v="1.7129217814149326E-2"/>
    <n v="7.3457458599543737E-2"/>
    <n v="4.5293338206846528E-2"/>
  </r>
  <r>
    <x v="93"/>
    <x v="0"/>
    <n v="88"/>
    <n v="63"/>
    <n v="17"/>
    <n v="69.290831002905406"/>
    <n v="7.00643205900439"/>
    <n v="35.633652343343797"/>
    <n v="823.52384588815505"/>
    <n v="4.1657817954241398"/>
    <n v="1.2666666666666666"/>
    <n v="0.24469696969696969"/>
    <n v="729685.63162618107"/>
    <n v="2.1812548182411199E-3"/>
    <n v="1"/>
    <n v="0.50109062740912058"/>
  </r>
  <r>
    <x v="94"/>
    <x v="2"/>
    <n v="97"/>
    <n v="77"/>
    <n v="26"/>
    <n v="3.0376887246314102"/>
    <n v="6.9429459420325799"/>
    <n v="60.387378614862101"/>
    <n v="846.66525698669398"/>
    <n v="1.4636074984727701"/>
    <n v="10.966666666666667"/>
    <n v="2.9395189003436424"/>
    <n v="393102.5471308321"/>
    <n v="2.9076737883403609E-2"/>
    <n v="0.53318842912001529"/>
    <n v="0.28113258350170944"/>
  </r>
  <r>
    <x v="95"/>
    <x v="0"/>
    <n v="65"/>
    <n v="15"/>
    <n v="14"/>
    <n v="77.903927219447695"/>
    <n v="8.6303388696027508"/>
    <n v="58.890685768589897"/>
    <n v="778.86424137664699"/>
    <n v="1.21088212958506"/>
    <n v="7.4666666666666668"/>
    <n v="1.6082051282051284"/>
    <n v="163479.55679122222"/>
    <n v="1.5789653269105329E-2"/>
    <n v="0.21472123998213086"/>
    <n v="0.1152554466256181"/>
  </r>
  <r>
    <x v="96"/>
    <x v="2"/>
    <n v="29"/>
    <n v="67"/>
    <n v="2"/>
    <n v="24.423131420373299"/>
    <n v="5.3528780439967996"/>
    <n v="17.803756331391199"/>
    <n v="188.74214114905601"/>
    <n v="3.8720476814821301"/>
    <n v="3.6"/>
    <n v="0.24827586206896551"/>
    <n v="110531.67348613753"/>
    <n v="2.216973704928358E-3"/>
    <n v="0.14128711414816236"/>
    <n v="7.1752043926545356E-2"/>
  </r>
  <r>
    <x v="97"/>
    <x v="0"/>
    <n v="56"/>
    <n v="46"/>
    <n v="19"/>
    <n v="3.5261112591434101"/>
    <n v="7.9048456112096703"/>
    <n v="65.765155926367399"/>
    <n v="540.13242286796697"/>
    <n v="3.3762378347179798"/>
    <n v="0.68888888888888888"/>
    <n v="0.23373015873015873"/>
    <n v="275560.80241113901"/>
    <n v="2.0718013232690338E-3"/>
    <n v="0.37016821502089503"/>
    <n v="0.18612000817208202"/>
  </r>
  <r>
    <x v="98"/>
    <x v="1"/>
    <n v="43"/>
    <n v="53"/>
    <n v="1"/>
    <n v="19.754604866878601"/>
    <n v="1.4098010951380699"/>
    <n v="5.6046908643717801"/>
    <n v="882.19886354704101"/>
    <n v="2.9081221693512598"/>
    <n v="10.144444444444444"/>
    <n v="0.23591731266149868"/>
    <n v="341026.35236787813"/>
    <n v="2.093630061135636E-3"/>
    <n v="0.46096325975597824"/>
    <n v="0.23152844490855692"/>
  </r>
  <r>
    <x v="99"/>
    <x v="0"/>
    <n v="17"/>
    <n v="55"/>
    <n v="8"/>
    <n v="68.517832699276596"/>
    <n v="1.3110237561206199"/>
    <n v="38.072898520625998"/>
    <n v="210.743008964246"/>
    <n v="0.34602729070550298"/>
    <n v="6.9666666666666668"/>
    <n v="3.2784313725490195"/>
    <n v="30881.127477889091"/>
    <n v="3.245923026744945E-2"/>
    <n v="3.0818709120301453E-2"/>
    <n v="3.1638969693875453E-2"/>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1">
  <r>
    <s v="SKU0"/>
    <x v="0"/>
    <n v="2.9007616381163719E-2"/>
  </r>
  <r>
    <s v="SKU10"/>
    <x v="1"/>
    <n v="0.16783057141936827"/>
  </r>
  <r>
    <s v="SKU11"/>
    <x v="1"/>
    <n v="3.1660569885117222E-2"/>
  </r>
  <r>
    <s v="SKU12"/>
    <x v="0"/>
    <n v="0.16446540276252053"/>
  </r>
  <r>
    <s v="SKU13"/>
    <x v="1"/>
    <n v="0.11998057514793647"/>
  </r>
  <r>
    <s v="SKU14"/>
    <x v="1"/>
    <n v="9.1895629535862999E-2"/>
  </r>
  <r>
    <s v="SKU15"/>
    <x v="1"/>
    <n v="5.7724455734777462E-2"/>
  </r>
  <r>
    <s v="SKU16"/>
    <x v="1"/>
    <n v="9.6140889200355975E-2"/>
  </r>
  <r>
    <s v="SKU17"/>
    <x v="2"/>
    <n v="7.33110510079409E-2"/>
  </r>
  <r>
    <s v="SKU18"/>
    <x v="0"/>
    <n v="5.7725659972714005E-2"/>
  </r>
  <r>
    <s v="SKU19"/>
    <x v="1"/>
    <n v="0.28854244273923824"/>
  </r>
  <r>
    <s v="SKU2"/>
    <x v="0"/>
    <n v="1.9997977961225658E-2"/>
  </r>
  <r>
    <s v="SKU20"/>
    <x v="1"/>
    <n v="0.12171308246281569"/>
  </r>
  <r>
    <s v="SKU21"/>
    <x v="2"/>
    <n v="6.9349003002055015E-2"/>
  </r>
  <r>
    <s v="SKU22"/>
    <x v="0"/>
    <n v="8.6676968601622814E-2"/>
  </r>
  <r>
    <s v="SKU23"/>
    <x v="2"/>
    <n v="5.3433009080757411E-2"/>
  </r>
  <r>
    <s v="SKU24"/>
    <x v="0"/>
    <n v="9.8495542922716756E-2"/>
  </r>
  <r>
    <s v="SKU25"/>
    <x v="0"/>
    <n v="0.29343607531845484"/>
  </r>
  <r>
    <s v="SKU26"/>
    <x v="0"/>
    <n v="0.13718345095361131"/>
  </r>
  <r>
    <s v="SKU27"/>
    <x v="2"/>
    <n v="0.20626126673347203"/>
  </r>
  <r>
    <s v="SKU28"/>
    <x v="2"/>
    <n v="3.5916001744075068E-2"/>
  </r>
  <r>
    <s v="SKU29"/>
    <x v="2"/>
    <n v="0.1594458886947627"/>
  </r>
  <r>
    <s v="SKU3"/>
    <x v="1"/>
    <n v="0.12286234610157126"/>
  </r>
  <r>
    <s v="SKU30"/>
    <x v="0"/>
    <n v="0.13151431891455861"/>
  </r>
  <r>
    <s v="SKU31"/>
    <x v="1"/>
    <n v="6.7533244657762961E-2"/>
  </r>
  <r>
    <s v="SKU32"/>
    <x v="1"/>
    <n v="0.24336841706408549"/>
  </r>
  <r>
    <s v="SKU33"/>
    <x v="2"/>
    <n v="0.10113821616755628"/>
  </r>
  <r>
    <s v="SKU34"/>
    <x v="1"/>
    <n v="6.4885169926355388E-2"/>
  </r>
  <r>
    <s v="SKU35"/>
    <x v="2"/>
    <n v="9.4715929644440561E-2"/>
  </r>
  <r>
    <s v="SKU36"/>
    <x v="1"/>
    <n v="0.10991479052476619"/>
  </r>
  <r>
    <s v="SKU37"/>
    <x v="1"/>
    <n v="9.7563417423523202E-2"/>
  </r>
  <r>
    <s v="SKU38"/>
    <x v="2"/>
    <n v="5.9940749660009271E-2"/>
  </r>
  <r>
    <s v="SKU39"/>
    <x v="1"/>
    <n v="0.12629966280468483"/>
  </r>
  <r>
    <s v="SKU4"/>
    <x v="1"/>
    <n v="9.0711571113785E-2"/>
  </r>
  <r>
    <s v="SKU41"/>
    <x v="1"/>
    <n v="4.4740023369875953E-2"/>
  </r>
  <r>
    <s v="SKU43"/>
    <x v="0"/>
    <n v="0.18441058209193434"/>
  </r>
  <r>
    <s v="SKU44"/>
    <x v="2"/>
    <n v="0.11170472383318153"/>
  </r>
  <r>
    <s v="SKU45"/>
    <x v="0"/>
    <n v="0.16838186321585313"/>
  </r>
  <r>
    <s v="SKU46"/>
    <x v="0"/>
    <n v="0.27548264668171463"/>
  </r>
  <r>
    <s v="SKU47"/>
    <x v="1"/>
    <n v="6.7565384116522437E-2"/>
  </r>
  <r>
    <s v="SKU48"/>
    <x v="0"/>
    <n v="8.9727671849289092E-2"/>
  </r>
  <r>
    <s v="SKU49"/>
    <x v="2"/>
    <n v="0.13388277018496567"/>
  </r>
  <r>
    <s v="SKU5"/>
    <x v="0"/>
    <n v="0.13479795851758411"/>
  </r>
  <r>
    <s v="SKU50"/>
    <x v="2"/>
    <n v="0.27629471955573548"/>
  </r>
  <r>
    <s v="SKU51"/>
    <x v="0"/>
    <n v="0.22372417341904896"/>
  </r>
  <r>
    <s v="SKU53"/>
    <x v="1"/>
    <n v="0.27086973526773167"/>
  </r>
  <r>
    <s v="SKU54"/>
    <x v="0"/>
    <n v="0.15621623242474555"/>
  </r>
  <r>
    <s v="SKU55"/>
    <x v="0"/>
    <n v="0.21112531700299977"/>
  </r>
  <r>
    <s v="SKU56"/>
    <x v="1"/>
    <n v="0.14561784683453416"/>
  </r>
  <r>
    <s v="SKU57"/>
    <x v="0"/>
    <n v="0.10104401498657511"/>
  </r>
  <r>
    <s v="SKU58"/>
    <x v="1"/>
    <n v="3.831567613713243E-2"/>
  </r>
  <r>
    <s v="SKU59"/>
    <x v="2"/>
    <n v="5.8483247016353684E-2"/>
  </r>
  <r>
    <s v="SKU6"/>
    <x v="1"/>
    <n v="6.7309787553969692E-3"/>
  </r>
  <r>
    <s v="SKU60"/>
    <x v="1"/>
    <n v="0.11147806691498524"/>
  </r>
  <r>
    <s v="SKU61"/>
    <x v="0"/>
    <n v="6.2611303595773063E-2"/>
  </r>
  <r>
    <s v="SKU62"/>
    <x v="2"/>
    <n v="0.14137744575714126"/>
  </r>
  <r>
    <s v="SKU63"/>
    <x v="1"/>
    <n v="0.2517002474760624"/>
  </r>
  <r>
    <s v="SKU64"/>
    <x v="1"/>
    <n v="7.1140821272408422E-2"/>
  </r>
  <r>
    <s v="SKU66"/>
    <x v="1"/>
    <n v="9.9691019381577109E-2"/>
  </r>
  <r>
    <s v="SKU67"/>
    <x v="1"/>
    <n v="1.5869414546640578E-2"/>
  </r>
  <r>
    <s v="SKU68"/>
    <x v="0"/>
    <n v="2.2513363917278859E-2"/>
  </r>
  <r>
    <s v="SKU69"/>
    <x v="1"/>
    <n v="8.4305451989375557E-2"/>
  </r>
  <r>
    <s v="SKU7"/>
    <x v="2"/>
    <n v="0.14020939842063185"/>
  </r>
  <r>
    <s v="SKU70"/>
    <x v="0"/>
    <n v="4.2965486997599438E-2"/>
  </r>
  <r>
    <s v="SKU71"/>
    <x v="2"/>
    <n v="8.5652924888577217E-2"/>
  </r>
  <r>
    <s v="SKU73"/>
    <x v="2"/>
    <n v="0.23231136110656569"/>
  </r>
  <r>
    <s v="SKU74"/>
    <x v="0"/>
    <n v="4.2345661867529076E-2"/>
  </r>
  <r>
    <s v="SKU75"/>
    <x v="1"/>
    <n v="9.4048274307857671E-2"/>
  </r>
  <r>
    <s v="SKU76"/>
    <x v="0"/>
    <n v="0.14751359008088671"/>
  </r>
  <r>
    <s v="SKU78"/>
    <x v="0"/>
    <n v="7.766397419276104E-2"/>
  </r>
  <r>
    <s v="SKU79"/>
    <x v="0"/>
    <n v="3.2030061658440391E-2"/>
  </r>
  <r>
    <s v="SKU8"/>
    <x v="2"/>
    <n v="0.12072045333578466"/>
  </r>
  <r>
    <s v="SKU80"/>
    <x v="1"/>
    <n v="0.29465276007412455"/>
  </r>
  <r>
    <s v="SKU81"/>
    <x v="0"/>
    <n v="7.4841867409964388E-2"/>
  </r>
  <r>
    <s v="SKU82"/>
    <x v="1"/>
    <n v="0.14184034976603918"/>
  </r>
  <r>
    <s v="SKU83"/>
    <x v="0"/>
    <n v="0.15907459788186801"/>
  </r>
  <r>
    <s v="SKU85"/>
    <x v="2"/>
    <n v="0.15517759243228546"/>
  </r>
  <r>
    <s v="SKU86"/>
    <x v="1"/>
    <n v="4.1604239702158041E-2"/>
  </r>
  <r>
    <s v="SKU87"/>
    <x v="0"/>
    <n v="8.9066350956159321E-2"/>
  </r>
  <r>
    <s v="SKU88"/>
    <x v="2"/>
    <n v="4.1942564165255894E-2"/>
  </r>
  <r>
    <s v="SKU89"/>
    <x v="2"/>
    <n v="0.13006362950467529"/>
  </r>
  <r>
    <s v="SKU9"/>
    <x v="1"/>
    <n v="0.21934134115687237"/>
  </r>
  <r>
    <s v="SKU90"/>
    <x v="1"/>
    <n v="0.20560222726886451"/>
  </r>
  <r>
    <s v="SKU91"/>
    <x v="2"/>
    <n v="0.24075955682200909"/>
  </r>
  <r>
    <s v="SKU92"/>
    <x v="2"/>
    <n v="4.5293338206846528E-2"/>
  </r>
  <r>
    <s v="SKU94"/>
    <x v="2"/>
    <n v="0.28113258350170944"/>
  </r>
  <r>
    <s v="SKU95"/>
    <x v="0"/>
    <n v="0.1152554466256181"/>
  </r>
  <r>
    <s v="SKU96"/>
    <x v="2"/>
    <n v="7.1752043926545356E-2"/>
  </r>
  <r>
    <s v="SKU97"/>
    <x v="0"/>
    <n v="0.18612000817208202"/>
  </r>
  <r>
    <s v="SKU98"/>
    <x v="1"/>
    <n v="0.23152844490855692"/>
  </r>
  <r>
    <s v="SKU99"/>
    <x v="0"/>
    <n v="3.1638969693875453E-2"/>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
  <r>
    <x v="0"/>
    <x v="0"/>
    <n v="69.808005542115694"/>
    <n v="55"/>
    <n v="802"/>
    <n v="8661.9967923923796"/>
    <x v="0"/>
    <n v="58"/>
    <n v="7"/>
    <n v="96"/>
    <n v="4"/>
    <x v="0"/>
    <n v="2.9565721394308002"/>
    <x v="0"/>
    <s v="Mumbai"/>
    <n v="29"/>
    <n v="215"/>
    <n v="29"/>
    <n v="46.279879240508301"/>
    <x v="0"/>
    <n v="0.226410360849925"/>
    <x v="0"/>
    <x v="0"/>
    <n v="187.75207545920301"/>
    <m/>
    <m/>
    <m/>
  </r>
  <r>
    <x v="1"/>
    <x v="1"/>
    <n v="14.8435232750843"/>
    <n v="95"/>
    <n v="736"/>
    <n v="7460.9000654458396"/>
    <x v="1"/>
    <n v="53"/>
    <n v="30"/>
    <n v="37"/>
    <n v="2"/>
    <x v="1"/>
    <n v="9.7165747714313095"/>
    <x v="0"/>
    <s v="Mumbai"/>
    <n v="23"/>
    <n v="517"/>
    <n v="30"/>
    <n v="33.616768953730002"/>
    <x v="0"/>
    <n v="4.8540680263886999"/>
    <x v="0"/>
    <x v="0"/>
    <n v="503.06557914966902"/>
    <m/>
    <m/>
    <m/>
  </r>
  <r>
    <x v="0"/>
    <x v="2"/>
    <n v="11.319683293090501"/>
    <n v="34"/>
    <n v="8"/>
    <n v="9577.7496258687297"/>
    <x v="2"/>
    <n v="1"/>
    <n v="10"/>
    <n v="88"/>
    <n v="2"/>
    <x v="0"/>
    <n v="8.0544792617321495"/>
    <x v="1"/>
    <s v="Mumbai"/>
    <n v="12"/>
    <n v="971"/>
    <n v="27"/>
    <n v="30.6880193482842"/>
    <x v="0"/>
    <n v="4.5805926191992201"/>
    <x v="1"/>
    <x v="1"/>
    <n v="141.920281771519"/>
    <m/>
    <m/>
    <m/>
  </r>
  <r>
    <x v="1"/>
    <x v="3"/>
    <n v="61.1633430164377"/>
    <n v="68"/>
    <n v="83"/>
    <n v="7766.8364256852301"/>
    <x v="0"/>
    <n v="23"/>
    <n v="13"/>
    <n v="59"/>
    <n v="6"/>
    <x v="2"/>
    <n v="1.7295685635434199"/>
    <x v="2"/>
    <s v="Kolkata"/>
    <n v="24"/>
    <n v="937"/>
    <n v="18"/>
    <n v="35.624741397125"/>
    <x v="1"/>
    <n v="4.7466486206477496"/>
    <x v="2"/>
    <x v="2"/>
    <n v="254.776159219286"/>
    <m/>
    <m/>
    <m/>
  </r>
  <r>
    <x v="1"/>
    <x v="4"/>
    <n v="4.8054960363458896"/>
    <n v="26"/>
    <n v="871"/>
    <n v="2686.50515156744"/>
    <x v="0"/>
    <n v="5"/>
    <n v="3"/>
    <n v="56"/>
    <n v="8"/>
    <x v="1"/>
    <n v="3.8905479158706702"/>
    <x v="1"/>
    <s v="Delhi"/>
    <n v="5"/>
    <n v="414"/>
    <n v="3"/>
    <n v="92.065160598712794"/>
    <x v="1"/>
    <n v="3.1455795228330001"/>
    <x v="1"/>
    <x v="2"/>
    <n v="923.44063171192204"/>
    <m/>
    <m/>
    <m/>
  </r>
  <r>
    <x v="0"/>
    <x v="5"/>
    <n v="1.6999760138659299"/>
    <n v="87"/>
    <n v="147"/>
    <n v="2828.3487459757498"/>
    <x v="0"/>
    <n v="90"/>
    <n v="27"/>
    <n v="66"/>
    <n v="3"/>
    <x v="0"/>
    <n v="4.4440988643822896"/>
    <x v="3"/>
    <s v="Bangalore"/>
    <n v="10"/>
    <n v="104"/>
    <n v="17"/>
    <n v="56.766475557431797"/>
    <x v="1"/>
    <n v="2.7791935115711599"/>
    <x v="0"/>
    <x v="2"/>
    <n v="235.461236735537"/>
    <m/>
    <m/>
    <m/>
  </r>
  <r>
    <x v="1"/>
    <x v="6"/>
    <n v="4.0783328631079403"/>
    <n v="48"/>
    <n v="65"/>
    <n v="7823.4765595317303"/>
    <x v="3"/>
    <n v="11"/>
    <n v="15"/>
    <n v="58"/>
    <n v="8"/>
    <x v="2"/>
    <n v="3.8807633029519999"/>
    <x v="0"/>
    <s v="Kolkata"/>
    <n v="14"/>
    <n v="314"/>
    <n v="24"/>
    <n v="1.0850685695870601"/>
    <x v="0"/>
    <n v="1.0009106193041299"/>
    <x v="3"/>
    <x v="2"/>
    <n v="134.36909686103101"/>
    <m/>
    <m/>
    <m/>
  </r>
  <r>
    <x v="2"/>
    <x v="7"/>
    <n v="42.958384382459997"/>
    <n v="59"/>
    <n v="426"/>
    <n v="8496.1038130898305"/>
    <x v="1"/>
    <n v="93"/>
    <n v="17"/>
    <n v="11"/>
    <n v="1"/>
    <x v="0"/>
    <n v="2.3483387844177801"/>
    <x v="3"/>
    <s v="Bangalore"/>
    <n v="22"/>
    <n v="564"/>
    <n v="1"/>
    <n v="99.466108603599096"/>
    <x v="1"/>
    <n v="0.39817718685065001"/>
    <x v="0"/>
    <x v="1"/>
    <n v="802.05631181755803"/>
    <m/>
    <m/>
    <m/>
  </r>
  <r>
    <x v="2"/>
    <x v="8"/>
    <n v="68.717596748527299"/>
    <n v="78"/>
    <n v="150"/>
    <n v="7517.3632106311197"/>
    <x v="1"/>
    <n v="5"/>
    <n v="10"/>
    <n v="15"/>
    <n v="7"/>
    <x v="2"/>
    <n v="3.4047338570830199"/>
    <x v="3"/>
    <s v="Mumbai"/>
    <n v="13"/>
    <n v="769"/>
    <n v="8"/>
    <n v="11.423027139565599"/>
    <x v="0"/>
    <n v="2.7098626911099601"/>
    <x v="3"/>
    <x v="0"/>
    <n v="505.55713422546398"/>
    <m/>
    <m/>
    <m/>
  </r>
  <r>
    <x v="1"/>
    <x v="9"/>
    <n v="64.0157329412785"/>
    <n v="35"/>
    <n v="980"/>
    <n v="4971.1459875855498"/>
    <x v="2"/>
    <n v="14"/>
    <n v="27"/>
    <n v="83"/>
    <n v="1"/>
    <x v="1"/>
    <n v="7.1666452910482104"/>
    <x v="4"/>
    <s v="Chennai"/>
    <n v="29"/>
    <n v="963"/>
    <n v="23"/>
    <n v="47.957601634951502"/>
    <x v="0"/>
    <n v="3.8446144787675798"/>
    <x v="2"/>
    <x v="0"/>
    <n v="995.92946149864099"/>
    <m/>
    <m/>
    <m/>
  </r>
  <r>
    <x v="1"/>
    <x v="10"/>
    <n v="15.707795681912099"/>
    <n v="11"/>
    <n v="996"/>
    <n v="2330.9658020919401"/>
    <x v="0"/>
    <n v="51"/>
    <n v="13"/>
    <n v="80"/>
    <n v="2"/>
    <x v="2"/>
    <n v="8.6732112112786108"/>
    <x v="2"/>
    <s v="Kolkata"/>
    <n v="18"/>
    <n v="830"/>
    <n v="5"/>
    <n v="96.527352785310896"/>
    <x v="2"/>
    <n v="1.72731392835594"/>
    <x v="0"/>
    <x v="0"/>
    <n v="806.10317770292295"/>
    <m/>
    <m/>
    <m/>
  </r>
  <r>
    <x v="1"/>
    <x v="11"/>
    <n v="90.635459982288594"/>
    <n v="95"/>
    <n v="960"/>
    <n v="6099.9441155814502"/>
    <x v="1"/>
    <n v="46"/>
    <n v="23"/>
    <n v="60"/>
    <n v="1"/>
    <x v="1"/>
    <n v="4.5239431243166601"/>
    <x v="4"/>
    <s v="Kolkata"/>
    <n v="28"/>
    <n v="362"/>
    <n v="11"/>
    <n v="27.5923630866636"/>
    <x v="0"/>
    <n v="2.1169821372994301E-2"/>
    <x v="1"/>
    <x v="2"/>
    <n v="126.72303340940699"/>
    <m/>
    <m/>
    <m/>
  </r>
  <r>
    <x v="0"/>
    <x v="12"/>
    <n v="71.213389075359999"/>
    <n v="41"/>
    <n v="336"/>
    <n v="2873.74144602144"/>
    <x v="2"/>
    <n v="100"/>
    <n v="30"/>
    <n v="85"/>
    <n v="4"/>
    <x v="1"/>
    <n v="1.32527401018452"/>
    <x v="3"/>
    <s v="Kolkata"/>
    <n v="3"/>
    <n v="563"/>
    <n v="3"/>
    <n v="32.321286213424003"/>
    <x v="1"/>
    <n v="2.1612537475559099"/>
    <x v="0"/>
    <x v="0"/>
    <n v="402.96878907376998"/>
    <m/>
    <m/>
    <m/>
  </r>
  <r>
    <x v="1"/>
    <x v="13"/>
    <n v="16.160393317379899"/>
    <n v="5"/>
    <n v="249"/>
    <n v="4052.7384162378598"/>
    <x v="3"/>
    <n v="80"/>
    <n v="8"/>
    <n v="48"/>
    <n v="9"/>
    <x v="1"/>
    <n v="9.5372830611083295"/>
    <x v="2"/>
    <s v="Bangalore"/>
    <n v="23"/>
    <n v="173"/>
    <n v="10"/>
    <n v="97.829050110173199"/>
    <x v="0"/>
    <n v="1.63107423007153"/>
    <x v="0"/>
    <x v="0"/>
    <n v="547.24100516096803"/>
    <m/>
    <m/>
    <m/>
  </r>
  <r>
    <x v="1"/>
    <x v="14"/>
    <n v="99.171328638624104"/>
    <n v="26"/>
    <n v="562"/>
    <n v="8653.5709264697998"/>
    <x v="0"/>
    <n v="54"/>
    <n v="29"/>
    <n v="78"/>
    <n v="5"/>
    <x v="0"/>
    <n v="2.0397701894493299"/>
    <x v="1"/>
    <s v="Kolkata"/>
    <n v="25"/>
    <n v="558"/>
    <n v="14"/>
    <n v="5.7914366298629796"/>
    <x v="0"/>
    <n v="0.100682851565093"/>
    <x v="1"/>
    <x v="0"/>
    <n v="929.23528996088896"/>
    <m/>
    <m/>
    <m/>
  </r>
  <r>
    <x v="1"/>
    <x v="15"/>
    <n v="36.989244928626903"/>
    <n v="94"/>
    <n v="469"/>
    <n v="5442.0867853976697"/>
    <x v="0"/>
    <n v="9"/>
    <n v="8"/>
    <n v="69"/>
    <n v="7"/>
    <x v="0"/>
    <n v="2.4220397232752"/>
    <x v="1"/>
    <s v="Bangalore"/>
    <n v="14"/>
    <n v="580"/>
    <n v="7"/>
    <n v="97.121281751474299"/>
    <x v="2"/>
    <n v="2.2644057611985402"/>
    <x v="3"/>
    <x v="0"/>
    <n v="127.861800001625"/>
    <m/>
    <m/>
    <m/>
  </r>
  <r>
    <x v="1"/>
    <x v="16"/>
    <n v="7.5471721097912701"/>
    <n v="74"/>
    <n v="280"/>
    <n v="6453.7979681762799"/>
    <x v="1"/>
    <n v="2"/>
    <n v="5"/>
    <n v="78"/>
    <n v="1"/>
    <x v="0"/>
    <n v="4.1913245857054999"/>
    <x v="1"/>
    <s v="Bangalore"/>
    <n v="3"/>
    <n v="399"/>
    <n v="21"/>
    <n v="77.106342497849994"/>
    <x v="2"/>
    <n v="1.01256308925804"/>
    <x v="1"/>
    <x v="2"/>
    <n v="865.52577977123997"/>
    <m/>
    <m/>
    <m/>
  </r>
  <r>
    <x v="2"/>
    <x v="17"/>
    <n v="81.462534369237005"/>
    <n v="82"/>
    <n v="126"/>
    <n v="2629.39643484526"/>
    <x v="1"/>
    <n v="45"/>
    <n v="17"/>
    <n v="85"/>
    <n v="9"/>
    <x v="2"/>
    <n v="3.5854189582323399"/>
    <x v="1"/>
    <s v="Chennai"/>
    <n v="7"/>
    <n v="453"/>
    <n v="16"/>
    <n v="47.679680368355299"/>
    <x v="1"/>
    <n v="0.102020754918176"/>
    <x v="1"/>
    <x v="1"/>
    <n v="670.93439079241"/>
    <m/>
    <m/>
    <m/>
  </r>
  <r>
    <x v="0"/>
    <x v="18"/>
    <n v="36.4436277704609"/>
    <n v="23"/>
    <n v="620"/>
    <n v="9364.6735050761708"/>
    <x v="2"/>
    <n v="10"/>
    <n v="10"/>
    <n v="46"/>
    <n v="8"/>
    <x v="2"/>
    <n v="4.3392247141107001"/>
    <x v="4"/>
    <s v="Kolkata"/>
    <n v="18"/>
    <n v="374"/>
    <n v="17"/>
    <n v="27.107980854843898"/>
    <x v="0"/>
    <n v="2.2319391107292601"/>
    <x v="3"/>
    <x v="2"/>
    <n v="593.48025872065102"/>
    <m/>
    <m/>
    <m/>
  </r>
  <r>
    <x v="1"/>
    <x v="19"/>
    <n v="51.123870087964697"/>
    <n v="100"/>
    <n v="187"/>
    <n v="2553.4955849912099"/>
    <x v="2"/>
    <n v="48"/>
    <n v="11"/>
    <n v="94"/>
    <n v="3"/>
    <x v="1"/>
    <n v="4.7426358828418698"/>
    <x v="3"/>
    <s v="Chennai"/>
    <n v="20"/>
    <n v="694"/>
    <n v="16"/>
    <n v="82.373320587990193"/>
    <x v="1"/>
    <n v="3.64645086541702"/>
    <x v="0"/>
    <x v="1"/>
    <n v="477.30763109090299"/>
    <m/>
    <m/>
    <m/>
  </r>
  <r>
    <x v="1"/>
    <x v="20"/>
    <n v="96.341072439963298"/>
    <n v="22"/>
    <n v="320"/>
    <n v="8128.0276968511898"/>
    <x v="2"/>
    <n v="27"/>
    <n v="12"/>
    <n v="68"/>
    <n v="6"/>
    <x v="1"/>
    <n v="8.8783346509268402"/>
    <x v="1"/>
    <s v="Chennai"/>
    <n v="29"/>
    <n v="309"/>
    <n v="6"/>
    <n v="65.686259608488598"/>
    <x v="2"/>
    <n v="4.2314165735345304"/>
    <x v="1"/>
    <x v="0"/>
    <n v="493.871215316205"/>
    <m/>
    <m/>
    <m/>
  </r>
  <r>
    <x v="2"/>
    <x v="21"/>
    <n v="84.893868984950799"/>
    <n v="60"/>
    <n v="601"/>
    <n v="7087.0526963574302"/>
    <x v="2"/>
    <n v="69"/>
    <n v="25"/>
    <n v="7"/>
    <n v="6"/>
    <x v="0"/>
    <n v="6.0378837692182898"/>
    <x v="2"/>
    <s v="Chennai"/>
    <n v="19"/>
    <n v="791"/>
    <n v="4"/>
    <n v="61.735728954160898"/>
    <x v="0"/>
    <n v="1.8607567631014899E-2"/>
    <x v="1"/>
    <x v="1"/>
    <n v="523.36091472015801"/>
    <m/>
    <m/>
    <m/>
  </r>
  <r>
    <x v="0"/>
    <x v="22"/>
    <n v="27.679780886501899"/>
    <n v="55"/>
    <n v="884"/>
    <n v="2390.8078665561702"/>
    <x v="2"/>
    <n v="71"/>
    <n v="1"/>
    <n v="63"/>
    <n v="10"/>
    <x v="1"/>
    <n v="9.5676489209230393"/>
    <x v="3"/>
    <s v="Kolkata"/>
    <n v="22"/>
    <n v="780"/>
    <n v="28"/>
    <n v="50.120839612977299"/>
    <x v="1"/>
    <n v="2.5912754732111098"/>
    <x v="2"/>
    <x v="1"/>
    <n v="205.57199582694699"/>
    <m/>
    <m/>
    <m/>
  </r>
  <r>
    <x v="2"/>
    <x v="23"/>
    <n v="4.3243411858641601"/>
    <n v="30"/>
    <n v="391"/>
    <n v="8858.3675710114803"/>
    <x v="2"/>
    <n v="84"/>
    <n v="5"/>
    <n v="29"/>
    <n v="7"/>
    <x v="1"/>
    <n v="2.92485760114555"/>
    <x v="2"/>
    <s v="Kolkata"/>
    <n v="11"/>
    <n v="568"/>
    <n v="29"/>
    <n v="98.6099572427038"/>
    <x v="0"/>
    <n v="1.3422915627227301"/>
    <x v="2"/>
    <x v="2"/>
    <n v="196.329446112412"/>
    <m/>
    <m/>
    <m/>
  </r>
  <r>
    <x v="0"/>
    <x v="24"/>
    <n v="4.1563083593111001"/>
    <n v="32"/>
    <n v="209"/>
    <n v="9049.0778609398894"/>
    <x v="3"/>
    <n v="4"/>
    <n v="26"/>
    <n v="2"/>
    <n v="8"/>
    <x v="2"/>
    <n v="9.7412916892843597"/>
    <x v="4"/>
    <s v="Bangalore"/>
    <n v="28"/>
    <n v="447"/>
    <n v="3"/>
    <n v="40.382359702924802"/>
    <x v="0"/>
    <n v="3.69131029262872"/>
    <x v="1"/>
    <x v="2"/>
    <n v="758.72477260293795"/>
    <m/>
    <m/>
    <m/>
  </r>
  <r>
    <x v="0"/>
    <x v="25"/>
    <n v="39.629343985092603"/>
    <n v="73"/>
    <n v="142"/>
    <n v="2174.7770543506499"/>
    <x v="3"/>
    <n v="82"/>
    <n v="11"/>
    <n v="52"/>
    <n v="3"/>
    <x v="2"/>
    <n v="2.2310736812817198"/>
    <x v="3"/>
    <s v="Kolkata"/>
    <n v="19"/>
    <n v="934"/>
    <n v="23"/>
    <n v="78.280383118415301"/>
    <x v="0"/>
    <n v="3.79723121711418"/>
    <x v="0"/>
    <x v="0"/>
    <n v="458.53594573920901"/>
    <m/>
    <m/>
    <m/>
  </r>
  <r>
    <x v="0"/>
    <x v="26"/>
    <n v="97.446946617892806"/>
    <n v="9"/>
    <n v="353"/>
    <n v="3716.49332589403"/>
    <x v="3"/>
    <n v="59"/>
    <n v="16"/>
    <n v="48"/>
    <n v="4"/>
    <x v="0"/>
    <n v="6.5075486210785503"/>
    <x v="4"/>
    <s v="Bangalore"/>
    <n v="26"/>
    <n v="171"/>
    <n v="4"/>
    <n v="15.972229757181699"/>
    <x v="2"/>
    <n v="2.1193197367249201"/>
    <x v="2"/>
    <x v="2"/>
    <n v="617.86691645837698"/>
    <m/>
    <m/>
    <m/>
  </r>
  <r>
    <x v="2"/>
    <x v="27"/>
    <n v="92.557360812401996"/>
    <n v="42"/>
    <n v="352"/>
    <n v="2686.4572235759802"/>
    <x v="2"/>
    <n v="47"/>
    <n v="9"/>
    <n v="62"/>
    <n v="8"/>
    <x v="2"/>
    <n v="7.4067509529980704"/>
    <x v="2"/>
    <s v="Mumbai"/>
    <n v="25"/>
    <n v="291"/>
    <n v="4"/>
    <n v="10.5282450700421"/>
    <x v="1"/>
    <n v="2.8646678378833701"/>
    <x v="3"/>
    <x v="0"/>
    <n v="762.45918215568304"/>
    <m/>
    <m/>
    <m/>
  </r>
  <r>
    <x v="2"/>
    <x v="28"/>
    <n v="2.3972747055971402"/>
    <n v="12"/>
    <n v="394"/>
    <n v="6117.3246150839896"/>
    <x v="1"/>
    <n v="48"/>
    <n v="15"/>
    <n v="24"/>
    <n v="4"/>
    <x v="0"/>
    <n v="9.8981405080692202"/>
    <x v="1"/>
    <s v="Mumbai"/>
    <n v="13"/>
    <n v="171"/>
    <n v="7"/>
    <n v="59.429381810691503"/>
    <x v="1"/>
    <n v="0.81575707929567198"/>
    <x v="1"/>
    <x v="2"/>
    <n v="123.437027511827"/>
    <m/>
    <m/>
    <m/>
  </r>
  <r>
    <x v="2"/>
    <x v="29"/>
    <n v="63.447559185207297"/>
    <n v="3"/>
    <n v="253"/>
    <n v="8318.9031946171708"/>
    <x v="1"/>
    <n v="45"/>
    <n v="5"/>
    <n v="67"/>
    <n v="7"/>
    <x v="0"/>
    <n v="8.1009731453970293"/>
    <x v="1"/>
    <s v="Kolkata"/>
    <n v="16"/>
    <n v="329"/>
    <n v="7"/>
    <n v="39.292875586065698"/>
    <x v="2"/>
    <n v="3.8780989365884802"/>
    <x v="0"/>
    <x v="0"/>
    <n v="764.93537594070801"/>
    <m/>
    <m/>
    <m/>
  </r>
  <r>
    <x v="0"/>
    <x v="30"/>
    <n v="8.0228592105263896"/>
    <n v="10"/>
    <n v="327"/>
    <n v="2766.3423668660798"/>
    <x v="3"/>
    <n v="60"/>
    <n v="26"/>
    <n v="35"/>
    <n v="7"/>
    <x v="0"/>
    <n v="8.9545283153180097"/>
    <x v="3"/>
    <s v="Kolkata"/>
    <n v="27"/>
    <n v="806"/>
    <n v="30"/>
    <n v="51.634893400109299"/>
    <x v="0"/>
    <n v="0.96539470535239302"/>
    <x v="0"/>
    <x v="1"/>
    <n v="880.08098824716103"/>
    <m/>
    <m/>
    <m/>
  </r>
  <r>
    <x v="1"/>
    <x v="31"/>
    <n v="50.847393051718697"/>
    <n v="28"/>
    <n v="168"/>
    <n v="9655.1351027193905"/>
    <x v="3"/>
    <n v="6"/>
    <n v="17"/>
    <n v="44"/>
    <n v="4"/>
    <x v="0"/>
    <n v="2.6796609649813998"/>
    <x v="0"/>
    <s v="Chennai"/>
    <n v="24"/>
    <n v="461"/>
    <n v="8"/>
    <n v="60.251145661598002"/>
    <x v="0"/>
    <n v="2.9890000066550702"/>
    <x v="2"/>
    <x v="1"/>
    <n v="609.379206618426"/>
    <m/>
    <m/>
    <m/>
  </r>
  <r>
    <x v="1"/>
    <x v="32"/>
    <n v="79.209936015656695"/>
    <n v="43"/>
    <n v="781"/>
    <n v="9571.5504873278096"/>
    <x v="2"/>
    <n v="89"/>
    <n v="13"/>
    <n v="64"/>
    <n v="4"/>
    <x v="2"/>
    <n v="6.5991049012385803"/>
    <x v="0"/>
    <s v="Kolkata"/>
    <n v="30"/>
    <n v="737"/>
    <n v="7"/>
    <n v="29.6924671537497"/>
    <x v="2"/>
    <n v="1.94603611938611"/>
    <x v="0"/>
    <x v="2"/>
    <n v="761.17390951487698"/>
    <m/>
    <m/>
    <m/>
  </r>
  <r>
    <x v="2"/>
    <x v="33"/>
    <n v="64.795435000155607"/>
    <n v="63"/>
    <n v="616"/>
    <n v="5149.9983504080301"/>
    <x v="0"/>
    <n v="4"/>
    <n v="17"/>
    <n v="95"/>
    <n v="9"/>
    <x v="2"/>
    <n v="4.85827050343664"/>
    <x v="2"/>
    <s v="Chennai"/>
    <n v="1"/>
    <n v="251"/>
    <n v="23"/>
    <n v="23.853427512896101"/>
    <x v="1"/>
    <n v="3.54104601225092"/>
    <x v="3"/>
    <x v="2"/>
    <n v="371.25529551987103"/>
    <m/>
    <m/>
    <m/>
  </r>
  <r>
    <x v="1"/>
    <x v="34"/>
    <n v="37.467592329842397"/>
    <n v="96"/>
    <n v="602"/>
    <n v="9061.7108955077201"/>
    <x v="2"/>
    <n v="1"/>
    <n v="26"/>
    <n v="21"/>
    <n v="7"/>
    <x v="1"/>
    <n v="1.0194875708221101"/>
    <x v="1"/>
    <s v="Chennai"/>
    <n v="4"/>
    <n v="452"/>
    <n v="10"/>
    <n v="10.754272815029299"/>
    <x v="2"/>
    <n v="0.64660455937205397"/>
    <x v="0"/>
    <x v="0"/>
    <n v="510.35800043352299"/>
    <m/>
    <m/>
    <m/>
  </r>
  <r>
    <x v="2"/>
    <x v="35"/>
    <n v="84.957786816350406"/>
    <n v="11"/>
    <n v="449"/>
    <n v="6541.3293448024597"/>
    <x v="1"/>
    <n v="42"/>
    <n v="27"/>
    <n v="85"/>
    <n v="8"/>
    <x v="2"/>
    <n v="5.2881899903273997"/>
    <x v="1"/>
    <s v="Delhi"/>
    <n v="3"/>
    <n v="367"/>
    <n v="2"/>
    <n v="58.004787044743701"/>
    <x v="2"/>
    <n v="0.54115409806058101"/>
    <x v="3"/>
    <x v="1"/>
    <n v="553.42047123035502"/>
    <m/>
    <m/>
    <m/>
  </r>
  <r>
    <x v="1"/>
    <x v="36"/>
    <n v="9.81300257875405"/>
    <n v="34"/>
    <n v="963"/>
    <n v="7573.4024578487297"/>
    <x v="1"/>
    <n v="18"/>
    <n v="23"/>
    <n v="28"/>
    <n v="3"/>
    <x v="0"/>
    <n v="2.1079512671590801"/>
    <x v="4"/>
    <s v="Delhi"/>
    <n v="26"/>
    <n v="671"/>
    <n v="19"/>
    <n v="45.531364237162101"/>
    <x v="1"/>
    <n v="3.8055333792433501"/>
    <x v="1"/>
    <x v="1"/>
    <n v="403.80897424817999"/>
    <m/>
    <m/>
    <m/>
  </r>
  <r>
    <x v="1"/>
    <x v="37"/>
    <n v="23.3998447526143"/>
    <n v="5"/>
    <n v="963"/>
    <n v="2438.3399304700201"/>
    <x v="1"/>
    <n v="25"/>
    <n v="8"/>
    <n v="21"/>
    <n v="9"/>
    <x v="1"/>
    <n v="1.53265527359043"/>
    <x v="0"/>
    <s v="Kolkata"/>
    <n v="24"/>
    <n v="867"/>
    <n v="15"/>
    <n v="34.343277465075303"/>
    <x v="0"/>
    <n v="2.61028808484811"/>
    <x v="3"/>
    <x v="2"/>
    <n v="183.932968043594"/>
    <m/>
    <m/>
    <m/>
  </r>
  <r>
    <x v="2"/>
    <x v="38"/>
    <n v="52.075930682707799"/>
    <n v="75"/>
    <n v="705"/>
    <n v="9692.3180402184298"/>
    <x v="0"/>
    <n v="69"/>
    <n v="1"/>
    <n v="88"/>
    <n v="5"/>
    <x v="0"/>
    <n v="9.2359314372492207"/>
    <x v="2"/>
    <s v="Mumbai"/>
    <n v="10"/>
    <n v="841"/>
    <n v="12"/>
    <n v="5.9306936455283097"/>
    <x v="0"/>
    <n v="0.613326899164507"/>
    <x v="1"/>
    <x v="0"/>
    <n v="339.67286994860598"/>
    <m/>
    <m/>
    <m/>
  </r>
  <r>
    <x v="1"/>
    <x v="39"/>
    <n v="19.127477265823199"/>
    <n v="26"/>
    <n v="176"/>
    <n v="1912.4656631007599"/>
    <x v="1"/>
    <n v="78"/>
    <n v="29"/>
    <n v="34"/>
    <n v="3"/>
    <x v="1"/>
    <n v="5.5625037788303802"/>
    <x v="4"/>
    <s v="Kolkata"/>
    <n v="30"/>
    <n v="791"/>
    <n v="6"/>
    <n v="9.0058074287816403"/>
    <x v="1"/>
    <n v="1.4519722039968099"/>
    <x v="1"/>
    <x v="0"/>
    <n v="653.67299455203295"/>
    <m/>
    <m/>
    <m/>
  </r>
  <r>
    <x v="1"/>
    <x v="40"/>
    <n v="80.541424170940303"/>
    <n v="97"/>
    <n v="933"/>
    <n v="5724.9593504562599"/>
    <x v="1"/>
    <n v="90"/>
    <n v="20"/>
    <n v="39"/>
    <n v="8"/>
    <x v="2"/>
    <n v="7.2295951397364702"/>
    <x v="1"/>
    <s v="Kolkata"/>
    <n v="18"/>
    <n v="793"/>
    <n v="1"/>
    <n v="88.179407104217404"/>
    <x v="0"/>
    <n v="4.2132694305865597"/>
    <x v="0"/>
    <x v="2"/>
    <n v="529.80872398069096"/>
    <m/>
    <m/>
    <m/>
  </r>
  <r>
    <x v="1"/>
    <x v="41"/>
    <n v="99.113291615317095"/>
    <n v="35"/>
    <n v="556"/>
    <n v="5521.2052590109697"/>
    <x v="1"/>
    <n v="64"/>
    <n v="19"/>
    <n v="38"/>
    <n v="8"/>
    <x v="0"/>
    <n v="5.7732637437666501"/>
    <x v="3"/>
    <s v="Chennai"/>
    <n v="18"/>
    <n v="892"/>
    <n v="7"/>
    <n v="95.332064548772493"/>
    <x v="1"/>
    <n v="4.5302262398259602E-2"/>
    <x v="3"/>
    <x v="2"/>
    <n v="275.52437113130901"/>
    <m/>
    <m/>
    <m/>
  </r>
  <r>
    <x v="1"/>
    <x v="42"/>
    <n v="46.529167614516702"/>
    <n v="98"/>
    <n v="155"/>
    <n v="1839.60942585676"/>
    <x v="1"/>
    <n v="22"/>
    <n v="27"/>
    <n v="57"/>
    <n v="4"/>
    <x v="2"/>
    <n v="7.5262483268515004"/>
    <x v="2"/>
    <s v="Bangalore"/>
    <n v="26"/>
    <n v="179"/>
    <n v="7"/>
    <n v="96.422820639571796"/>
    <x v="1"/>
    <n v="4.9392552886209398"/>
    <x v="0"/>
    <x v="2"/>
    <n v="635.65712050199102"/>
    <m/>
    <m/>
    <m/>
  </r>
  <r>
    <x v="0"/>
    <x v="43"/>
    <n v="11.7432717763092"/>
    <n v="6"/>
    <n v="598"/>
    <n v="5737.4255991190203"/>
    <x v="2"/>
    <n v="36"/>
    <n v="29"/>
    <n v="85"/>
    <n v="9"/>
    <x v="0"/>
    <n v="3.6940212683884499"/>
    <x v="2"/>
    <s v="Mumbai"/>
    <n v="1"/>
    <n v="206"/>
    <n v="23"/>
    <n v="26.2773659573324"/>
    <x v="0"/>
    <n v="0.37230476798509698"/>
    <x v="1"/>
    <x v="2"/>
    <n v="716.04411975933999"/>
    <m/>
    <m/>
    <m/>
  </r>
  <r>
    <x v="2"/>
    <x v="44"/>
    <n v="51.355790913110297"/>
    <n v="34"/>
    <n v="919"/>
    <n v="7152.28604943551"/>
    <x v="1"/>
    <n v="13"/>
    <n v="19"/>
    <n v="72"/>
    <n v="6"/>
    <x v="2"/>
    <n v="7.5774496573766896"/>
    <x v="4"/>
    <s v="Delhi"/>
    <n v="7"/>
    <n v="834"/>
    <n v="18"/>
    <n v="22.554106620887701"/>
    <x v="1"/>
    <n v="2.9626263204548802"/>
    <x v="2"/>
    <x v="2"/>
    <n v="610.45326961922694"/>
    <m/>
    <m/>
    <m/>
  </r>
  <r>
    <x v="0"/>
    <x v="45"/>
    <n v="33.784138033065503"/>
    <n v="1"/>
    <n v="24"/>
    <n v="5267.9568075105199"/>
    <x v="3"/>
    <n v="93"/>
    <n v="7"/>
    <n v="52"/>
    <n v="6"/>
    <x v="0"/>
    <n v="5.2151550087119096"/>
    <x v="4"/>
    <s v="Chennai"/>
    <n v="25"/>
    <n v="794"/>
    <n v="25"/>
    <n v="66.312544439991598"/>
    <x v="2"/>
    <n v="3.2196046120841002"/>
    <x v="2"/>
    <x v="2"/>
    <n v="495.30569702847299"/>
    <m/>
    <m/>
    <m/>
  </r>
  <r>
    <x v="0"/>
    <x v="46"/>
    <n v="27.082207199888899"/>
    <n v="75"/>
    <n v="859"/>
    <n v="2556.7673606335902"/>
    <x v="0"/>
    <n v="92"/>
    <n v="29"/>
    <n v="6"/>
    <n v="8"/>
    <x v="0"/>
    <n v="4.0709558370840799"/>
    <x v="0"/>
    <s v="Chennai"/>
    <n v="18"/>
    <n v="870"/>
    <n v="23"/>
    <n v="77.322353211051606"/>
    <x v="0"/>
    <n v="3.6486105925361998"/>
    <x v="0"/>
    <x v="0"/>
    <n v="380.43593711196399"/>
    <m/>
    <m/>
    <m/>
  </r>
  <r>
    <x v="1"/>
    <x v="47"/>
    <n v="95.712135880936003"/>
    <n v="93"/>
    <n v="910"/>
    <n v="7089.4742499341801"/>
    <x v="3"/>
    <n v="4"/>
    <n v="15"/>
    <n v="51"/>
    <n v="9"/>
    <x v="0"/>
    <n v="8.9787507559499709"/>
    <x v="1"/>
    <s v="Kolkata"/>
    <n v="10"/>
    <n v="964"/>
    <n v="20"/>
    <n v="19.7129929112936"/>
    <x v="0"/>
    <n v="0.38057358671321301"/>
    <x v="2"/>
    <x v="2"/>
    <n v="581.60235505058597"/>
    <m/>
    <m/>
    <m/>
  </r>
  <r>
    <x v="0"/>
    <x v="48"/>
    <n v="76.035544426891704"/>
    <n v="28"/>
    <n v="29"/>
    <n v="7397.0710045871801"/>
    <x v="0"/>
    <n v="30"/>
    <n v="16"/>
    <n v="9"/>
    <n v="3"/>
    <x v="2"/>
    <n v="7.0958331565551296"/>
    <x v="4"/>
    <s v="Mumbai"/>
    <n v="9"/>
    <n v="109"/>
    <n v="18"/>
    <n v="23.126363582464698"/>
    <x v="1"/>
    <n v="1.6981125407144"/>
    <x v="2"/>
    <x v="0"/>
    <n v="768.65191395437"/>
    <m/>
    <m/>
    <m/>
  </r>
  <r>
    <x v="2"/>
    <x v="49"/>
    <n v="78.897913205639995"/>
    <n v="19"/>
    <n v="99"/>
    <n v="8001.6132065190004"/>
    <x v="2"/>
    <n v="97"/>
    <n v="24"/>
    <n v="9"/>
    <n v="6"/>
    <x v="2"/>
    <n v="2.5056210329009101"/>
    <x v="2"/>
    <s v="Delhi"/>
    <n v="28"/>
    <n v="177"/>
    <n v="28"/>
    <n v="14.1478154439792"/>
    <x v="2"/>
    <n v="2.8258139854001301"/>
    <x v="2"/>
    <x v="2"/>
    <n v="336.89016851997701"/>
    <m/>
    <m/>
    <m/>
  </r>
  <r>
    <x v="2"/>
    <x v="50"/>
    <n v="14.203484264803"/>
    <n v="91"/>
    <n v="633"/>
    <n v="5910.8853896688897"/>
    <x v="1"/>
    <n v="31"/>
    <n v="23"/>
    <n v="82"/>
    <n v="10"/>
    <x v="1"/>
    <n v="6.2478609149759903"/>
    <x v="4"/>
    <s v="Delhi"/>
    <n v="20"/>
    <n v="306"/>
    <n v="21"/>
    <n v="45.178757924634503"/>
    <x v="1"/>
    <n v="4.7548008046711798"/>
    <x v="2"/>
    <x v="0"/>
    <n v="496.24865029194001"/>
    <m/>
    <m/>
    <m/>
  </r>
  <r>
    <x v="0"/>
    <x v="51"/>
    <n v="26.700760972461701"/>
    <n v="61"/>
    <n v="154"/>
    <n v="9866.4654579796897"/>
    <x v="3"/>
    <n v="100"/>
    <n v="4"/>
    <n v="52"/>
    <n v="1"/>
    <x v="1"/>
    <n v="4.78300055794766"/>
    <x v="2"/>
    <s v="Bangalore"/>
    <n v="18"/>
    <n v="673"/>
    <n v="28"/>
    <n v="14.190328344569901"/>
    <x v="0"/>
    <n v="1.77295117208355"/>
    <x v="0"/>
    <x v="2"/>
    <n v="694.98231757944495"/>
    <m/>
    <m/>
    <m/>
  </r>
  <r>
    <x v="1"/>
    <x v="52"/>
    <n v="98.031829656465007"/>
    <n v="1"/>
    <n v="820"/>
    <n v="9435.7626089121295"/>
    <x v="3"/>
    <n v="64"/>
    <n v="11"/>
    <n v="11"/>
    <n v="1"/>
    <x v="0"/>
    <n v="8.6310521797689397"/>
    <x v="1"/>
    <s v="Mumbai"/>
    <n v="10"/>
    <n v="727"/>
    <n v="27"/>
    <n v="9.1668491485971497"/>
    <x v="0"/>
    <n v="2.1224716191438202"/>
    <x v="1"/>
    <x v="1"/>
    <n v="602.89849883838303"/>
    <m/>
    <m/>
    <m/>
  </r>
  <r>
    <x v="1"/>
    <x v="53"/>
    <n v="30.3414707112142"/>
    <n v="93"/>
    <n v="242"/>
    <n v="8232.3348294258194"/>
    <x v="3"/>
    <n v="96"/>
    <n v="25"/>
    <n v="54"/>
    <n v="3"/>
    <x v="0"/>
    <n v="1.0134865660958901"/>
    <x v="1"/>
    <s v="Delhi"/>
    <n v="1"/>
    <n v="631"/>
    <n v="17"/>
    <n v="83.344058991677898"/>
    <x v="0"/>
    <n v="1.41034757607602"/>
    <x v="1"/>
    <x v="0"/>
    <n v="750.73784066827"/>
    <m/>
    <m/>
    <m/>
  </r>
  <r>
    <x v="0"/>
    <x v="54"/>
    <n v="31.1462431602408"/>
    <n v="11"/>
    <n v="622"/>
    <n v="6088.0214799408504"/>
    <x v="0"/>
    <n v="33"/>
    <n v="22"/>
    <n v="61"/>
    <n v="3"/>
    <x v="0"/>
    <n v="4.3051034712876302"/>
    <x v="1"/>
    <s v="Kolkata"/>
    <n v="26"/>
    <n v="497"/>
    <n v="29"/>
    <n v="30.186023375822501"/>
    <x v="2"/>
    <n v="2.4787719755397402"/>
    <x v="0"/>
    <x v="0"/>
    <n v="814.06999658218695"/>
    <m/>
    <m/>
    <m/>
  </r>
  <r>
    <x v="0"/>
    <x v="55"/>
    <n v="79.855058340789398"/>
    <n v="16"/>
    <n v="701"/>
    <n v="2925.6751703038099"/>
    <x v="3"/>
    <n v="97"/>
    <n v="11"/>
    <n v="11"/>
    <n v="5"/>
    <x v="1"/>
    <n v="5.0143649550309002"/>
    <x v="4"/>
    <s v="Delhi"/>
    <n v="27"/>
    <n v="918"/>
    <n v="5"/>
    <n v="30.323545256616502"/>
    <x v="1"/>
    <n v="4.5489196593963799"/>
    <x v="3"/>
    <x v="0"/>
    <n v="323.01292795247798"/>
    <m/>
    <m/>
    <m/>
  </r>
  <r>
    <x v="1"/>
    <x v="56"/>
    <n v="20.9863860370433"/>
    <n v="90"/>
    <n v="93"/>
    <n v="4767.0204843441297"/>
    <x v="0"/>
    <n v="25"/>
    <n v="23"/>
    <n v="83"/>
    <n v="5"/>
    <x v="2"/>
    <n v="1.77442971407173"/>
    <x v="1"/>
    <s v="Mumbai"/>
    <n v="24"/>
    <n v="826"/>
    <n v="28"/>
    <n v="12.8362845728327"/>
    <x v="2"/>
    <n v="1.1737554953874501"/>
    <x v="1"/>
    <x v="0"/>
    <n v="832.210808706021"/>
    <m/>
    <m/>
    <m/>
  </r>
  <r>
    <x v="0"/>
    <x v="57"/>
    <n v="49.263205350734097"/>
    <n v="65"/>
    <n v="227"/>
    <n v="1605.8669003924001"/>
    <x v="2"/>
    <n v="5"/>
    <n v="18"/>
    <n v="51"/>
    <n v="1"/>
    <x v="0"/>
    <n v="9.1605585353818704"/>
    <x v="4"/>
    <s v="Delhi"/>
    <n v="21"/>
    <n v="588"/>
    <n v="25"/>
    <n v="67.779622987078099"/>
    <x v="0"/>
    <n v="2.5111748302126999"/>
    <x v="2"/>
    <x v="2"/>
    <n v="482.19123860252802"/>
    <m/>
    <m/>
    <m/>
  </r>
  <r>
    <x v="1"/>
    <x v="58"/>
    <n v="59.841561377289302"/>
    <n v="81"/>
    <n v="896"/>
    <n v="2021.1498103371"/>
    <x v="0"/>
    <n v="10"/>
    <n v="5"/>
    <n v="44"/>
    <n v="7"/>
    <x v="1"/>
    <n v="4.9384385647120901"/>
    <x v="0"/>
    <s v="Delhi"/>
    <n v="18"/>
    <n v="396"/>
    <n v="7"/>
    <n v="65.047415094691402"/>
    <x v="1"/>
    <n v="1.7303747198591899"/>
    <x v="0"/>
    <x v="0"/>
    <n v="110.364335231364"/>
    <m/>
    <m/>
    <m/>
  </r>
  <r>
    <x v="2"/>
    <x v="59"/>
    <n v="63.828398347710902"/>
    <n v="30"/>
    <n v="484"/>
    <n v="1061.6185230132801"/>
    <x v="0"/>
    <n v="100"/>
    <n v="16"/>
    <n v="26"/>
    <n v="7"/>
    <x v="0"/>
    <n v="7.2937225968677204"/>
    <x v="1"/>
    <s v="Kolkata"/>
    <n v="11"/>
    <n v="176"/>
    <n v="4"/>
    <n v="1.90076224351945"/>
    <x v="1"/>
    <n v="0.44719401546382298"/>
    <x v="1"/>
    <x v="2"/>
    <n v="312.57427361009297"/>
    <m/>
    <m/>
    <m/>
  </r>
  <r>
    <x v="1"/>
    <x v="60"/>
    <n v="17.028027920188698"/>
    <n v="16"/>
    <n v="380"/>
    <n v="8864.0843495864301"/>
    <x v="1"/>
    <n v="41"/>
    <n v="27"/>
    <n v="72"/>
    <n v="8"/>
    <x v="2"/>
    <n v="4.3813681581023101"/>
    <x v="3"/>
    <s v="Mumbai"/>
    <n v="29"/>
    <n v="929"/>
    <n v="24"/>
    <n v="87.213057815135599"/>
    <x v="1"/>
    <n v="2.8530906166490499"/>
    <x v="2"/>
    <x v="2"/>
    <n v="430.16909697513597"/>
    <m/>
    <m/>
    <m/>
  </r>
  <r>
    <x v="0"/>
    <x v="61"/>
    <n v="52.028749903294901"/>
    <n v="23"/>
    <n v="117"/>
    <n v="6885.5893508962499"/>
    <x v="2"/>
    <n v="32"/>
    <n v="23"/>
    <n v="36"/>
    <n v="7"/>
    <x v="2"/>
    <n v="9.0303404225219399"/>
    <x v="3"/>
    <s v="Kolkata"/>
    <n v="14"/>
    <n v="480"/>
    <n v="12"/>
    <n v="78.702393968878894"/>
    <x v="1"/>
    <n v="4.3674705382050503"/>
    <x v="1"/>
    <x v="2"/>
    <n v="164.366528243419"/>
    <m/>
    <m/>
    <m/>
  </r>
  <r>
    <x v="2"/>
    <x v="62"/>
    <n v="72.796353955587307"/>
    <n v="89"/>
    <n v="270"/>
    <n v="3899.7468337292198"/>
    <x v="2"/>
    <n v="86"/>
    <n v="2"/>
    <n v="40"/>
    <n v="7"/>
    <x v="2"/>
    <n v="7.2917013887767697"/>
    <x v="4"/>
    <s v="Mumbai"/>
    <n v="13"/>
    <n v="751"/>
    <n v="14"/>
    <n v="21.048642725168602"/>
    <x v="2"/>
    <n v="1.87400140404437"/>
    <x v="3"/>
    <x v="1"/>
    <n v="320.84651575911101"/>
    <m/>
    <m/>
    <m/>
  </r>
  <r>
    <x v="1"/>
    <x v="63"/>
    <n v="13.0173767852878"/>
    <n v="55"/>
    <n v="246"/>
    <n v="4256.9491408502199"/>
    <x v="0"/>
    <n v="54"/>
    <n v="19"/>
    <n v="10"/>
    <n v="4"/>
    <x v="1"/>
    <n v="2.45793352798733"/>
    <x v="0"/>
    <s v="Bangalore"/>
    <n v="18"/>
    <n v="736"/>
    <n v="10"/>
    <n v="20.075003975630398"/>
    <x v="0"/>
    <n v="3.6328432903821302"/>
    <x v="3"/>
    <x v="2"/>
    <n v="687.28617786641701"/>
    <m/>
    <m/>
    <m/>
  </r>
  <r>
    <x v="1"/>
    <x v="64"/>
    <n v="89.634095608135297"/>
    <n v="11"/>
    <n v="134"/>
    <n v="8458.7308783671706"/>
    <x v="1"/>
    <n v="73"/>
    <n v="27"/>
    <n v="75"/>
    <n v="6"/>
    <x v="2"/>
    <n v="4.5853534681946497"/>
    <x v="1"/>
    <s v="Delhi"/>
    <n v="17"/>
    <n v="328"/>
    <n v="6"/>
    <n v="8.6930424258772803"/>
    <x v="1"/>
    <n v="0.15948631471751401"/>
    <x v="1"/>
    <x v="1"/>
    <n v="771.225084681157"/>
    <m/>
    <m/>
    <m/>
  </r>
  <r>
    <x v="1"/>
    <x v="65"/>
    <n v="33.697717206643098"/>
    <n v="72"/>
    <n v="457"/>
    <n v="8354.5796864819895"/>
    <x v="3"/>
    <n v="57"/>
    <n v="24"/>
    <n v="54"/>
    <n v="8"/>
    <x v="2"/>
    <n v="6.5805413478845898"/>
    <x v="2"/>
    <s v="Kolkata"/>
    <n v="16"/>
    <n v="358"/>
    <n v="21"/>
    <n v="1.59722274305067"/>
    <x v="1"/>
    <n v="4.9110959548423301"/>
    <x v="2"/>
    <x v="1"/>
    <n v="555.85910367174301"/>
    <m/>
    <m/>
    <m/>
  </r>
  <r>
    <x v="1"/>
    <x v="66"/>
    <n v="26.034869773962001"/>
    <n v="52"/>
    <n v="704"/>
    <n v="8367.7216180201503"/>
    <x v="1"/>
    <n v="13"/>
    <n v="17"/>
    <n v="19"/>
    <n v="8"/>
    <x v="1"/>
    <n v="2.2161427287713602"/>
    <x v="2"/>
    <s v="Kolkata"/>
    <n v="24"/>
    <n v="867"/>
    <n v="28"/>
    <n v="42.084436738309897"/>
    <x v="1"/>
    <n v="3.44806328834026"/>
    <x v="0"/>
    <x v="2"/>
    <n v="393.84334857842703"/>
    <m/>
    <m/>
    <m/>
  </r>
  <r>
    <x v="1"/>
    <x v="67"/>
    <n v="87.755432354001002"/>
    <n v="16"/>
    <n v="513"/>
    <n v="9473.7980325083299"/>
    <x v="2"/>
    <n v="12"/>
    <n v="9"/>
    <n v="71"/>
    <n v="9"/>
    <x v="2"/>
    <n v="9.1478115447106294"/>
    <x v="1"/>
    <s v="Mumbai"/>
    <n v="10"/>
    <n v="198"/>
    <n v="11"/>
    <n v="7.0578761469782298"/>
    <x v="2"/>
    <n v="0.131955444311814"/>
    <x v="3"/>
    <x v="1"/>
    <n v="169.27180138478599"/>
    <m/>
    <m/>
    <m/>
  </r>
  <r>
    <x v="0"/>
    <x v="68"/>
    <n v="37.931812382790298"/>
    <n v="29"/>
    <n v="163"/>
    <n v="3550.21843278099"/>
    <x v="0"/>
    <n v="0"/>
    <n v="8"/>
    <n v="58"/>
    <n v="8"/>
    <x v="0"/>
    <n v="1.19425186488499"/>
    <x v="4"/>
    <s v="Bangalore"/>
    <n v="2"/>
    <n v="375"/>
    <n v="18"/>
    <n v="97.113581563462205"/>
    <x v="1"/>
    <n v="1.9834678721741801"/>
    <x v="2"/>
    <x v="2"/>
    <n v="299.70630311810299"/>
    <m/>
    <m/>
    <m/>
  </r>
  <r>
    <x v="1"/>
    <x v="69"/>
    <n v="54.865528517069698"/>
    <n v="62"/>
    <n v="511"/>
    <n v="1752.3810874841199"/>
    <x v="0"/>
    <n v="95"/>
    <n v="1"/>
    <n v="27"/>
    <n v="3"/>
    <x v="0"/>
    <n v="9.7052867901203399"/>
    <x v="3"/>
    <s v="Kolkata"/>
    <n v="9"/>
    <n v="862"/>
    <n v="7"/>
    <n v="77.627765812748095"/>
    <x v="0"/>
    <n v="1.3623879886490999"/>
    <x v="1"/>
    <x v="2"/>
    <n v="207.66320620857499"/>
    <m/>
    <m/>
    <m/>
  </r>
  <r>
    <x v="0"/>
    <x v="70"/>
    <n v="47.914541824058702"/>
    <n v="90"/>
    <n v="32"/>
    <n v="7014.8879872033804"/>
    <x v="1"/>
    <n v="10"/>
    <n v="12"/>
    <n v="22"/>
    <n v="4"/>
    <x v="0"/>
    <n v="6.3157177546007199"/>
    <x v="1"/>
    <s v="Bangalore"/>
    <n v="22"/>
    <n v="775"/>
    <n v="16"/>
    <n v="11.440781823761199"/>
    <x v="2"/>
    <n v="1.8305755986122301"/>
    <x v="0"/>
    <x v="1"/>
    <n v="183.27289874871099"/>
    <m/>
    <m/>
    <m/>
  </r>
  <r>
    <x v="2"/>
    <x v="71"/>
    <n v="6.3815331627479601"/>
    <n v="14"/>
    <n v="637"/>
    <n v="8180.3370854254399"/>
    <x v="1"/>
    <n v="76"/>
    <n v="2"/>
    <n v="26"/>
    <n v="6"/>
    <x v="1"/>
    <n v="9.2281903170525101"/>
    <x v="4"/>
    <s v="Bangalore"/>
    <n v="2"/>
    <n v="258"/>
    <n v="10"/>
    <n v="30.661677477859499"/>
    <x v="0"/>
    <n v="2.07875060787496"/>
    <x v="0"/>
    <x v="2"/>
    <n v="405.167067888855"/>
    <m/>
    <m/>
    <m/>
  </r>
  <r>
    <x v="2"/>
    <x v="72"/>
    <n v="90.204427520528"/>
    <n v="88"/>
    <n v="478"/>
    <n v="2633.1219813122498"/>
    <x v="0"/>
    <n v="57"/>
    <n v="29"/>
    <n v="77"/>
    <n v="9"/>
    <x v="1"/>
    <n v="6.5996141596895397"/>
    <x v="1"/>
    <s v="Bangalore"/>
    <n v="21"/>
    <n v="152"/>
    <n v="11"/>
    <n v="55.760492895244198"/>
    <x v="0"/>
    <n v="3.2133296074383"/>
    <x v="2"/>
    <x v="0"/>
    <n v="677.94456984618296"/>
    <m/>
    <m/>
    <m/>
  </r>
  <r>
    <x v="2"/>
    <x v="73"/>
    <n v="83.851017681304597"/>
    <n v="41"/>
    <n v="375"/>
    <n v="7910.8869161406801"/>
    <x v="3"/>
    <n v="17"/>
    <n v="25"/>
    <n v="66"/>
    <n v="5"/>
    <x v="0"/>
    <n v="1.5129368369160701"/>
    <x v="3"/>
    <s v="Chennai"/>
    <n v="13"/>
    <n v="444"/>
    <n v="4"/>
    <n v="46.870238797617098"/>
    <x v="1"/>
    <n v="4.6205460645137002"/>
    <x v="0"/>
    <x v="2"/>
    <n v="866.472800129657"/>
    <m/>
    <m/>
    <m/>
  </r>
  <r>
    <x v="0"/>
    <x v="74"/>
    <n v="3.1700114135661499"/>
    <n v="64"/>
    <n v="904"/>
    <n v="5709.9452959692799"/>
    <x v="1"/>
    <n v="41"/>
    <n v="6"/>
    <n v="1"/>
    <n v="5"/>
    <x v="1"/>
    <n v="5.2376546500374399"/>
    <x v="3"/>
    <s v="Delhi"/>
    <n v="1"/>
    <n v="919"/>
    <n v="9"/>
    <n v="80.580852156447804"/>
    <x v="1"/>
    <n v="0.39661272410993498"/>
    <x v="2"/>
    <x v="2"/>
    <n v="341.55265678322297"/>
    <m/>
    <m/>
    <m/>
  </r>
  <r>
    <x v="1"/>
    <x v="75"/>
    <n v="92.996884233970604"/>
    <n v="29"/>
    <n v="106"/>
    <n v="1889.07358977933"/>
    <x v="0"/>
    <n v="16"/>
    <n v="20"/>
    <n v="56"/>
    <n v="10"/>
    <x v="2"/>
    <n v="2.47389776104546"/>
    <x v="1"/>
    <s v="Chennai"/>
    <n v="25"/>
    <n v="759"/>
    <n v="11"/>
    <n v="48.064782640006499"/>
    <x v="2"/>
    <n v="2.0300690886687498"/>
    <x v="1"/>
    <x v="1"/>
    <n v="873.12964801765099"/>
    <m/>
    <m/>
    <m/>
  </r>
  <r>
    <x v="0"/>
    <x v="76"/>
    <n v="69.108799547430294"/>
    <n v="23"/>
    <n v="241"/>
    <n v="5328.3759842977497"/>
    <x v="3"/>
    <n v="38"/>
    <n v="1"/>
    <n v="22"/>
    <n v="10"/>
    <x v="1"/>
    <n v="7.0545383368369201"/>
    <x v="4"/>
    <s v="Bangalore"/>
    <n v="25"/>
    <n v="985"/>
    <n v="24"/>
    <n v="64.323597795600193"/>
    <x v="0"/>
    <n v="2.1800374515822099"/>
    <x v="2"/>
    <x v="2"/>
    <n v="997.41345013319403"/>
    <m/>
    <m/>
    <m/>
  </r>
  <r>
    <x v="0"/>
    <x v="77"/>
    <n v="57.449742958971399"/>
    <n v="14"/>
    <n v="359"/>
    <n v="2483.7601775427902"/>
    <x v="2"/>
    <n v="96"/>
    <n v="28"/>
    <n v="57"/>
    <n v="4"/>
    <x v="0"/>
    <n v="6.7809466256178901"/>
    <x v="1"/>
    <s v="Kolkata"/>
    <n v="26"/>
    <n v="334"/>
    <n v="5"/>
    <n v="42.952444748991802"/>
    <x v="2"/>
    <n v="3.0551418183075398"/>
    <x v="0"/>
    <x v="0"/>
    <n v="852.56809891984994"/>
    <m/>
    <m/>
    <m/>
  </r>
  <r>
    <x v="0"/>
    <x v="78"/>
    <n v="6.30688317611191"/>
    <n v="50"/>
    <n v="946"/>
    <n v="1292.45841793775"/>
    <x v="2"/>
    <n v="5"/>
    <n v="4"/>
    <n v="51"/>
    <n v="5"/>
    <x v="0"/>
    <n v="8.4670497708619905"/>
    <x v="2"/>
    <s v="Mumbai"/>
    <n v="25"/>
    <n v="858"/>
    <n v="21"/>
    <n v="71.126514720403307"/>
    <x v="0"/>
    <n v="4.0968813324704501"/>
    <x v="3"/>
    <x v="1"/>
    <n v="323.59220343132199"/>
    <m/>
    <m/>
    <m/>
  </r>
  <r>
    <x v="0"/>
    <x v="79"/>
    <n v="57.057031221103202"/>
    <n v="56"/>
    <n v="198"/>
    <n v="7888.7232684270803"/>
    <x v="0"/>
    <n v="31"/>
    <n v="25"/>
    <n v="20"/>
    <n v="1"/>
    <x v="0"/>
    <n v="6.49632536429504"/>
    <x v="0"/>
    <s v="Bangalore"/>
    <n v="5"/>
    <n v="228"/>
    <n v="12"/>
    <n v="57.870902924036201"/>
    <x v="0"/>
    <n v="0.16587162748060799"/>
    <x v="1"/>
    <x v="1"/>
    <n v="351.50421933503799"/>
    <m/>
    <m/>
    <m/>
  </r>
  <r>
    <x v="1"/>
    <x v="80"/>
    <n v="91.128318350444303"/>
    <n v="75"/>
    <n v="872"/>
    <n v="8651.67268298206"/>
    <x v="2"/>
    <n v="39"/>
    <n v="14"/>
    <n v="41"/>
    <n v="2"/>
    <x v="2"/>
    <n v="2.8331846794189701"/>
    <x v="0"/>
    <s v="Chennai"/>
    <n v="8"/>
    <n v="202"/>
    <n v="5"/>
    <n v="76.961228023819999"/>
    <x v="1"/>
    <n v="2.8496621985053299"/>
    <x v="3"/>
    <x v="0"/>
    <n v="787.77985049434403"/>
    <m/>
    <m/>
    <m/>
  </r>
  <r>
    <x v="0"/>
    <x v="81"/>
    <n v="72.819206930318202"/>
    <n v="9"/>
    <n v="774"/>
    <n v="4384.4134000458598"/>
    <x v="2"/>
    <n v="48"/>
    <n v="6"/>
    <n v="8"/>
    <n v="5"/>
    <x v="0"/>
    <n v="4.0662775015120403"/>
    <x v="0"/>
    <s v="Delhi"/>
    <n v="28"/>
    <n v="698"/>
    <n v="1"/>
    <n v="19.789592941903599"/>
    <x v="0"/>
    <n v="2.54754712154871"/>
    <x v="2"/>
    <x v="0"/>
    <n v="276.77833594679799"/>
    <m/>
    <m/>
    <m/>
  </r>
  <r>
    <x v="1"/>
    <x v="82"/>
    <n v="17.034930739467899"/>
    <n v="13"/>
    <n v="336"/>
    <n v="2943.3818676094502"/>
    <x v="2"/>
    <n v="42"/>
    <n v="19"/>
    <n v="72"/>
    <n v="1"/>
    <x v="1"/>
    <n v="4.7081818735419301"/>
    <x v="4"/>
    <s v="Mumbai"/>
    <n v="6"/>
    <n v="955"/>
    <n v="26"/>
    <n v="4.4652784349432402"/>
    <x v="0"/>
    <n v="4.1378770486223502"/>
    <x v="0"/>
    <x v="1"/>
    <n v="589.97855562804"/>
    <m/>
    <m/>
    <m/>
  </r>
  <r>
    <x v="0"/>
    <x v="83"/>
    <n v="68.911246211606297"/>
    <n v="82"/>
    <n v="663"/>
    <n v="2411.7546321104901"/>
    <x v="2"/>
    <n v="65"/>
    <n v="24"/>
    <n v="7"/>
    <n v="8"/>
    <x v="0"/>
    <n v="4.94983957799694"/>
    <x v="1"/>
    <s v="Bangalore"/>
    <n v="20"/>
    <n v="443"/>
    <n v="5"/>
    <n v="97.730593800533001"/>
    <x v="1"/>
    <n v="0.77300613406724705"/>
    <x v="0"/>
    <x v="2"/>
    <n v="682.97101822609295"/>
    <m/>
    <m/>
    <m/>
  </r>
  <r>
    <x v="0"/>
    <x v="84"/>
    <n v="89.104367292102197"/>
    <n v="99"/>
    <n v="618"/>
    <n v="2048.2900998487098"/>
    <x v="2"/>
    <n v="73"/>
    <n v="26"/>
    <n v="80"/>
    <n v="10"/>
    <x v="1"/>
    <n v="8.3816156249226292"/>
    <x v="2"/>
    <s v="Chennai"/>
    <n v="24"/>
    <n v="589"/>
    <n v="22"/>
    <n v="33.808636513209002"/>
    <x v="2"/>
    <n v="4.8434565771180402"/>
    <x v="1"/>
    <x v="0"/>
    <n v="465.45700596368698"/>
    <m/>
    <m/>
    <m/>
  </r>
  <r>
    <x v="2"/>
    <x v="85"/>
    <n v="76.962994415193805"/>
    <n v="83"/>
    <n v="25"/>
    <n v="8684.6130592538502"/>
    <x v="1"/>
    <n v="15"/>
    <n v="18"/>
    <n v="66"/>
    <n v="2"/>
    <x v="2"/>
    <n v="8.2491687048717193"/>
    <x v="2"/>
    <s v="Chennai"/>
    <n v="4"/>
    <n v="211"/>
    <n v="2"/>
    <n v="69.929345518672307"/>
    <x v="1"/>
    <n v="1.3744289997457499"/>
    <x v="0"/>
    <x v="0"/>
    <n v="842.68683000464102"/>
    <m/>
    <m/>
    <m/>
  </r>
  <r>
    <x v="1"/>
    <x v="86"/>
    <n v="19.9981769404042"/>
    <n v="18"/>
    <n v="223"/>
    <n v="1229.59102856498"/>
    <x v="2"/>
    <n v="32"/>
    <n v="14"/>
    <n v="22"/>
    <n v="6"/>
    <x v="0"/>
    <n v="1.4543053101535499"/>
    <x v="1"/>
    <s v="Mumbai"/>
    <n v="4"/>
    <n v="569"/>
    <n v="18"/>
    <n v="74.608969995194599"/>
    <x v="2"/>
    <n v="2.0515129307662399"/>
    <x v="2"/>
    <x v="2"/>
    <n v="264.25488983586598"/>
    <m/>
    <m/>
    <m/>
  </r>
  <r>
    <x v="0"/>
    <x v="87"/>
    <n v="80.414036650355698"/>
    <n v="24"/>
    <n v="79"/>
    <n v="5133.8467010866898"/>
    <x v="3"/>
    <n v="5"/>
    <n v="7"/>
    <n v="55"/>
    <n v="10"/>
    <x v="1"/>
    <n v="6.5758037975485299"/>
    <x v="0"/>
    <s v="Chennai"/>
    <n v="27"/>
    <n v="523"/>
    <n v="17"/>
    <n v="28.696996824143099"/>
    <x v="1"/>
    <n v="3.6937377878392699"/>
    <x v="3"/>
    <x v="0"/>
    <n v="879.35921773492396"/>
    <m/>
    <m/>
    <m/>
  </r>
  <r>
    <x v="2"/>
    <x v="88"/>
    <n v="75.270406975724995"/>
    <n v="58"/>
    <n v="737"/>
    <n v="9444.7420330629793"/>
    <x v="3"/>
    <n v="60"/>
    <n v="18"/>
    <n v="85"/>
    <n v="7"/>
    <x v="1"/>
    <n v="3.8012531329310701"/>
    <x v="4"/>
    <s v="Mumbai"/>
    <n v="21"/>
    <n v="953"/>
    <n v="11"/>
    <n v="68.1849190570411"/>
    <x v="0"/>
    <n v="0.722204401882931"/>
    <x v="3"/>
    <x v="2"/>
    <n v="103.916247960704"/>
    <m/>
    <m/>
    <m/>
  </r>
  <r>
    <x v="2"/>
    <x v="89"/>
    <n v="97.760085581938597"/>
    <n v="10"/>
    <n v="134"/>
    <n v="5924.6825668532301"/>
    <x v="2"/>
    <n v="90"/>
    <n v="1"/>
    <n v="27"/>
    <n v="8"/>
    <x v="0"/>
    <n v="9.9298162452772498"/>
    <x v="1"/>
    <s v="Kolkata"/>
    <n v="23"/>
    <n v="370"/>
    <n v="11"/>
    <n v="46.603873381644398"/>
    <x v="0"/>
    <n v="1.9076657339590699"/>
    <x v="2"/>
    <x v="0"/>
    <n v="517.49997392906005"/>
    <m/>
    <m/>
    <m/>
  </r>
  <r>
    <x v="1"/>
    <x v="90"/>
    <n v="13.881913501359101"/>
    <n v="56"/>
    <n v="320"/>
    <n v="9592.6335702803099"/>
    <x v="0"/>
    <n v="66"/>
    <n v="18"/>
    <n v="96"/>
    <n v="7"/>
    <x v="0"/>
    <n v="7.6744307081126903"/>
    <x v="0"/>
    <s v="Bangalore"/>
    <n v="8"/>
    <n v="585"/>
    <n v="8"/>
    <n v="85.675963335797903"/>
    <x v="2"/>
    <n v="1.2193822244013801"/>
    <x v="2"/>
    <x v="0"/>
    <n v="990.07847250581096"/>
    <m/>
    <m/>
    <m/>
  </r>
  <r>
    <x v="2"/>
    <x v="91"/>
    <n v="62.111965463961702"/>
    <n v="90"/>
    <n v="916"/>
    <n v="1935.20679350759"/>
    <x v="3"/>
    <n v="98"/>
    <n v="22"/>
    <n v="85"/>
    <n v="7"/>
    <x v="0"/>
    <n v="7.4715140844011403"/>
    <x v="3"/>
    <s v="Delhi"/>
    <n v="5"/>
    <n v="207"/>
    <n v="28"/>
    <n v="39.772882502339897"/>
    <x v="0"/>
    <n v="0.62600185820939402"/>
    <x v="2"/>
    <x v="0"/>
    <n v="996.77831495062298"/>
    <m/>
    <m/>
    <m/>
  </r>
  <r>
    <x v="2"/>
    <x v="92"/>
    <n v="47.714233075820196"/>
    <n v="44"/>
    <n v="276"/>
    <n v="2100.1297546259302"/>
    <x v="3"/>
    <n v="90"/>
    <n v="25"/>
    <n v="10"/>
    <n v="8"/>
    <x v="0"/>
    <n v="4.4695000261236002"/>
    <x v="4"/>
    <s v="Mumbai"/>
    <n v="4"/>
    <n v="671"/>
    <n v="29"/>
    <n v="62.612690395614301"/>
    <x v="2"/>
    <n v="0.33343182522473902"/>
    <x v="2"/>
    <x v="0"/>
    <n v="230.092782536762"/>
    <m/>
    <m/>
    <m/>
  </r>
  <r>
    <x v="0"/>
    <x v="93"/>
    <n v="69.290831002905406"/>
    <n v="88"/>
    <n v="114"/>
    <n v="4531.4021336919004"/>
    <x v="2"/>
    <n v="63"/>
    <n v="17"/>
    <n v="66"/>
    <n v="1"/>
    <x v="2"/>
    <n v="7.00643205900439"/>
    <x v="3"/>
    <s v="Chennai"/>
    <n v="21"/>
    <n v="824"/>
    <n v="20"/>
    <n v="35.633652343343797"/>
    <x v="1"/>
    <n v="4.1657817954241398"/>
    <x v="1"/>
    <x v="2"/>
    <n v="823.52384588815505"/>
    <m/>
    <m/>
    <m/>
  </r>
  <r>
    <x v="2"/>
    <x v="94"/>
    <n v="3.0376887246314102"/>
    <n v="97"/>
    <n v="987"/>
    <n v="7888.3565466618702"/>
    <x v="2"/>
    <n v="77"/>
    <n v="26"/>
    <n v="72"/>
    <n v="9"/>
    <x v="0"/>
    <n v="6.9429459420325799"/>
    <x v="4"/>
    <s v="Delhi"/>
    <n v="12"/>
    <n v="908"/>
    <n v="14"/>
    <n v="60.387378614862101"/>
    <x v="2"/>
    <n v="1.4636074984727701"/>
    <x v="2"/>
    <x v="0"/>
    <n v="846.66525698669398"/>
    <m/>
    <m/>
    <m/>
  </r>
  <r>
    <x v="0"/>
    <x v="95"/>
    <n v="77.903927219447695"/>
    <n v="65"/>
    <n v="672"/>
    <n v="7386.3639440486604"/>
    <x v="2"/>
    <n v="15"/>
    <n v="14"/>
    <n v="26"/>
    <n v="9"/>
    <x v="0"/>
    <n v="8.6303388696027508"/>
    <x v="3"/>
    <s v="Mumbai"/>
    <n v="18"/>
    <n v="450"/>
    <n v="26"/>
    <n v="58.890685768589897"/>
    <x v="0"/>
    <n v="1.21088212958506"/>
    <x v="1"/>
    <x v="2"/>
    <n v="778.86424137664699"/>
    <m/>
    <m/>
    <m/>
  </r>
  <r>
    <x v="2"/>
    <x v="96"/>
    <n v="24.423131420373299"/>
    <n v="29"/>
    <n v="324"/>
    <n v="7698.4247656321104"/>
    <x v="0"/>
    <n v="67"/>
    <n v="2"/>
    <n v="32"/>
    <n v="3"/>
    <x v="2"/>
    <n v="5.3528780439967996"/>
    <x v="0"/>
    <s v="Mumbai"/>
    <n v="28"/>
    <n v="648"/>
    <n v="28"/>
    <n v="17.803756331391199"/>
    <x v="0"/>
    <n v="3.8720476814821301"/>
    <x v="0"/>
    <x v="2"/>
    <n v="188.74214114905601"/>
    <m/>
    <m/>
    <m/>
  </r>
  <r>
    <x v="0"/>
    <x v="97"/>
    <n v="3.5261112591434101"/>
    <n v="56"/>
    <n v="62"/>
    <n v="4370.9165799845296"/>
    <x v="3"/>
    <n v="46"/>
    <n v="19"/>
    <n v="4"/>
    <n v="9"/>
    <x v="1"/>
    <n v="7.9048456112096703"/>
    <x v="3"/>
    <s v="Mumbai"/>
    <n v="10"/>
    <n v="535"/>
    <n v="13"/>
    <n v="65.765155926367399"/>
    <x v="1"/>
    <n v="3.3762378347179798"/>
    <x v="0"/>
    <x v="2"/>
    <n v="540.13242286796697"/>
    <m/>
    <m/>
    <m/>
  </r>
  <r>
    <x v="1"/>
    <x v="98"/>
    <n v="19.754604866878601"/>
    <n v="43"/>
    <n v="913"/>
    <n v="8525.9525596835192"/>
    <x v="1"/>
    <n v="53"/>
    <n v="1"/>
    <n v="27"/>
    <n v="7"/>
    <x v="0"/>
    <n v="1.4098010951380699"/>
    <x v="2"/>
    <s v="Chennai"/>
    <n v="28"/>
    <n v="581"/>
    <n v="9"/>
    <n v="5.6046908643717801"/>
    <x v="0"/>
    <n v="2.9081221693512598"/>
    <x v="2"/>
    <x v="2"/>
    <n v="882.19886354704101"/>
    <m/>
    <m/>
    <m/>
  </r>
  <r>
    <x v="0"/>
    <x v="99"/>
    <n v="68.517832699276596"/>
    <n v="17"/>
    <n v="627"/>
    <n v="9185.1858291817007"/>
    <x v="2"/>
    <n v="55"/>
    <n v="8"/>
    <n v="59"/>
    <n v="6"/>
    <x v="0"/>
    <n v="1.3110237561206199"/>
    <x v="4"/>
    <s v="Chennai"/>
    <n v="29"/>
    <n v="921"/>
    <n v="2"/>
    <n v="38.072898520625998"/>
    <x v="1"/>
    <n v="0.34602729070550298"/>
    <x v="2"/>
    <x v="0"/>
    <n v="210.743008964246"/>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2E57E33-09C4-4B0B-8C38-31FFD86E9138}" name="PivotTable68"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rowHeaderCaption="Supplier">
  <location ref="G10:H16" firstHeaderRow="1" firstDataRow="1" firstDataCol="1"/>
  <pivotFields count="27">
    <pivotField showAll="0"/>
    <pivotField showAll="0"/>
    <pivotField numFmtId="164" showAll="0"/>
    <pivotField showAll="0"/>
    <pivotField showAll="0"/>
    <pivotField numFmtId="164" showAll="0"/>
    <pivotField showAll="0"/>
    <pivotField showAll="0"/>
    <pivotField dataField="1" showAll="0"/>
    <pivotField showAll="0"/>
    <pivotField showAll="0"/>
    <pivotField showAll="0"/>
    <pivotField numFmtId="164" showAll="0"/>
    <pivotField axis="axisRow" showAll="0" sortType="descending">
      <items count="6">
        <item x="2"/>
        <item x="3"/>
        <item x="0"/>
        <item x="4"/>
        <item x="1"/>
        <item t="default"/>
      </items>
    </pivotField>
    <pivotField showAll="0"/>
    <pivotField showAll="0"/>
    <pivotField showAll="0"/>
    <pivotField showAll="0"/>
    <pivotField numFmtId="164" showAll="0"/>
    <pivotField showAll="0"/>
    <pivotField showAll="0"/>
    <pivotField showAll="0"/>
    <pivotField showAll="0"/>
    <pivotField numFmtId="164" showAll="0"/>
    <pivotField showAll="0"/>
    <pivotField showAll="0"/>
    <pivotField showAll="0"/>
  </pivotFields>
  <rowFields count="1">
    <field x="13"/>
  </rowFields>
  <rowItems count="6">
    <i>
      <x/>
    </i>
    <i>
      <x v="1"/>
    </i>
    <i>
      <x v="2"/>
    </i>
    <i>
      <x v="3"/>
    </i>
    <i>
      <x v="4"/>
    </i>
    <i t="grand">
      <x/>
    </i>
  </rowItems>
  <colItems count="1">
    <i/>
  </colItems>
  <dataFields count="1">
    <dataField name="Average of Lead Times" fld="8" subtotal="average" baseField="13" baseItem="0" numFmtId="1"/>
  </dataFields>
  <formats count="1">
    <format dxfId="65">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A212395-9170-4D90-817A-F4693B287635}" name="PivotTable70"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Supplier">
  <location ref="G25:K32" firstHeaderRow="1" firstDataRow="2" firstDataCol="1"/>
  <pivotFields count="27">
    <pivotField showAll="0"/>
    <pivotField showAll="0"/>
    <pivotField numFmtId="164" showAll="0"/>
    <pivotField showAll="0"/>
    <pivotField showAll="0"/>
    <pivotField numFmtId="164" showAll="0"/>
    <pivotField showAll="0"/>
    <pivotField showAll="0"/>
    <pivotField showAll="0"/>
    <pivotField showAll="0"/>
    <pivotField showAll="0"/>
    <pivotField showAll="0"/>
    <pivotField numFmtId="164" showAll="0"/>
    <pivotField axis="axisRow" showAll="0">
      <items count="6">
        <item x="1"/>
        <item x="4"/>
        <item x="0"/>
        <item x="3"/>
        <item x="2"/>
        <item t="default"/>
      </items>
    </pivotField>
    <pivotField showAll="0"/>
    <pivotField showAll="0"/>
    <pivotField showAll="0"/>
    <pivotField showAll="0"/>
    <pivotField numFmtId="164" showAll="0"/>
    <pivotField axis="axisCol" dataField="1" showAll="0">
      <items count="4">
        <item x="1"/>
        <item x="2"/>
        <item x="0"/>
        <item t="default"/>
      </items>
    </pivotField>
    <pivotField showAll="0"/>
    <pivotField showAll="0"/>
    <pivotField showAll="0"/>
    <pivotField numFmtId="164" showAll="0"/>
    <pivotField showAll="0"/>
    <pivotField showAll="0"/>
    <pivotField showAll="0"/>
  </pivotFields>
  <rowFields count="1">
    <field x="13"/>
  </rowFields>
  <rowItems count="6">
    <i>
      <x/>
    </i>
    <i>
      <x v="1"/>
    </i>
    <i>
      <x v="2"/>
    </i>
    <i>
      <x v="3"/>
    </i>
    <i>
      <x v="4"/>
    </i>
    <i t="grand">
      <x/>
    </i>
  </rowItems>
  <colFields count="1">
    <field x="19"/>
  </colFields>
  <colItems count="4">
    <i>
      <x/>
    </i>
    <i>
      <x v="1"/>
    </i>
    <i>
      <x v="2"/>
    </i>
    <i t="grand">
      <x/>
    </i>
  </colItems>
  <dataFields count="1">
    <dataField name="Count of Inspection Results" fld="19"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89BFB01-3095-4BB0-B646-BF008D1BFD4D}" name="PivotTable69"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25:E30" firstHeaderRow="1" firstDataRow="2" firstDataCol="1"/>
  <pivotFields count="27">
    <pivotField axis="axisRow" showAll="0">
      <items count="4">
        <item x="2"/>
        <item x="0"/>
        <item x="1"/>
        <item t="default"/>
      </items>
    </pivotField>
    <pivotField showAll="0"/>
    <pivotField numFmtId="164" showAll="0"/>
    <pivotField showAll="0"/>
    <pivotField showAll="0"/>
    <pivotField numFmtId="164" showAll="0"/>
    <pivotField showAll="0"/>
    <pivotField showAll="0"/>
    <pivotField showAll="0"/>
    <pivotField showAll="0"/>
    <pivotField showAll="0"/>
    <pivotField showAll="0"/>
    <pivotField numFmtId="164" showAll="0"/>
    <pivotField showAll="0"/>
    <pivotField showAll="0"/>
    <pivotField showAll="0"/>
    <pivotField showAll="0"/>
    <pivotField showAll="0"/>
    <pivotField numFmtId="164" showAll="0"/>
    <pivotField axis="axisCol" dataField="1" showAll="0">
      <items count="4">
        <item x="1"/>
        <item x="2"/>
        <item x="0"/>
        <item t="default"/>
      </items>
    </pivotField>
    <pivotField showAll="0"/>
    <pivotField showAll="0"/>
    <pivotField showAll="0"/>
    <pivotField numFmtId="164" showAll="0"/>
    <pivotField showAll="0"/>
    <pivotField showAll="0"/>
    <pivotField showAll="0"/>
  </pivotFields>
  <rowFields count="1">
    <field x="0"/>
  </rowFields>
  <rowItems count="4">
    <i>
      <x/>
    </i>
    <i>
      <x v="1"/>
    </i>
    <i>
      <x v="2"/>
    </i>
    <i t="grand">
      <x/>
    </i>
  </rowItems>
  <colFields count="1">
    <field x="19"/>
  </colFields>
  <colItems count="4">
    <i>
      <x/>
    </i>
    <i>
      <x v="1"/>
    </i>
    <i>
      <x v="2"/>
    </i>
    <i t="grand">
      <x/>
    </i>
  </colItems>
  <dataFields count="1">
    <dataField name="Count of Inspection Results" fld="19"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8CC3733-311C-4A88-8A23-0EDAC6C4899C}" name="PivotTable65"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17:B22" firstHeaderRow="1" firstDataRow="1" firstDataCol="1"/>
  <pivotFields count="27">
    <pivotField showAll="0"/>
    <pivotField showAll="0"/>
    <pivotField numFmtId="164" showAll="0"/>
    <pivotField showAll="0"/>
    <pivotField showAll="0"/>
    <pivotField numFmtId="164" showAll="0"/>
    <pivotField showAll="0"/>
    <pivotField showAll="0"/>
    <pivotField showAll="0"/>
    <pivotField showAll="0"/>
    <pivotField showAll="0"/>
    <pivotField showAll="0"/>
    <pivotField numFmtId="164" showAll="0"/>
    <pivotField showAll="0"/>
    <pivotField showAll="0"/>
    <pivotField dataField="1" showAll="0"/>
    <pivotField showAll="0"/>
    <pivotField showAll="0"/>
    <pivotField numFmtId="164" showAll="0"/>
    <pivotField showAll="0"/>
    <pivotField showAll="0"/>
    <pivotField axis="axisRow" showAll="0" sortType="descending">
      <items count="5">
        <item x="1"/>
        <item x="2"/>
        <item x="0"/>
        <item x="3"/>
        <item t="default"/>
      </items>
      <autoSortScope>
        <pivotArea dataOnly="0" outline="0" fieldPosition="0">
          <references count="1">
            <reference field="4294967294" count="1" selected="0">
              <x v="0"/>
            </reference>
          </references>
        </pivotArea>
      </autoSortScope>
    </pivotField>
    <pivotField showAll="0"/>
    <pivotField numFmtId="164" showAll="0"/>
    <pivotField showAll="0"/>
    <pivotField showAll="0"/>
    <pivotField showAll="0"/>
  </pivotFields>
  <rowFields count="1">
    <field x="21"/>
  </rowFields>
  <rowItems count="5">
    <i>
      <x v="2"/>
    </i>
    <i>
      <x v="1"/>
    </i>
    <i>
      <x v="3"/>
    </i>
    <i>
      <x/>
    </i>
    <i t="grand">
      <x/>
    </i>
  </rowItems>
  <colItems count="1">
    <i/>
  </colItems>
  <dataFields count="1">
    <dataField name="Average of Lead Time" fld="15" subtotal="average" baseField="21" baseItem="0" numFmtId="1"/>
  </dataFields>
  <formats count="1">
    <format dxfId="66">
      <pivotArea outline="0" collapsedLevelsAreSubtotals="1" fieldPosition="0"/>
    </format>
  </format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4B04912-A9B6-48FA-9007-5392EF3D92CC}" name="PivotTable63"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10:D14" firstHeaderRow="0" firstDataRow="1" firstDataCol="1"/>
  <pivotFields count="27">
    <pivotField axis="axisRow" showAll="0">
      <items count="4">
        <item x="2"/>
        <item x="0"/>
        <item x="1"/>
        <item t="default"/>
      </items>
    </pivotField>
    <pivotField dataField="1" showAll="0">
      <items count="101">
        <item x="0"/>
        <item x="1"/>
        <item x="10"/>
        <item x="11"/>
        <item x="12"/>
        <item x="13"/>
        <item x="14"/>
        <item x="15"/>
        <item x="16"/>
        <item x="17"/>
        <item x="18"/>
        <item x="19"/>
        <item x="2"/>
        <item x="20"/>
        <item x="21"/>
        <item x="22"/>
        <item x="23"/>
        <item x="24"/>
        <item x="25"/>
        <item x="26"/>
        <item x="27"/>
        <item x="28"/>
        <item x="29"/>
        <item x="3"/>
        <item x="30"/>
        <item x="31"/>
        <item x="32"/>
        <item x="33"/>
        <item x="34"/>
        <item x="35"/>
        <item x="36"/>
        <item x="37"/>
        <item x="38"/>
        <item x="39"/>
        <item x="4"/>
        <item x="40"/>
        <item x="41"/>
        <item x="42"/>
        <item x="43"/>
        <item x="44"/>
        <item x="45"/>
        <item x="46"/>
        <item x="47"/>
        <item x="48"/>
        <item x="49"/>
        <item x="5"/>
        <item x="50"/>
        <item x="51"/>
        <item x="52"/>
        <item x="53"/>
        <item x="54"/>
        <item x="55"/>
        <item x="56"/>
        <item x="57"/>
        <item x="58"/>
        <item x="59"/>
        <item x="6"/>
        <item x="60"/>
        <item x="61"/>
        <item x="62"/>
        <item x="63"/>
        <item x="64"/>
        <item x="65"/>
        <item x="66"/>
        <item x="67"/>
        <item x="68"/>
        <item x="69"/>
        <item x="7"/>
        <item x="70"/>
        <item x="71"/>
        <item x="72"/>
        <item x="73"/>
        <item x="74"/>
        <item x="75"/>
        <item x="76"/>
        <item x="77"/>
        <item x="78"/>
        <item x="79"/>
        <item x="8"/>
        <item x="80"/>
        <item x="81"/>
        <item x="82"/>
        <item x="83"/>
        <item x="84"/>
        <item x="85"/>
        <item x="86"/>
        <item x="87"/>
        <item x="88"/>
        <item x="89"/>
        <item x="9"/>
        <item x="90"/>
        <item x="91"/>
        <item x="92"/>
        <item x="93"/>
        <item x="94"/>
        <item x="95"/>
        <item x="96"/>
        <item x="97"/>
        <item x="98"/>
        <item x="99"/>
        <item t="default"/>
      </items>
    </pivotField>
    <pivotField numFmtId="164" showAll="0"/>
    <pivotField showAll="0"/>
    <pivotField dataField="1" showAll="0"/>
    <pivotField dataField="1" numFmtId="164" showAll="0"/>
    <pivotField showAll="0"/>
    <pivotField showAll="0"/>
    <pivotField showAll="0"/>
    <pivotField showAll="0"/>
    <pivotField showAll="0"/>
    <pivotField showAll="0"/>
    <pivotField numFmtId="164" showAll="0"/>
    <pivotField showAll="0"/>
    <pivotField showAll="0"/>
    <pivotField showAll="0"/>
    <pivotField showAll="0"/>
    <pivotField showAll="0"/>
    <pivotField numFmtId="164" showAll="0"/>
    <pivotField showAll="0"/>
    <pivotField showAll="0"/>
    <pivotField showAll="0"/>
    <pivotField showAll="0"/>
    <pivotField numFmtId="164" showAll="0"/>
    <pivotField showAll="0"/>
    <pivotField showAll="0"/>
    <pivotField showAll="0"/>
  </pivotFields>
  <rowFields count="1">
    <field x="0"/>
  </rowFields>
  <rowItems count="4">
    <i>
      <x/>
    </i>
    <i>
      <x v="1"/>
    </i>
    <i>
      <x v="2"/>
    </i>
    <i t="grand">
      <x/>
    </i>
  </rowItems>
  <colFields count="1">
    <field x="-2"/>
  </colFields>
  <colItems count="3">
    <i>
      <x/>
    </i>
    <i i="1">
      <x v="1"/>
    </i>
    <i i="2">
      <x v="2"/>
    </i>
  </colItems>
  <dataFields count="3">
    <dataField name="Count of SKU" fld="1" subtotal="count" baseField="0" baseItem="0"/>
    <dataField name="Sum of Number Of Products Sold" fld="4" baseField="0" baseItem="0"/>
    <dataField name="Sum of Revenue Generated" fld="5" baseField="0" baseItem="0" numFmtId="16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AF6ADDD-96A5-4B03-B8C1-5A666A358479}" name="PivotTable62"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Gender">
  <location ref="A2:C7" firstHeaderRow="0" firstDataRow="1" firstDataCol="1"/>
  <pivotFields count="27">
    <pivotField showAll="0"/>
    <pivotField showAll="0"/>
    <pivotField numFmtId="164" showAll="0"/>
    <pivotField showAll="0"/>
    <pivotField dataField="1" showAll="0"/>
    <pivotField dataField="1" numFmtId="164" showAll="0"/>
    <pivotField axis="axisRow" showAll="0">
      <items count="5">
        <item x="1"/>
        <item x="3"/>
        <item x="0"/>
        <item x="2"/>
        <item t="default"/>
      </items>
    </pivotField>
    <pivotField showAll="0"/>
    <pivotField showAll="0"/>
    <pivotField showAll="0"/>
    <pivotField showAll="0"/>
    <pivotField showAll="0"/>
    <pivotField numFmtId="164" showAll="0"/>
    <pivotField showAll="0"/>
    <pivotField showAll="0"/>
    <pivotField showAll="0"/>
    <pivotField showAll="0"/>
    <pivotField showAll="0"/>
    <pivotField numFmtId="164" showAll="0"/>
    <pivotField showAll="0"/>
    <pivotField showAll="0"/>
    <pivotField showAll="0"/>
    <pivotField showAll="0"/>
    <pivotField numFmtId="164" showAll="0"/>
    <pivotField showAll="0"/>
    <pivotField showAll="0"/>
    <pivotField showAll="0"/>
  </pivotFields>
  <rowFields count="1">
    <field x="6"/>
  </rowFields>
  <rowItems count="5">
    <i>
      <x/>
    </i>
    <i>
      <x v="1"/>
    </i>
    <i>
      <x v="2"/>
    </i>
    <i>
      <x v="3"/>
    </i>
    <i t="grand">
      <x/>
    </i>
  </rowItems>
  <colFields count="1">
    <field x="-2"/>
  </colFields>
  <colItems count="2">
    <i>
      <x/>
    </i>
    <i i="1">
      <x v="1"/>
    </i>
  </colItems>
  <dataFields count="2">
    <dataField name="Sum of Revenue Generated" fld="5" baseField="0" baseItem="0" numFmtId="164"/>
    <dataField name="Sum of Number Of Products Sold" fld="4" baseField="0" baseItem="0"/>
  </dataFields>
  <formats count="7">
    <format dxfId="73">
      <pivotArea field="6" type="button" dataOnly="0" labelOnly="1" outline="0" axis="axisRow" fieldPosition="0"/>
    </format>
    <format dxfId="72">
      <pivotArea dataOnly="0" labelOnly="1" outline="0" fieldPosition="0">
        <references count="1">
          <reference field="4294967294" count="2">
            <x v="0"/>
            <x v="1"/>
          </reference>
        </references>
      </pivotArea>
    </format>
    <format dxfId="71">
      <pivotArea grandRow="1" outline="0" collapsedLevelsAreSubtotals="1" fieldPosition="0"/>
    </format>
    <format dxfId="70">
      <pivotArea dataOnly="0" labelOnly="1" grandRow="1" outline="0" fieldPosition="0"/>
    </format>
    <format dxfId="69">
      <pivotArea dataOnly="0" labelOnly="1" outline="0" fieldPosition="0">
        <references count="1">
          <reference field="4294967294" count="1">
            <x v="0"/>
          </reference>
        </references>
      </pivotArea>
    </format>
    <format dxfId="68">
      <pivotArea dataOnly="0" labelOnly="1" outline="0" fieldPosition="0">
        <references count="1">
          <reference field="4294967294" count="1">
            <x v="0"/>
          </reference>
        </references>
      </pivotArea>
    </format>
    <format dxfId="67">
      <pivotArea dataOnly="0" labelOnly="1" outline="0" fieldPosition="0">
        <references count="1">
          <reference field="4294967294" count="1">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81FC129-EE7A-49F8-8D70-D33061221ABD}" name="PivotTable67"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rowHeaderCaption="Carrier">
  <location ref="G2:H6" firstHeaderRow="1" firstDataRow="1" firstDataCol="1"/>
  <pivotFields count="27">
    <pivotField showAll="0"/>
    <pivotField showAll="0"/>
    <pivotField numFmtId="164" showAll="0"/>
    <pivotField showAll="0"/>
    <pivotField showAll="0"/>
    <pivotField numFmtId="164" showAll="0"/>
    <pivotField showAll="0"/>
    <pivotField showAll="0"/>
    <pivotField showAll="0"/>
    <pivotField showAll="0"/>
    <pivotField dataField="1" showAll="0"/>
    <pivotField axis="axisRow" showAll="0" sortType="descending">
      <items count="4">
        <item x="2"/>
        <item x="0"/>
        <item x="1"/>
        <item t="default"/>
      </items>
    </pivotField>
    <pivotField numFmtId="164" showAll="0"/>
    <pivotField showAll="0"/>
    <pivotField showAll="0"/>
    <pivotField showAll="0"/>
    <pivotField showAll="0"/>
    <pivotField showAll="0"/>
    <pivotField numFmtId="164" showAll="0"/>
    <pivotField showAll="0"/>
    <pivotField showAll="0"/>
    <pivotField showAll="0"/>
    <pivotField showAll="0"/>
    <pivotField numFmtId="164" showAll="0"/>
    <pivotField showAll="0"/>
    <pivotField showAll="0"/>
    <pivotField showAll="0"/>
  </pivotFields>
  <rowFields count="1">
    <field x="11"/>
  </rowFields>
  <rowItems count="4">
    <i>
      <x/>
    </i>
    <i>
      <x v="1"/>
    </i>
    <i>
      <x v="2"/>
    </i>
    <i t="grand">
      <x/>
    </i>
  </rowItems>
  <colItems count="1">
    <i/>
  </colItems>
  <dataFields count="1">
    <dataField name="Average of Shipping Times" fld="10" subtotal="average" baseField="11" baseItem="0" numFmtId="1"/>
  </dataFields>
  <formats count="1">
    <format dxfId="74">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EC90CD9-5EDC-42DF-9065-D3BCA7CFD650}" name="PivotTable66"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D17:E21" firstHeaderRow="1" firstDataRow="1" firstDataCol="1"/>
  <pivotFields count="27">
    <pivotField showAll="0"/>
    <pivotField showAll="0"/>
    <pivotField numFmtId="164" showAll="0"/>
    <pivotField showAll="0"/>
    <pivotField showAll="0"/>
    <pivotField numFmtId="164" showAll="0"/>
    <pivotField showAll="0"/>
    <pivotField showAll="0"/>
    <pivotField showAll="0"/>
    <pivotField showAll="0"/>
    <pivotField showAll="0"/>
    <pivotField showAll="0"/>
    <pivotField numFmtId="164" showAll="0"/>
    <pivotField showAll="0"/>
    <pivotField showAll="0"/>
    <pivotField dataField="1" showAll="0"/>
    <pivotField showAll="0"/>
    <pivotField showAll="0"/>
    <pivotField numFmtId="164" showAll="0"/>
    <pivotField showAll="0"/>
    <pivotField showAll="0"/>
    <pivotField showAll="0"/>
    <pivotField axis="axisRow" showAll="0" sortType="descending">
      <items count="4">
        <item x="1"/>
        <item x="0"/>
        <item x="2"/>
        <item t="default"/>
      </items>
    </pivotField>
    <pivotField numFmtId="164" showAll="0"/>
    <pivotField showAll="0"/>
    <pivotField showAll="0"/>
    <pivotField showAll="0"/>
  </pivotFields>
  <rowFields count="1">
    <field x="22"/>
  </rowFields>
  <rowItems count="4">
    <i>
      <x/>
    </i>
    <i>
      <x v="1"/>
    </i>
    <i>
      <x v="2"/>
    </i>
    <i t="grand">
      <x/>
    </i>
  </rowItems>
  <colItems count="1">
    <i/>
  </colItems>
  <dataFields count="1">
    <dataField name="Average of Lead Time" fld="15" subtotal="average" baseField="22" baseItem="0" numFmtId="1"/>
  </dataFields>
  <formats count="1">
    <format dxfId="75">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B2614915-74E7-43BF-B139-37B30CF8A8C1}" name="PivotTable5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Consolidated Risk by Product">
  <location ref="R44:U48" firstHeaderRow="0" firstDataRow="1" firstDataCol="1"/>
  <pivotFields count="16">
    <pivotField showAll="0"/>
    <pivotField axis="axisRow" showAll="0">
      <items count="4">
        <item x="2"/>
        <item x="0"/>
        <item x="1"/>
        <item t="default"/>
      </items>
    </pivotField>
    <pivotField showAll="0"/>
    <pivotField showAll="0"/>
    <pivotField showAll="0"/>
    <pivotField numFmtId="164" showAll="0"/>
    <pivotField numFmtId="164" showAll="0"/>
    <pivotField numFmtId="164" showAll="0"/>
    <pivotField numFmtId="164" showAll="0"/>
    <pivotField showAll="0"/>
    <pivotField showAll="0"/>
    <pivotField showAll="0"/>
    <pivotField numFmtId="2" showAll="0"/>
    <pivotField showAll="0"/>
    <pivotField showAll="0"/>
    <pivotField dataField="1" numFmtId="2" showAll="0"/>
  </pivotFields>
  <rowFields count="1">
    <field x="1"/>
  </rowFields>
  <rowItems count="4">
    <i>
      <x/>
    </i>
    <i>
      <x v="1"/>
    </i>
    <i>
      <x v="2"/>
    </i>
    <i t="grand">
      <x/>
    </i>
  </rowItems>
  <colFields count="1">
    <field x="-2"/>
  </colFields>
  <colItems count="3">
    <i>
      <x/>
    </i>
    <i i="1">
      <x v="1"/>
    </i>
    <i i="2">
      <x v="2"/>
    </i>
  </colItems>
  <dataFields count="3">
    <dataField name="Average" fld="15" subtotal="average" baseField="1" baseItem="0" numFmtId="2"/>
    <dataField name="Min" fld="15" subtotal="min" baseField="1" baseItem="0" numFmtId="2"/>
    <dataField name="Max" fld="15" subtotal="max" baseField="1" baseItem="0" numFmtId="2"/>
  </dataFields>
  <formats count="7">
    <format dxfId="28">
      <pivotArea field="1" type="button" dataOnly="0" labelOnly="1" outline="0" axis="axisRow" fieldPosition="0"/>
    </format>
    <format dxfId="27">
      <pivotArea type="all" dataOnly="0" outline="0" fieldPosition="0"/>
    </format>
    <format dxfId="26">
      <pivotArea outline="0" collapsedLevelsAreSubtotals="1" fieldPosition="0"/>
    </format>
    <format dxfId="25">
      <pivotArea field="1" type="button" dataOnly="0" labelOnly="1" outline="0" axis="axisRow" fieldPosition="0"/>
    </format>
    <format dxfId="24">
      <pivotArea dataOnly="0" labelOnly="1" fieldPosition="0">
        <references count="1">
          <reference field="1" count="0"/>
        </references>
      </pivotArea>
    </format>
    <format dxfId="23">
      <pivotArea dataOnly="0" labelOnly="1" grandRow="1" outline="0" fieldPosition="0"/>
    </format>
    <format dxfId="22">
      <pivotArea dataOnly="0" labelOnly="1" outline="0" fieldPosition="0">
        <references count="1">
          <reference field="4294967294" count="3">
            <x v="0"/>
            <x v="1"/>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F3642232-B81B-4708-B9FD-C24719E304D7}" name="PivotTable5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Products with Lowest Risk">
  <location ref="R36:S42" firstHeaderRow="1" firstDataRow="1" firstDataCol="1"/>
  <pivotFields count="16">
    <pivotField axis="axisRow" showAll="0" measureFilter="1">
      <items count="101">
        <item x="0"/>
        <item x="1"/>
        <item x="10"/>
        <item x="11"/>
        <item x="12"/>
        <item x="13"/>
        <item x="14"/>
        <item x="15"/>
        <item x="16"/>
        <item x="17"/>
        <item x="18"/>
        <item x="19"/>
        <item x="2"/>
        <item x="20"/>
        <item x="21"/>
        <item x="22"/>
        <item x="23"/>
        <item x="24"/>
        <item x="25"/>
        <item x="26"/>
        <item x="27"/>
        <item x="28"/>
        <item x="29"/>
        <item x="3"/>
        <item x="30"/>
        <item x="31"/>
        <item x="32"/>
        <item x="33"/>
        <item x="34"/>
        <item x="35"/>
        <item x="36"/>
        <item x="37"/>
        <item x="38"/>
        <item x="39"/>
        <item x="4"/>
        <item x="40"/>
        <item x="41"/>
        <item x="42"/>
        <item x="43"/>
        <item x="44"/>
        <item x="45"/>
        <item x="46"/>
        <item x="47"/>
        <item x="48"/>
        <item x="49"/>
        <item x="5"/>
        <item x="50"/>
        <item x="51"/>
        <item x="52"/>
        <item x="53"/>
        <item x="54"/>
        <item x="55"/>
        <item x="56"/>
        <item x="57"/>
        <item x="58"/>
        <item x="59"/>
        <item x="6"/>
        <item x="60"/>
        <item x="61"/>
        <item x="62"/>
        <item x="63"/>
        <item x="64"/>
        <item x="65"/>
        <item x="66"/>
        <item x="67"/>
        <item x="68"/>
        <item x="69"/>
        <item x="7"/>
        <item x="70"/>
        <item x="71"/>
        <item x="72"/>
        <item x="73"/>
        <item x="74"/>
        <item x="75"/>
        <item x="76"/>
        <item x="77"/>
        <item x="78"/>
        <item x="79"/>
        <item x="8"/>
        <item x="80"/>
        <item x="81"/>
        <item x="82"/>
        <item x="83"/>
        <item x="84"/>
        <item x="85"/>
        <item x="86"/>
        <item x="87"/>
        <item x="88"/>
        <item x="89"/>
        <item x="9"/>
        <item x="90"/>
        <item x="91"/>
        <item x="92"/>
        <item x="93"/>
        <item x="94"/>
        <item x="95"/>
        <item x="96"/>
        <item x="97"/>
        <item x="98"/>
        <item x="99"/>
        <item t="default"/>
      </items>
    </pivotField>
    <pivotField showAll="0"/>
    <pivotField showAll="0"/>
    <pivotField showAll="0"/>
    <pivotField showAll="0"/>
    <pivotField numFmtId="164" showAll="0"/>
    <pivotField numFmtId="164" showAll="0"/>
    <pivotField numFmtId="164" showAll="0"/>
    <pivotField numFmtId="164" showAll="0"/>
    <pivotField showAll="0"/>
    <pivotField showAll="0"/>
    <pivotField showAll="0"/>
    <pivotField numFmtId="2" showAll="0"/>
    <pivotField showAll="0"/>
    <pivotField showAll="0"/>
    <pivotField dataField="1" numFmtId="2" showAll="0"/>
  </pivotFields>
  <rowFields count="1">
    <field x="0"/>
  </rowFields>
  <rowItems count="6">
    <i>
      <x/>
    </i>
    <i>
      <x v="12"/>
    </i>
    <i>
      <x v="56"/>
    </i>
    <i>
      <x v="64"/>
    </i>
    <i>
      <x v="65"/>
    </i>
    <i t="grand">
      <x/>
    </i>
  </rowItems>
  <colItems count="1">
    <i/>
  </colItems>
  <dataFields count="1">
    <dataField name="Average of Consolidated Score" fld="15" subtotal="average" baseField="0" baseItem="0" numFmtId="2"/>
  </dataFields>
  <formats count="8">
    <format dxfId="36">
      <pivotArea field="0" type="button" dataOnly="0" labelOnly="1" outline="0" axis="axisRow" fieldPosition="0"/>
    </format>
    <format dxfId="35">
      <pivotArea field="0" type="button" dataOnly="0" labelOnly="1" outline="0" axis="axisRow" fieldPosition="0"/>
    </format>
    <format dxfId="34">
      <pivotArea dataOnly="0" labelOnly="1" outline="0" axis="axisValues" fieldPosition="0"/>
    </format>
    <format dxfId="33">
      <pivotArea collapsedLevelsAreSubtotals="1" fieldPosition="0">
        <references count="1">
          <reference field="0" count="5">
            <x v="0"/>
            <x v="12"/>
            <x v="56"/>
            <x v="64"/>
            <x v="65"/>
          </reference>
        </references>
      </pivotArea>
    </format>
    <format dxfId="32">
      <pivotArea dataOnly="0" labelOnly="1" fieldPosition="0">
        <references count="1">
          <reference field="0" count="5">
            <x v="0"/>
            <x v="12"/>
            <x v="56"/>
            <x v="64"/>
            <x v="65"/>
          </reference>
        </references>
      </pivotArea>
    </format>
    <format dxfId="31">
      <pivotArea collapsedLevelsAreSubtotals="1" fieldPosition="0">
        <references count="1">
          <reference field="0" count="5">
            <x v="0"/>
            <x v="12"/>
            <x v="56"/>
            <x v="64"/>
            <x v="65"/>
          </reference>
        </references>
      </pivotArea>
    </format>
    <format dxfId="30">
      <pivotArea dataOnly="0" labelOnly="1" fieldPosition="0">
        <references count="1">
          <reference field="0" count="5">
            <x v="0"/>
            <x v="12"/>
            <x v="56"/>
            <x v="64"/>
            <x v="65"/>
          </reference>
        </references>
      </pivotArea>
    </format>
    <format dxfId="29">
      <pivotArea dataOnly="0" labelOnly="1" outline="0" axis="axisValues" fieldPosition="0"/>
    </format>
  </formats>
  <pivotTableStyleInfo name="PivotStyleLight16" showRowHeaders="1" showColHeaders="1" showRowStripes="0" showColStripes="0" showLastColumn="1"/>
  <filters count="1">
    <filter fld="0" type="count" evalOrder="-1" id="1" iMeasureFld="0">
      <autoFilter ref="A1">
        <filterColumn colId="0">
          <top10 top="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B3ADFDB-FB2D-4F33-BFE2-8622BA3678C0}" name="PivotTable5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Products with Highest Risk">
  <location ref="R23:S34" firstHeaderRow="1" firstDataRow="1" firstDataCol="1"/>
  <pivotFields count="16">
    <pivotField axis="axisRow" showAll="0" measureFilter="1" sortType="descending">
      <items count="101">
        <item x="0"/>
        <item x="1"/>
        <item x="10"/>
        <item x="11"/>
        <item x="12"/>
        <item x="13"/>
        <item x="14"/>
        <item x="15"/>
        <item x="16"/>
        <item x="17"/>
        <item x="18"/>
        <item x="19"/>
        <item x="2"/>
        <item x="20"/>
        <item x="21"/>
        <item x="22"/>
        <item x="23"/>
        <item x="24"/>
        <item x="25"/>
        <item x="26"/>
        <item x="27"/>
        <item x="28"/>
        <item x="29"/>
        <item x="3"/>
        <item x="30"/>
        <item x="31"/>
        <item x="32"/>
        <item x="33"/>
        <item x="34"/>
        <item x="35"/>
        <item x="36"/>
        <item x="37"/>
        <item x="38"/>
        <item x="39"/>
        <item x="4"/>
        <item x="40"/>
        <item x="41"/>
        <item x="42"/>
        <item x="43"/>
        <item x="44"/>
        <item x="45"/>
        <item x="46"/>
        <item x="47"/>
        <item x="48"/>
        <item x="49"/>
        <item x="5"/>
        <item x="50"/>
        <item x="51"/>
        <item x="52"/>
        <item x="53"/>
        <item x="54"/>
        <item x="55"/>
        <item x="56"/>
        <item x="57"/>
        <item x="58"/>
        <item x="59"/>
        <item x="6"/>
        <item x="60"/>
        <item x="61"/>
        <item x="62"/>
        <item x="63"/>
        <item x="64"/>
        <item x="65"/>
        <item x="66"/>
        <item x="67"/>
        <item x="68"/>
        <item x="69"/>
        <item x="7"/>
        <item x="70"/>
        <item x="71"/>
        <item x="72"/>
        <item x="73"/>
        <item x="74"/>
        <item x="75"/>
        <item x="76"/>
        <item x="77"/>
        <item x="78"/>
        <item x="79"/>
        <item x="8"/>
        <item x="80"/>
        <item x="81"/>
        <item x="82"/>
        <item x="83"/>
        <item x="84"/>
        <item x="85"/>
        <item x="86"/>
        <item x="87"/>
        <item x="88"/>
        <item x="89"/>
        <item x="9"/>
        <item x="90"/>
        <item x="91"/>
        <item x="92"/>
        <item x="93"/>
        <item x="94"/>
        <item x="95"/>
        <item x="96"/>
        <item x="97"/>
        <item x="98"/>
        <item x="99"/>
        <item t="default"/>
      </items>
      <autoSortScope>
        <pivotArea dataOnly="0" outline="0" fieldPosition="0">
          <references count="1">
            <reference field="4294967294" count="1" selected="0">
              <x v="0"/>
            </reference>
          </references>
        </pivotArea>
      </autoSortScope>
    </pivotField>
    <pivotField showAll="0">
      <items count="4">
        <item x="2"/>
        <item x="0"/>
        <item x="1"/>
        <item t="default"/>
      </items>
    </pivotField>
    <pivotField showAll="0"/>
    <pivotField showAll="0"/>
    <pivotField showAll="0"/>
    <pivotField numFmtId="164" showAll="0"/>
    <pivotField numFmtId="164" showAll="0"/>
    <pivotField numFmtId="164" showAll="0"/>
    <pivotField numFmtId="164" showAll="0"/>
    <pivotField showAll="0"/>
    <pivotField showAll="0"/>
    <pivotField showAll="0"/>
    <pivotField numFmtId="2" showAll="0"/>
    <pivotField showAll="0"/>
    <pivotField showAll="0"/>
    <pivotField dataField="1" numFmtId="2" showAll="0"/>
  </pivotFields>
  <rowFields count="1">
    <field x="0"/>
  </rowFields>
  <rowItems count="11">
    <i>
      <x v="48"/>
    </i>
    <i>
      <x v="93"/>
    </i>
    <i>
      <x v="35"/>
    </i>
    <i>
      <x v="83"/>
    </i>
    <i>
      <x v="37"/>
    </i>
    <i>
      <x v="70"/>
    </i>
    <i>
      <x v="1"/>
    </i>
    <i>
      <x v="75"/>
    </i>
    <i>
      <x v="62"/>
    </i>
    <i>
      <x v="79"/>
    </i>
    <i t="grand">
      <x/>
    </i>
  </rowItems>
  <colItems count="1">
    <i/>
  </colItems>
  <dataFields count="1">
    <dataField name="Average of Consolidated Score" fld="15" subtotal="average" baseField="0" baseItem="35" numFmtId="2"/>
  </dataFields>
  <formats count="15">
    <format dxfId="51">
      <pivotArea collapsedLevelsAreSubtotals="1" fieldPosition="0">
        <references count="1">
          <reference field="0" count="5">
            <x v="35"/>
            <x v="37"/>
            <x v="48"/>
            <x v="83"/>
            <x v="93"/>
          </reference>
        </references>
      </pivotArea>
    </format>
    <format dxfId="50">
      <pivotArea dataOnly="0" labelOnly="1" fieldPosition="0">
        <references count="1">
          <reference field="0" count="5">
            <x v="35"/>
            <x v="37"/>
            <x v="48"/>
            <x v="83"/>
            <x v="93"/>
          </reference>
        </references>
      </pivotArea>
    </format>
    <format dxfId="49">
      <pivotArea field="0" type="button" dataOnly="0" labelOnly="1" outline="0" axis="axisRow" fieldPosition="0"/>
    </format>
    <format dxfId="48">
      <pivotArea dataOnly="0" labelOnly="1" outline="0" axis="axisValues" fieldPosition="0"/>
    </format>
    <format dxfId="47">
      <pivotArea field="0" type="button" dataOnly="0" labelOnly="1" outline="0" axis="axisRow" fieldPosition="0"/>
    </format>
    <format dxfId="46">
      <pivotArea dataOnly="0" labelOnly="1" outline="0" axis="axisValues" fieldPosition="0"/>
    </format>
    <format dxfId="45">
      <pivotArea collapsedLevelsAreSubtotals="1" fieldPosition="0">
        <references count="1">
          <reference field="0" count="10">
            <x v="1"/>
            <x v="35"/>
            <x v="37"/>
            <x v="48"/>
            <x v="62"/>
            <x v="70"/>
            <x v="75"/>
            <x v="79"/>
            <x v="83"/>
            <x v="93"/>
          </reference>
        </references>
      </pivotArea>
    </format>
    <format dxfId="44">
      <pivotArea dataOnly="0" labelOnly="1" fieldPosition="0">
        <references count="1">
          <reference field="0" count="10">
            <x v="1"/>
            <x v="35"/>
            <x v="37"/>
            <x v="48"/>
            <x v="62"/>
            <x v="70"/>
            <x v="75"/>
            <x v="79"/>
            <x v="83"/>
            <x v="93"/>
          </reference>
        </references>
      </pivotArea>
    </format>
    <format dxfId="43">
      <pivotArea collapsedLevelsAreSubtotals="1" fieldPosition="0">
        <references count="1">
          <reference field="0" count="10">
            <x v="1"/>
            <x v="35"/>
            <x v="37"/>
            <x v="48"/>
            <x v="62"/>
            <x v="70"/>
            <x v="75"/>
            <x v="79"/>
            <x v="83"/>
            <x v="93"/>
          </reference>
        </references>
      </pivotArea>
    </format>
    <format dxfId="42">
      <pivotArea dataOnly="0" labelOnly="1" fieldPosition="0">
        <references count="1">
          <reference field="0" count="10">
            <x v="1"/>
            <x v="35"/>
            <x v="37"/>
            <x v="48"/>
            <x v="62"/>
            <x v="70"/>
            <x v="75"/>
            <x v="79"/>
            <x v="83"/>
            <x v="93"/>
          </reference>
        </references>
      </pivotArea>
    </format>
    <format dxfId="41">
      <pivotArea field="0" type="button" dataOnly="0" labelOnly="1" outline="0" axis="axisRow" fieldPosition="0"/>
    </format>
    <format dxfId="40">
      <pivotArea dataOnly="0" labelOnly="1" outline="0" axis="axisValues" fieldPosition="0"/>
    </format>
    <format dxfId="39">
      <pivotArea grandRow="1" outline="0" collapsedLevelsAreSubtotals="1" fieldPosition="0"/>
    </format>
    <format dxfId="38">
      <pivotArea dataOnly="0" labelOnly="1" grandRow="1" outline="0" fieldPosition="0"/>
    </format>
    <format dxfId="37">
      <pivotArea dataOnly="0" labelOnly="1" fieldPosition="0">
        <references count="1">
          <reference field="0" count="5">
            <x v="35"/>
            <x v="37"/>
            <x v="48"/>
            <x v="83"/>
            <x v="93"/>
          </reference>
        </references>
      </pivotArea>
    </format>
  </formats>
  <pivotTableStyleInfo name="PivotStyleLight16" showRowHeaders="1" showColHeaders="1" showRowStripes="0" showColStripes="0" showLastColumn="1"/>
  <filters count="1">
    <filter fld="0" type="count" evalOrder="-1" id="3"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4513E9C5-62B6-4F29-A8E5-FB4D53C90916}" name="PivotTable58"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Product Category">
  <location ref="Y57:AB61" firstHeaderRow="0" firstDataRow="1" firstDataCol="1"/>
  <pivotFields count="3">
    <pivotField showAll="0"/>
    <pivotField axis="axisRow" showAll="0">
      <items count="4">
        <item x="2"/>
        <item x="0"/>
        <item x="1"/>
        <item t="default"/>
      </items>
    </pivotField>
    <pivotField dataField="1" numFmtId="2" showAll="0"/>
  </pivotFields>
  <rowFields count="1">
    <field x="1"/>
  </rowFields>
  <rowItems count="4">
    <i>
      <x/>
    </i>
    <i>
      <x v="1"/>
    </i>
    <i>
      <x v="2"/>
    </i>
    <i t="grand">
      <x/>
    </i>
  </rowItems>
  <colFields count="1">
    <field x="-2"/>
  </colFields>
  <colItems count="3">
    <i>
      <x/>
    </i>
    <i i="1">
      <x v="1"/>
    </i>
    <i i="2">
      <x v="2"/>
    </i>
  </colItems>
  <dataFields count="3">
    <dataField name="Mean" fld="2" subtotal="average" baseField="1" baseItem="0" numFmtId="2"/>
    <dataField name="Min" fld="2" subtotal="min" baseField="1" baseItem="0" numFmtId="2"/>
    <dataField name="Max" fld="2" subtotal="max" baseField="1" baseItem="0" numFmtId="2"/>
  </dataFields>
  <formats count="2">
    <format dxfId="53">
      <pivotArea collapsedLevelsAreSubtotals="1" fieldPosition="0">
        <references count="1">
          <reference field="1" count="0"/>
        </references>
      </pivotArea>
    </format>
    <format dxfId="52">
      <pivotArea field="1" type="button" dataOnly="0" labelOnly="1" outline="0" axis="axisRow"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B4FBE04-C2F9-433A-9EF8-8902EA1F9E42}" name="Table1" displayName="Table1" ref="A1:AA101" totalsRowShown="0" headerRowDxfId="107" dataDxfId="105" headerRowBorderDxfId="106" tableBorderDxfId="104" totalsRowBorderDxfId="103">
  <tableColumns count="27">
    <tableColumn id="1" xr3:uid="{C1F482CF-8968-4397-8ADC-826C70058C3C}" name="Product Type" dataDxfId="102"/>
    <tableColumn id="2" xr3:uid="{7A7DA215-4AA6-4E2C-84E4-317EE53BEC6E}" name="SKU" dataDxfId="101"/>
    <tableColumn id="3" xr3:uid="{51019EE7-4610-476A-9BF2-31114DFC6FD8}" name="Price" dataDxfId="100"/>
    <tableColumn id="4" xr3:uid="{C46E707E-9156-40D4-836B-706AC526EC43}" name="Availability" dataDxfId="99"/>
    <tableColumn id="5" xr3:uid="{69713C8C-58E0-4DC8-8AA8-AE71429C377E}" name="Number Of Products Sold" dataDxfId="98"/>
    <tableColumn id="6" xr3:uid="{3BDDEF79-1FDA-4C41-BC62-F15A0576579D}" name="Revenue Generated" dataDxfId="97"/>
    <tableColumn id="7" xr3:uid="{78168F99-019D-41EB-B9B0-BBD5DC968ECB}" name="Customer Demographics" dataDxfId="96"/>
    <tableColumn id="8" xr3:uid="{37A712B2-345D-470C-88E1-10BECACDA3C7}" name="Stock Levels" dataDxfId="95"/>
    <tableColumn id="9" xr3:uid="{A6E5F3BF-C8B4-47B1-8796-4B7FEAE15976}" name="Lead Times" dataDxfId="94"/>
    <tableColumn id="10" xr3:uid="{2E4DAC36-F506-40ED-91E4-BD55CC15E3D5}" name="Order Quantities" dataDxfId="93"/>
    <tableColumn id="11" xr3:uid="{A7A1C6F1-1002-4467-A4B6-E295BA186FDA}" name="Shipping Times" dataDxfId="92"/>
    <tableColumn id="12" xr3:uid="{76AFCFDE-783A-4666-B838-196D4DB71682}" name="Shipping Carriers" dataDxfId="91"/>
    <tableColumn id="13" xr3:uid="{251912D4-36D9-41D1-B685-271C25BA7790}" name="Shipping Costs" dataDxfId="90"/>
    <tableColumn id="14" xr3:uid="{0864F584-B989-44CB-8C6E-797CAC6A44BB}" name="Supplier Name" dataDxfId="89"/>
    <tableColumn id="15" xr3:uid="{1DE7189B-5F6C-4AB1-B775-96DD1034F075}" name="Location" dataDxfId="88"/>
    <tableColumn id="16" xr3:uid="{92EC27C9-D43C-499D-9D17-487F4C6AB961}" name="Lead Time" dataDxfId="87"/>
    <tableColumn id="17" xr3:uid="{9CC13E92-CFD5-4F9B-BD7D-786DE7282260}" name="Production Volumes" dataDxfId="86"/>
    <tableColumn id="18" xr3:uid="{EDECC47C-8DE0-4D98-8B99-5D15E3734A0B}" name="Manufacturing Lead Time" dataDxfId="85"/>
    <tableColumn id="19" xr3:uid="{A09FF139-EFAC-4E55-B33F-42A84513B306}" name="Manufacturing Costs" dataDxfId="84"/>
    <tableColumn id="20" xr3:uid="{C7E9D4D1-8F47-45BE-BA4E-4E4A4D4271CE}" name="Inspection Results" dataDxfId="83"/>
    <tableColumn id="21" xr3:uid="{08912913-5AF1-435E-8CE7-03868797DF14}" name="Defect Rates" dataDxfId="82"/>
    <tableColumn id="22" xr3:uid="{FEF90B98-C8BD-4DA9-82D5-A4961081337F}" name="Transportation Modes" dataDxfId="81"/>
    <tableColumn id="23" xr3:uid="{B2582260-837B-4AB5-B70B-092BA283A5C9}" name="Routes" dataDxfId="80"/>
    <tableColumn id="24" xr3:uid="{AB9DDEEF-C498-43FE-A493-429D7C92A75E}" name="Costs" dataDxfId="79"/>
    <tableColumn id="25" xr3:uid="{ED35A3CE-D8B9-48D7-AC7B-AB58D01BAEFE}" name="EOQ" dataDxfId="78">
      <calculatedColumnFormula>SQRT((2*Table1[[#This Row],[Number Of Products Sold]]*Table1[[#This Row],[Costs]])/(0.3*Table1[[#This Row],[Price]]))</calculatedColumnFormula>
    </tableColumn>
    <tableColumn id="26" xr3:uid="{3D845EB8-EF86-4E78-8932-C04A630443BC}" name="Optimum No of Orders" dataDxfId="77">
      <calculatedColumnFormula>Table1[[#This Row],[Number Of Products Sold]]/Table1[[#This Row],[EOQ]]</calculatedColumnFormula>
    </tableColumn>
    <tableColumn id="27" xr3:uid="{B03267D9-F1EF-4383-8A2C-709F97599B2B}" name="Order Frequency (Days)" dataDxfId="76">
      <calculatedColumnFormula>360/Table1[[#This Row],[Optimum No of Orders]]</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E278D7D-190F-450A-A26A-544CA711FB31}" name="Table3" displayName="Table3" ref="A1:F101" totalsRowShown="0" headerRowDxfId="64" dataDxfId="62" headerRowBorderDxfId="63" tableBorderDxfId="61" totalsRowBorderDxfId="60">
  <autoFilter ref="A1:F101" xr:uid="{1E278D7D-190F-450A-A26A-544CA711FB31}"/>
  <tableColumns count="6">
    <tableColumn id="1" xr3:uid="{A4A4E94A-7122-4D8E-B3DA-BE5D36FA288B}" name="SKU" dataDxfId="59"/>
    <tableColumn id="2" xr3:uid="{8CF5489C-B91C-4FC4-9693-34EE4C0C08DD}" name="Sales Velocity (Daily)" dataDxfId="58">
      <calculatedColumnFormula>Table1[[#This Row],[Number Of Products Sold]]/90</calculatedColumnFormula>
    </tableColumn>
    <tableColumn id="3" xr3:uid="{00EA5E3B-9615-428A-BA59-D548A0F9E61E}" name="Reorder Point" dataDxfId="57">
      <calculatedColumnFormula>B2*(Table1[[#This Row],[Lead Times]]+Table1[[#This Row],[Shipping Times]])</calculatedColumnFormula>
    </tableColumn>
    <tableColumn id="4" xr3:uid="{72696C1C-6378-40E9-8173-113847928F29}" name="Availability" dataDxfId="56"/>
    <tableColumn id="5" xr3:uid="{AF2B757F-76B3-4A54-AFDE-0E8D8B92AD3A}" name="Supplier ReOrder" dataDxfId="55">
      <calculatedColumnFormula>IF(D2&lt;C2, "Yes", "No")</calculatedColumnFormula>
    </tableColumn>
    <tableColumn id="6" xr3:uid="{C910D0AA-7262-404B-9741-ACAC289D4963}" name="Manufacuring Reorder" dataDxfId="54">
      <calculatedColumnFormula>IF((Table1[[#This Row],[Stock Levels]]+Table3[[#This Row],[Availability]])&lt;Table3[[#This Row],[Reorder Point]], "Yes", "No")</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8BBF359-1FA0-4856-B4D4-DC163FBE5081}" name="Table2" displayName="Table2" ref="A9:P109" totalsRowShown="0" headerRowDxfId="21" dataDxfId="20" tableBorderDxfId="19">
  <autoFilter ref="A9:P109" xr:uid="{08BBF359-1FA0-4856-B4D4-DC163FBE5081}"/>
  <tableColumns count="16">
    <tableColumn id="1" xr3:uid="{C62E192F-C34C-4709-AA0E-309662F165E0}" name="SKU" dataDxfId="18"/>
    <tableColumn id="2" xr3:uid="{3AD2F2ED-6F81-4C97-BA1F-F8FF5F1E630E}" name="Product Type" dataDxfId="17"/>
    <tableColumn id="3" xr3:uid="{DC9D73AA-1BA2-4D7C-826D-ADD83FDA87A9}" name="Availability" dataDxfId="16"/>
    <tableColumn id="4" xr3:uid="{7BAD73EB-BD00-4AB4-8337-E88C23029C5F}" name="Stock Levels" dataDxfId="15"/>
    <tableColumn id="5" xr3:uid="{8EEBBD28-F180-4C9C-8358-010263C4D911}" name="Lead Times" dataDxfId="14"/>
    <tableColumn id="6" xr3:uid="{510683EF-4511-4D10-A6C1-B796EC7FAC10}" name="Price" dataDxfId="13"/>
    <tableColumn id="7" xr3:uid="{C5FA8457-4728-48E3-96A1-9FB26FC96070}" name="Shipping Costs" dataDxfId="12"/>
    <tableColumn id="8" xr3:uid="{9D5C4CC7-735F-412D-A4EB-5BE0EED451E5}" name="Manufacturing Costs" dataDxfId="11"/>
    <tableColumn id="9" xr3:uid="{DDF51F80-6953-49DB-90B9-9905DF498B4F}" name="Costs" dataDxfId="10"/>
    <tableColumn id="10" xr3:uid="{0737773B-F72F-4B36-8833-5EAD87129D21}" name="Defect Rates" dataDxfId="9"/>
    <tableColumn id="11" xr3:uid="{610F2F58-4C93-4FC3-AF81-AAB2899DB400}" name="Stock Velocity " dataDxfId="8"/>
    <tableColumn id="12" xr3:uid="{4F3F8EE2-7E52-4F18-A32A-1A1DD47D15D2}" name="Stock Out Risk" dataDxfId="7">
      <calculatedColumnFormula>(E10/C10)*K10</calculatedColumnFormula>
    </tableColumn>
    <tableColumn id="13" xr3:uid="{E53FF72C-319C-453E-8C12-5BB2C9A643C1}" name="Carrying Cost Risk" dataDxfId="6">
      <calculatedColumnFormula>(C10+D10)*(F10+G10+H10+I10)*(1+J10)</calculatedColumnFormula>
    </tableColumn>
    <tableColumn id="14" xr3:uid="{BACFA44D-0C30-4369-9DD2-A6BF1A107297}" name="Normalised SO Risk" dataDxfId="5">
      <calculatedColumnFormula>(L10-$T$2)/$T$4</calculatedColumnFormula>
    </tableColumn>
    <tableColumn id="15" xr3:uid="{46312A1D-6B1D-4726-8C91-9F948517606D}" name="Normalised CC Risk" dataDxfId="4">
      <calculatedColumnFormula>(M10-$U$2)/$U$4</calculatedColumnFormula>
    </tableColumn>
    <tableColumn id="16" xr3:uid="{A5128F0F-3003-4E68-8660-F3BB3C50E637}" name="Consolidated Score" dataDxfId="3">
      <calculatedColumnFormula>(0.5*N10)+(0.5*O10)</calculatedColumnFormula>
    </tableColumn>
  </tableColumns>
  <tableStyleInfo name="TableStyleMedium2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1" dT="2024-11-13T09:15:11.27" personId="{1E735A8B-0797-4F8F-A44C-3B60A73DB127}" id="{D0923FA8-6A07-4B5B-8D63-DD1F806563B9}">
    <text>Assuming Original data refers to previous quarter sales record</text>
  </threadedComment>
  <threadedComment ref="C1" dT="2024-11-13T09:25:18.20" personId="{1E735A8B-0797-4F8F-A44C-3B60A73DB127}" id="{22082149-721C-4135-8116-7B93093438F5}">
    <text>Reorder Point = Sales Velocity * (Order Processing +Shipping Time)</text>
  </threadedComment>
  <threadedComment ref="D1" dT="2024-11-13T09:33:02.28" personId="{1E735A8B-0797-4F8F-A44C-3B60A73DB127}" id="{BC7728C4-0E18-4EA5-9824-F42FA6C227FA}">
    <text>Availability+Stock Level (at store end)</text>
  </threadedComment>
</ThreadedComment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 Id="rId9"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table" Target="../tables/table2.xml"/><Relationship Id="rId1" Type="http://schemas.openxmlformats.org/officeDocument/2006/relationships/vmlDrawing" Target="../drawings/vmlDrawing1.vml"/><Relationship Id="rId4" Type="http://schemas.microsoft.com/office/2017/10/relationships/threadedComment" Target="../threadedComments/threadedComment1.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7.xml.rels><?xml version="1.0" encoding="UTF-8" standalone="yes"?>
<Relationships xmlns="http://schemas.openxmlformats.org/package/2006/relationships"><Relationship Id="rId3" Type="http://schemas.openxmlformats.org/officeDocument/2006/relationships/pivotTable" Target="../pivotTables/pivotTable11.xml"/><Relationship Id="rId2" Type="http://schemas.openxmlformats.org/officeDocument/2006/relationships/pivotTable" Target="../pivotTables/pivotTable10.xml"/><Relationship Id="rId1" Type="http://schemas.openxmlformats.org/officeDocument/2006/relationships/pivotTable" Target="../pivotTables/pivotTable9.xml"/><Relationship Id="rId6" Type="http://schemas.openxmlformats.org/officeDocument/2006/relationships/table" Target="../tables/table3.xml"/><Relationship Id="rId5" Type="http://schemas.openxmlformats.org/officeDocument/2006/relationships/drawing" Target="../drawings/drawing4.xml"/><Relationship Id="rId4" Type="http://schemas.openxmlformats.org/officeDocument/2006/relationships/pivotTable" Target="../pivotTables/pivotTable12.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916CF3-38B7-4D78-BD70-2B99FA1BEA75}">
  <dimension ref="A1:X101"/>
  <sheetViews>
    <sheetView workbookViewId="0"/>
  </sheetViews>
  <sheetFormatPr defaultRowHeight="14.4" x14ac:dyDescent="0.3"/>
  <sheetData>
    <row r="1" spans="1:24"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x14ac:dyDescent="0.3">
      <c r="A2" t="s">
        <v>24</v>
      </c>
      <c r="B2" t="s">
        <v>25</v>
      </c>
      <c r="C2">
        <v>69.808005542115694</v>
      </c>
      <c r="D2">
        <v>55</v>
      </c>
      <c r="E2">
        <v>802</v>
      </c>
      <c r="F2">
        <v>8661.9967923923796</v>
      </c>
      <c r="G2" t="s">
        <v>26</v>
      </c>
      <c r="H2">
        <v>58</v>
      </c>
      <c r="I2">
        <v>7</v>
      </c>
      <c r="J2">
        <v>96</v>
      </c>
      <c r="K2">
        <v>4</v>
      </c>
      <c r="L2" t="s">
        <v>27</v>
      </c>
      <c r="M2">
        <v>2.9565721394308002</v>
      </c>
      <c r="N2" t="s">
        <v>28</v>
      </c>
      <c r="O2" t="s">
        <v>29</v>
      </c>
      <c r="P2">
        <v>29</v>
      </c>
      <c r="Q2">
        <v>215</v>
      </c>
      <c r="R2">
        <v>29</v>
      </c>
      <c r="S2">
        <v>46.279879240508301</v>
      </c>
      <c r="T2" t="s">
        <v>30</v>
      </c>
      <c r="U2">
        <v>0.226410360849925</v>
      </c>
      <c r="V2" t="s">
        <v>31</v>
      </c>
      <c r="W2" t="s">
        <v>32</v>
      </c>
      <c r="X2">
        <v>187.75207545920301</v>
      </c>
    </row>
    <row r="3" spans="1:24" x14ac:dyDescent="0.3">
      <c r="A3" t="s">
        <v>33</v>
      </c>
      <c r="B3" t="s">
        <v>34</v>
      </c>
      <c r="C3">
        <v>14.8435232750843</v>
      </c>
      <c r="D3">
        <v>95</v>
      </c>
      <c r="E3">
        <v>736</v>
      </c>
      <c r="F3">
        <v>7460.9000654458396</v>
      </c>
      <c r="G3" t="s">
        <v>35</v>
      </c>
      <c r="H3">
        <v>53</v>
      </c>
      <c r="I3">
        <v>30</v>
      </c>
      <c r="J3">
        <v>37</v>
      </c>
      <c r="K3">
        <v>2</v>
      </c>
      <c r="L3" t="s">
        <v>36</v>
      </c>
      <c r="M3">
        <v>9.7165747714313095</v>
      </c>
      <c r="N3" t="s">
        <v>28</v>
      </c>
      <c r="O3" t="s">
        <v>29</v>
      </c>
      <c r="P3">
        <v>23</v>
      </c>
      <c r="Q3">
        <v>517</v>
      </c>
      <c r="R3">
        <v>30</v>
      </c>
      <c r="S3">
        <v>33.616768953730002</v>
      </c>
      <c r="T3" t="s">
        <v>30</v>
      </c>
      <c r="U3">
        <v>4.8540680263886999</v>
      </c>
      <c r="V3" t="s">
        <v>31</v>
      </c>
      <c r="W3" t="s">
        <v>32</v>
      </c>
      <c r="X3">
        <v>503.06557914966902</v>
      </c>
    </row>
    <row r="4" spans="1:24" x14ac:dyDescent="0.3">
      <c r="A4" t="s">
        <v>24</v>
      </c>
      <c r="B4" t="s">
        <v>37</v>
      </c>
      <c r="C4">
        <v>11.319683293090501</v>
      </c>
      <c r="D4">
        <v>34</v>
      </c>
      <c r="E4">
        <v>8</v>
      </c>
      <c r="F4">
        <v>9577.7496258687297</v>
      </c>
      <c r="G4" t="s">
        <v>38</v>
      </c>
      <c r="H4">
        <v>1</v>
      </c>
      <c r="I4">
        <v>10</v>
      </c>
      <c r="J4">
        <v>88</v>
      </c>
      <c r="K4">
        <v>2</v>
      </c>
      <c r="L4" t="s">
        <v>27</v>
      </c>
      <c r="M4">
        <v>8.0544792617321495</v>
      </c>
      <c r="N4" t="s">
        <v>39</v>
      </c>
      <c r="O4" t="s">
        <v>29</v>
      </c>
      <c r="P4">
        <v>12</v>
      </c>
      <c r="Q4">
        <v>971</v>
      </c>
      <c r="R4">
        <v>27</v>
      </c>
      <c r="S4">
        <v>30.6880193482842</v>
      </c>
      <c r="T4" t="s">
        <v>30</v>
      </c>
      <c r="U4">
        <v>4.5805926191992201</v>
      </c>
      <c r="V4" t="s">
        <v>40</v>
      </c>
      <c r="W4" t="s">
        <v>41</v>
      </c>
      <c r="X4">
        <v>141.920281771519</v>
      </c>
    </row>
    <row r="5" spans="1:24" x14ac:dyDescent="0.3">
      <c r="A5" t="s">
        <v>33</v>
      </c>
      <c r="B5" t="s">
        <v>42</v>
      </c>
      <c r="C5">
        <v>61.1633430164377</v>
      </c>
      <c r="D5">
        <v>68</v>
      </c>
      <c r="E5">
        <v>83</v>
      </c>
      <c r="F5">
        <v>7766.8364256852301</v>
      </c>
      <c r="G5" t="s">
        <v>26</v>
      </c>
      <c r="H5">
        <v>23</v>
      </c>
      <c r="I5">
        <v>13</v>
      </c>
      <c r="J5">
        <v>59</v>
      </c>
      <c r="K5">
        <v>6</v>
      </c>
      <c r="L5" t="s">
        <v>43</v>
      </c>
      <c r="M5">
        <v>1.7295685635434199</v>
      </c>
      <c r="N5" t="s">
        <v>44</v>
      </c>
      <c r="O5" t="s">
        <v>45</v>
      </c>
      <c r="P5">
        <v>24</v>
      </c>
      <c r="Q5">
        <v>937</v>
      </c>
      <c r="R5">
        <v>18</v>
      </c>
      <c r="S5">
        <v>35.624741397125</v>
      </c>
      <c r="T5" t="s">
        <v>46</v>
      </c>
      <c r="U5">
        <v>4.7466486206477496</v>
      </c>
      <c r="V5" t="s">
        <v>47</v>
      </c>
      <c r="W5" t="s">
        <v>48</v>
      </c>
      <c r="X5">
        <v>254.776159219286</v>
      </c>
    </row>
    <row r="6" spans="1:24" x14ac:dyDescent="0.3">
      <c r="A6" t="s">
        <v>33</v>
      </c>
      <c r="B6" t="s">
        <v>49</v>
      </c>
      <c r="C6">
        <v>4.8054960363458896</v>
      </c>
      <c r="D6">
        <v>26</v>
      </c>
      <c r="E6">
        <v>871</v>
      </c>
      <c r="F6">
        <v>2686.50515156744</v>
      </c>
      <c r="G6" t="s">
        <v>26</v>
      </c>
      <c r="H6">
        <v>5</v>
      </c>
      <c r="I6">
        <v>3</v>
      </c>
      <c r="J6">
        <v>56</v>
      </c>
      <c r="K6">
        <v>8</v>
      </c>
      <c r="L6" t="s">
        <v>36</v>
      </c>
      <c r="M6">
        <v>3.8905479158706702</v>
      </c>
      <c r="N6" t="s">
        <v>39</v>
      </c>
      <c r="O6" t="s">
        <v>50</v>
      </c>
      <c r="P6">
        <v>5</v>
      </c>
      <c r="Q6">
        <v>414</v>
      </c>
      <c r="R6">
        <v>3</v>
      </c>
      <c r="S6">
        <v>92.065160598712794</v>
      </c>
      <c r="T6" t="s">
        <v>46</v>
      </c>
      <c r="U6">
        <v>3.1455795228330001</v>
      </c>
      <c r="V6" t="s">
        <v>40</v>
      </c>
      <c r="W6" t="s">
        <v>48</v>
      </c>
      <c r="X6">
        <v>923.44063171192204</v>
      </c>
    </row>
    <row r="7" spans="1:24" x14ac:dyDescent="0.3">
      <c r="A7" t="s">
        <v>24</v>
      </c>
      <c r="B7" t="s">
        <v>51</v>
      </c>
      <c r="C7">
        <v>1.6999760138659299</v>
      </c>
      <c r="D7">
        <v>87</v>
      </c>
      <c r="E7">
        <v>147</v>
      </c>
      <c r="F7">
        <v>2828.3487459757498</v>
      </c>
      <c r="G7" t="s">
        <v>26</v>
      </c>
      <c r="H7">
        <v>90</v>
      </c>
      <c r="I7">
        <v>27</v>
      </c>
      <c r="J7">
        <v>66</v>
      </c>
      <c r="K7">
        <v>3</v>
      </c>
      <c r="L7" t="s">
        <v>27</v>
      </c>
      <c r="M7">
        <v>4.4440988643822896</v>
      </c>
      <c r="N7" t="s">
        <v>52</v>
      </c>
      <c r="O7" t="s">
        <v>53</v>
      </c>
      <c r="P7">
        <v>10</v>
      </c>
      <c r="Q7">
        <v>104</v>
      </c>
      <c r="R7">
        <v>17</v>
      </c>
      <c r="S7">
        <v>56.766475557431797</v>
      </c>
      <c r="T7" t="s">
        <v>46</v>
      </c>
      <c r="U7">
        <v>2.7791935115711599</v>
      </c>
      <c r="V7" t="s">
        <v>31</v>
      </c>
      <c r="W7" t="s">
        <v>48</v>
      </c>
      <c r="X7">
        <v>235.461236735537</v>
      </c>
    </row>
    <row r="8" spans="1:24" x14ac:dyDescent="0.3">
      <c r="A8" t="s">
        <v>33</v>
      </c>
      <c r="B8" t="s">
        <v>54</v>
      </c>
      <c r="C8">
        <v>4.0783328631079403</v>
      </c>
      <c r="D8">
        <v>48</v>
      </c>
      <c r="E8">
        <v>65</v>
      </c>
      <c r="F8">
        <v>7823.4765595317303</v>
      </c>
      <c r="G8" t="s">
        <v>55</v>
      </c>
      <c r="H8">
        <v>11</v>
      </c>
      <c r="I8">
        <v>15</v>
      </c>
      <c r="J8">
        <v>58</v>
      </c>
      <c r="K8">
        <v>8</v>
      </c>
      <c r="L8" t="s">
        <v>43</v>
      </c>
      <c r="M8">
        <v>3.8807633029519999</v>
      </c>
      <c r="N8" t="s">
        <v>28</v>
      </c>
      <c r="O8" t="s">
        <v>45</v>
      </c>
      <c r="P8">
        <v>14</v>
      </c>
      <c r="Q8">
        <v>314</v>
      </c>
      <c r="R8">
        <v>24</v>
      </c>
      <c r="S8">
        <v>1.0850685695870601</v>
      </c>
      <c r="T8" t="s">
        <v>30</v>
      </c>
      <c r="U8">
        <v>1.0009106193041299</v>
      </c>
      <c r="V8" t="s">
        <v>56</v>
      </c>
      <c r="W8" t="s">
        <v>48</v>
      </c>
      <c r="X8">
        <v>134.36909686103101</v>
      </c>
    </row>
    <row r="9" spans="1:24" x14ac:dyDescent="0.3">
      <c r="A9" t="s">
        <v>57</v>
      </c>
      <c r="B9" t="s">
        <v>58</v>
      </c>
      <c r="C9">
        <v>42.958384382459997</v>
      </c>
      <c r="D9">
        <v>59</v>
      </c>
      <c r="E9">
        <v>426</v>
      </c>
      <c r="F9">
        <v>8496.1038130898305</v>
      </c>
      <c r="G9" t="s">
        <v>35</v>
      </c>
      <c r="H9">
        <v>93</v>
      </c>
      <c r="I9">
        <v>17</v>
      </c>
      <c r="J9">
        <v>11</v>
      </c>
      <c r="K9">
        <v>1</v>
      </c>
      <c r="L9" t="s">
        <v>27</v>
      </c>
      <c r="M9">
        <v>2.3483387844177801</v>
      </c>
      <c r="N9" t="s">
        <v>52</v>
      </c>
      <c r="O9" t="s">
        <v>53</v>
      </c>
      <c r="P9">
        <v>22</v>
      </c>
      <c r="Q9">
        <v>564</v>
      </c>
      <c r="R9">
        <v>1</v>
      </c>
      <c r="S9">
        <v>99.466108603599096</v>
      </c>
      <c r="T9" t="s">
        <v>46</v>
      </c>
      <c r="U9">
        <v>0.39817718685065001</v>
      </c>
      <c r="V9" t="s">
        <v>31</v>
      </c>
      <c r="W9" t="s">
        <v>41</v>
      </c>
      <c r="X9">
        <v>802.05631181755803</v>
      </c>
    </row>
    <row r="10" spans="1:24" x14ac:dyDescent="0.3">
      <c r="A10" t="s">
        <v>57</v>
      </c>
      <c r="B10" t="s">
        <v>59</v>
      </c>
      <c r="C10">
        <v>68.717596748527299</v>
      </c>
      <c r="D10">
        <v>78</v>
      </c>
      <c r="E10">
        <v>150</v>
      </c>
      <c r="F10">
        <v>7517.3632106311197</v>
      </c>
      <c r="G10" t="s">
        <v>35</v>
      </c>
      <c r="H10">
        <v>5</v>
      </c>
      <c r="I10">
        <v>10</v>
      </c>
      <c r="J10">
        <v>15</v>
      </c>
      <c r="K10">
        <v>7</v>
      </c>
      <c r="L10" t="s">
        <v>43</v>
      </c>
      <c r="M10">
        <v>3.4047338570830199</v>
      </c>
      <c r="N10" t="s">
        <v>52</v>
      </c>
      <c r="O10" t="s">
        <v>29</v>
      </c>
      <c r="P10">
        <v>13</v>
      </c>
      <c r="Q10">
        <v>769</v>
      </c>
      <c r="R10">
        <v>8</v>
      </c>
      <c r="S10">
        <v>11.423027139565599</v>
      </c>
      <c r="T10" t="s">
        <v>30</v>
      </c>
      <c r="U10">
        <v>2.7098626911099601</v>
      </c>
      <c r="V10" t="s">
        <v>56</v>
      </c>
      <c r="W10" t="s">
        <v>32</v>
      </c>
      <c r="X10">
        <v>505.55713422546398</v>
      </c>
    </row>
    <row r="11" spans="1:24" x14ac:dyDescent="0.3">
      <c r="A11" t="s">
        <v>33</v>
      </c>
      <c r="B11" t="s">
        <v>60</v>
      </c>
      <c r="C11">
        <v>64.0157329412785</v>
      </c>
      <c r="D11">
        <v>35</v>
      </c>
      <c r="E11">
        <v>980</v>
      </c>
      <c r="F11">
        <v>4971.1459875855498</v>
      </c>
      <c r="G11" t="s">
        <v>38</v>
      </c>
      <c r="H11">
        <v>14</v>
      </c>
      <c r="I11">
        <v>27</v>
      </c>
      <c r="J11">
        <v>83</v>
      </c>
      <c r="K11">
        <v>1</v>
      </c>
      <c r="L11" t="s">
        <v>36</v>
      </c>
      <c r="M11">
        <v>7.1666452910482104</v>
      </c>
      <c r="N11" t="s">
        <v>61</v>
      </c>
      <c r="O11" t="s">
        <v>62</v>
      </c>
      <c r="P11">
        <v>29</v>
      </c>
      <c r="Q11">
        <v>963</v>
      </c>
      <c r="R11">
        <v>23</v>
      </c>
      <c r="S11">
        <v>47.957601634951502</v>
      </c>
      <c r="T11" t="s">
        <v>30</v>
      </c>
      <c r="U11">
        <v>3.8446144787675798</v>
      </c>
      <c r="V11" t="s">
        <v>47</v>
      </c>
      <c r="W11" t="s">
        <v>32</v>
      </c>
      <c r="X11">
        <v>995.92946149864099</v>
      </c>
    </row>
    <row r="12" spans="1:24" x14ac:dyDescent="0.3">
      <c r="A12" t="s">
        <v>33</v>
      </c>
      <c r="B12" t="s">
        <v>63</v>
      </c>
      <c r="C12">
        <v>15.707795681912099</v>
      </c>
      <c r="D12">
        <v>11</v>
      </c>
      <c r="E12">
        <v>996</v>
      </c>
      <c r="F12">
        <v>2330.9658020919401</v>
      </c>
      <c r="G12" t="s">
        <v>26</v>
      </c>
      <c r="H12">
        <v>51</v>
      </c>
      <c r="I12">
        <v>13</v>
      </c>
      <c r="J12">
        <v>80</v>
      </c>
      <c r="K12">
        <v>2</v>
      </c>
      <c r="L12" t="s">
        <v>43</v>
      </c>
      <c r="M12">
        <v>8.6732112112786108</v>
      </c>
      <c r="N12" t="s">
        <v>44</v>
      </c>
      <c r="O12" t="s">
        <v>45</v>
      </c>
      <c r="P12">
        <v>18</v>
      </c>
      <c r="Q12">
        <v>830</v>
      </c>
      <c r="R12">
        <v>5</v>
      </c>
      <c r="S12">
        <v>96.527352785310896</v>
      </c>
      <c r="T12" t="s">
        <v>64</v>
      </c>
      <c r="U12">
        <v>1.72731392835594</v>
      </c>
      <c r="V12" t="s">
        <v>31</v>
      </c>
      <c r="W12" t="s">
        <v>32</v>
      </c>
      <c r="X12">
        <v>806.10317770292295</v>
      </c>
    </row>
    <row r="13" spans="1:24" x14ac:dyDescent="0.3">
      <c r="A13" t="s">
        <v>33</v>
      </c>
      <c r="B13" t="s">
        <v>65</v>
      </c>
      <c r="C13">
        <v>90.635459982288594</v>
      </c>
      <c r="D13">
        <v>95</v>
      </c>
      <c r="E13">
        <v>960</v>
      </c>
      <c r="F13">
        <v>6099.9441155814502</v>
      </c>
      <c r="G13" t="s">
        <v>35</v>
      </c>
      <c r="H13">
        <v>46</v>
      </c>
      <c r="I13">
        <v>23</v>
      </c>
      <c r="J13">
        <v>60</v>
      </c>
      <c r="K13">
        <v>1</v>
      </c>
      <c r="L13" t="s">
        <v>36</v>
      </c>
      <c r="M13">
        <v>4.5239431243166601</v>
      </c>
      <c r="N13" t="s">
        <v>61</v>
      </c>
      <c r="O13" t="s">
        <v>45</v>
      </c>
      <c r="P13">
        <v>28</v>
      </c>
      <c r="Q13">
        <v>362</v>
      </c>
      <c r="R13">
        <v>11</v>
      </c>
      <c r="S13">
        <v>27.5923630866636</v>
      </c>
      <c r="T13" t="s">
        <v>30</v>
      </c>
      <c r="U13">
        <v>2.1169821372994301E-2</v>
      </c>
      <c r="V13" t="s">
        <v>40</v>
      </c>
      <c r="W13" t="s">
        <v>48</v>
      </c>
      <c r="X13">
        <v>126.72303340940699</v>
      </c>
    </row>
    <row r="14" spans="1:24" x14ac:dyDescent="0.3">
      <c r="A14" t="s">
        <v>24</v>
      </c>
      <c r="B14" t="s">
        <v>66</v>
      </c>
      <c r="C14">
        <v>71.213389075359999</v>
      </c>
      <c r="D14">
        <v>41</v>
      </c>
      <c r="E14">
        <v>336</v>
      </c>
      <c r="F14">
        <v>2873.74144602144</v>
      </c>
      <c r="G14" t="s">
        <v>38</v>
      </c>
      <c r="H14">
        <v>100</v>
      </c>
      <c r="I14">
        <v>30</v>
      </c>
      <c r="J14">
        <v>85</v>
      </c>
      <c r="K14">
        <v>4</v>
      </c>
      <c r="L14" t="s">
        <v>36</v>
      </c>
      <c r="M14">
        <v>1.32527401018452</v>
      </c>
      <c r="N14" t="s">
        <v>52</v>
      </c>
      <c r="O14" t="s">
        <v>45</v>
      </c>
      <c r="P14">
        <v>3</v>
      </c>
      <c r="Q14">
        <v>563</v>
      </c>
      <c r="R14">
        <v>3</v>
      </c>
      <c r="S14">
        <v>32.321286213424003</v>
      </c>
      <c r="T14" t="s">
        <v>46</v>
      </c>
      <c r="U14">
        <v>2.1612537475559099</v>
      </c>
      <c r="V14" t="s">
        <v>31</v>
      </c>
      <c r="W14" t="s">
        <v>32</v>
      </c>
      <c r="X14">
        <v>402.96878907376998</v>
      </c>
    </row>
    <row r="15" spans="1:24" x14ac:dyDescent="0.3">
      <c r="A15" t="s">
        <v>33</v>
      </c>
      <c r="B15" t="s">
        <v>67</v>
      </c>
      <c r="C15">
        <v>16.160393317379899</v>
      </c>
      <c r="D15">
        <v>5</v>
      </c>
      <c r="E15">
        <v>249</v>
      </c>
      <c r="F15">
        <v>4052.7384162378598</v>
      </c>
      <c r="G15" t="s">
        <v>55</v>
      </c>
      <c r="H15">
        <v>80</v>
      </c>
      <c r="I15">
        <v>8</v>
      </c>
      <c r="J15">
        <v>48</v>
      </c>
      <c r="K15">
        <v>9</v>
      </c>
      <c r="L15" t="s">
        <v>36</v>
      </c>
      <c r="M15">
        <v>9.5372830611083295</v>
      </c>
      <c r="N15" t="s">
        <v>44</v>
      </c>
      <c r="O15" t="s">
        <v>53</v>
      </c>
      <c r="P15">
        <v>23</v>
      </c>
      <c r="Q15">
        <v>173</v>
      </c>
      <c r="R15">
        <v>10</v>
      </c>
      <c r="S15">
        <v>97.829050110173199</v>
      </c>
      <c r="T15" t="s">
        <v>30</v>
      </c>
      <c r="U15">
        <v>1.63107423007153</v>
      </c>
      <c r="V15" t="s">
        <v>31</v>
      </c>
      <c r="W15" t="s">
        <v>32</v>
      </c>
      <c r="X15">
        <v>547.24100516096803</v>
      </c>
    </row>
    <row r="16" spans="1:24" x14ac:dyDescent="0.3">
      <c r="A16" t="s">
        <v>33</v>
      </c>
      <c r="B16" t="s">
        <v>68</v>
      </c>
      <c r="C16">
        <v>99.171328638624104</v>
      </c>
      <c r="D16">
        <v>26</v>
      </c>
      <c r="E16">
        <v>562</v>
      </c>
      <c r="F16">
        <v>8653.5709264697998</v>
      </c>
      <c r="G16" t="s">
        <v>26</v>
      </c>
      <c r="H16">
        <v>54</v>
      </c>
      <c r="I16">
        <v>29</v>
      </c>
      <c r="J16">
        <v>78</v>
      </c>
      <c r="K16">
        <v>5</v>
      </c>
      <c r="L16" t="s">
        <v>27</v>
      </c>
      <c r="M16">
        <v>2.0397701894493299</v>
      </c>
      <c r="N16" t="s">
        <v>39</v>
      </c>
      <c r="O16" t="s">
        <v>45</v>
      </c>
      <c r="P16">
        <v>25</v>
      </c>
      <c r="Q16">
        <v>558</v>
      </c>
      <c r="R16">
        <v>14</v>
      </c>
      <c r="S16">
        <v>5.7914366298629796</v>
      </c>
      <c r="T16" t="s">
        <v>30</v>
      </c>
      <c r="U16">
        <v>0.100682851565093</v>
      </c>
      <c r="V16" t="s">
        <v>40</v>
      </c>
      <c r="W16" t="s">
        <v>32</v>
      </c>
      <c r="X16">
        <v>929.23528996088896</v>
      </c>
    </row>
    <row r="17" spans="1:24" x14ac:dyDescent="0.3">
      <c r="A17" t="s">
        <v>33</v>
      </c>
      <c r="B17" t="s">
        <v>69</v>
      </c>
      <c r="C17">
        <v>36.989244928626903</v>
      </c>
      <c r="D17">
        <v>94</v>
      </c>
      <c r="E17">
        <v>469</v>
      </c>
      <c r="F17">
        <v>5442.0867853976697</v>
      </c>
      <c r="G17" t="s">
        <v>26</v>
      </c>
      <c r="H17">
        <v>9</v>
      </c>
      <c r="I17">
        <v>8</v>
      </c>
      <c r="J17">
        <v>69</v>
      </c>
      <c r="K17">
        <v>7</v>
      </c>
      <c r="L17" t="s">
        <v>27</v>
      </c>
      <c r="M17">
        <v>2.4220397232752</v>
      </c>
      <c r="N17" t="s">
        <v>39</v>
      </c>
      <c r="O17" t="s">
        <v>53</v>
      </c>
      <c r="P17">
        <v>14</v>
      </c>
      <c r="Q17">
        <v>580</v>
      </c>
      <c r="R17">
        <v>7</v>
      </c>
      <c r="S17">
        <v>97.121281751474299</v>
      </c>
      <c r="T17" t="s">
        <v>64</v>
      </c>
      <c r="U17">
        <v>2.2644057611985402</v>
      </c>
      <c r="V17" t="s">
        <v>56</v>
      </c>
      <c r="W17" t="s">
        <v>32</v>
      </c>
      <c r="X17">
        <v>127.861800001625</v>
      </c>
    </row>
    <row r="18" spans="1:24" x14ac:dyDescent="0.3">
      <c r="A18" t="s">
        <v>33</v>
      </c>
      <c r="B18" t="s">
        <v>70</v>
      </c>
      <c r="C18">
        <v>7.5471721097912701</v>
      </c>
      <c r="D18">
        <v>74</v>
      </c>
      <c r="E18">
        <v>280</v>
      </c>
      <c r="F18">
        <v>6453.7979681762799</v>
      </c>
      <c r="G18" t="s">
        <v>35</v>
      </c>
      <c r="H18">
        <v>2</v>
      </c>
      <c r="I18">
        <v>5</v>
      </c>
      <c r="J18">
        <v>78</v>
      </c>
      <c r="K18">
        <v>1</v>
      </c>
      <c r="L18" t="s">
        <v>27</v>
      </c>
      <c r="M18">
        <v>4.1913245857054999</v>
      </c>
      <c r="N18" t="s">
        <v>39</v>
      </c>
      <c r="O18" t="s">
        <v>53</v>
      </c>
      <c r="P18">
        <v>3</v>
      </c>
      <c r="Q18">
        <v>399</v>
      </c>
      <c r="R18">
        <v>21</v>
      </c>
      <c r="S18">
        <v>77.106342497849994</v>
      </c>
      <c r="T18" t="s">
        <v>64</v>
      </c>
      <c r="U18">
        <v>1.01256308925804</v>
      </c>
      <c r="V18" t="s">
        <v>40</v>
      </c>
      <c r="W18" t="s">
        <v>48</v>
      </c>
      <c r="X18">
        <v>865.52577977123997</v>
      </c>
    </row>
    <row r="19" spans="1:24" x14ac:dyDescent="0.3">
      <c r="A19" t="s">
        <v>57</v>
      </c>
      <c r="B19" t="s">
        <v>71</v>
      </c>
      <c r="C19">
        <v>81.462534369237005</v>
      </c>
      <c r="D19">
        <v>82</v>
      </c>
      <c r="E19">
        <v>126</v>
      </c>
      <c r="F19">
        <v>2629.39643484526</v>
      </c>
      <c r="G19" t="s">
        <v>35</v>
      </c>
      <c r="H19">
        <v>45</v>
      </c>
      <c r="I19">
        <v>17</v>
      </c>
      <c r="J19">
        <v>85</v>
      </c>
      <c r="K19">
        <v>9</v>
      </c>
      <c r="L19" t="s">
        <v>43</v>
      </c>
      <c r="M19">
        <v>3.5854189582323399</v>
      </c>
      <c r="N19" t="s">
        <v>39</v>
      </c>
      <c r="O19" t="s">
        <v>62</v>
      </c>
      <c r="P19">
        <v>7</v>
      </c>
      <c r="Q19">
        <v>453</v>
      </c>
      <c r="R19">
        <v>16</v>
      </c>
      <c r="S19">
        <v>47.679680368355299</v>
      </c>
      <c r="T19" t="s">
        <v>46</v>
      </c>
      <c r="U19">
        <v>0.102020754918176</v>
      </c>
      <c r="V19" t="s">
        <v>40</v>
      </c>
      <c r="W19" t="s">
        <v>41</v>
      </c>
      <c r="X19">
        <v>670.93439079241</v>
      </c>
    </row>
    <row r="20" spans="1:24" x14ac:dyDescent="0.3">
      <c r="A20" t="s">
        <v>24</v>
      </c>
      <c r="B20" t="s">
        <v>72</v>
      </c>
      <c r="C20">
        <v>36.4436277704609</v>
      </c>
      <c r="D20">
        <v>23</v>
      </c>
      <c r="E20">
        <v>620</v>
      </c>
      <c r="F20">
        <v>9364.6735050761708</v>
      </c>
      <c r="G20" t="s">
        <v>38</v>
      </c>
      <c r="H20">
        <v>10</v>
      </c>
      <c r="I20">
        <v>10</v>
      </c>
      <c r="J20">
        <v>46</v>
      </c>
      <c r="K20">
        <v>8</v>
      </c>
      <c r="L20" t="s">
        <v>43</v>
      </c>
      <c r="M20">
        <v>4.3392247141107001</v>
      </c>
      <c r="N20" t="s">
        <v>61</v>
      </c>
      <c r="O20" t="s">
        <v>45</v>
      </c>
      <c r="P20">
        <v>18</v>
      </c>
      <c r="Q20">
        <v>374</v>
      </c>
      <c r="R20">
        <v>17</v>
      </c>
      <c r="S20">
        <v>27.107980854843898</v>
      </c>
      <c r="T20" t="s">
        <v>30</v>
      </c>
      <c r="U20">
        <v>2.2319391107292601</v>
      </c>
      <c r="V20" t="s">
        <v>56</v>
      </c>
      <c r="W20" t="s">
        <v>48</v>
      </c>
      <c r="X20">
        <v>593.48025872065102</v>
      </c>
    </row>
    <row r="21" spans="1:24" x14ac:dyDescent="0.3">
      <c r="A21" t="s">
        <v>33</v>
      </c>
      <c r="B21" t="s">
        <v>73</v>
      </c>
      <c r="C21">
        <v>51.123870087964697</v>
      </c>
      <c r="D21">
        <v>100</v>
      </c>
      <c r="E21">
        <v>187</v>
      </c>
      <c r="F21">
        <v>2553.4955849912099</v>
      </c>
      <c r="G21" t="s">
        <v>38</v>
      </c>
      <c r="H21">
        <v>48</v>
      </c>
      <c r="I21">
        <v>11</v>
      </c>
      <c r="J21">
        <v>94</v>
      </c>
      <c r="K21">
        <v>3</v>
      </c>
      <c r="L21" t="s">
        <v>36</v>
      </c>
      <c r="M21">
        <v>4.7426358828418698</v>
      </c>
      <c r="N21" t="s">
        <v>52</v>
      </c>
      <c r="O21" t="s">
        <v>62</v>
      </c>
      <c r="P21">
        <v>20</v>
      </c>
      <c r="Q21">
        <v>694</v>
      </c>
      <c r="R21">
        <v>16</v>
      </c>
      <c r="S21">
        <v>82.373320587990193</v>
      </c>
      <c r="T21" t="s">
        <v>46</v>
      </c>
      <c r="U21">
        <v>3.64645086541702</v>
      </c>
      <c r="V21" t="s">
        <v>31</v>
      </c>
      <c r="W21" t="s">
        <v>41</v>
      </c>
      <c r="X21">
        <v>477.30763109090299</v>
      </c>
    </row>
    <row r="22" spans="1:24" x14ac:dyDescent="0.3">
      <c r="A22" t="s">
        <v>33</v>
      </c>
      <c r="B22" t="s">
        <v>74</v>
      </c>
      <c r="C22">
        <v>96.341072439963298</v>
      </c>
      <c r="D22">
        <v>22</v>
      </c>
      <c r="E22">
        <v>320</v>
      </c>
      <c r="F22">
        <v>8128.0276968511898</v>
      </c>
      <c r="G22" t="s">
        <v>38</v>
      </c>
      <c r="H22">
        <v>27</v>
      </c>
      <c r="I22">
        <v>12</v>
      </c>
      <c r="J22">
        <v>68</v>
      </c>
      <c r="K22">
        <v>6</v>
      </c>
      <c r="L22" t="s">
        <v>36</v>
      </c>
      <c r="M22">
        <v>8.8783346509268402</v>
      </c>
      <c r="N22" t="s">
        <v>39</v>
      </c>
      <c r="O22" t="s">
        <v>62</v>
      </c>
      <c r="P22">
        <v>29</v>
      </c>
      <c r="Q22">
        <v>309</v>
      </c>
      <c r="R22">
        <v>6</v>
      </c>
      <c r="S22">
        <v>65.686259608488598</v>
      </c>
      <c r="T22" t="s">
        <v>64</v>
      </c>
      <c r="U22">
        <v>4.2314165735345304</v>
      </c>
      <c r="V22" t="s">
        <v>40</v>
      </c>
      <c r="W22" t="s">
        <v>32</v>
      </c>
      <c r="X22">
        <v>493.871215316205</v>
      </c>
    </row>
    <row r="23" spans="1:24" x14ac:dyDescent="0.3">
      <c r="A23" t="s">
        <v>57</v>
      </c>
      <c r="B23" t="s">
        <v>75</v>
      </c>
      <c r="C23">
        <v>84.893868984950799</v>
      </c>
      <c r="D23">
        <v>60</v>
      </c>
      <c r="E23">
        <v>601</v>
      </c>
      <c r="F23">
        <v>7087.0526963574302</v>
      </c>
      <c r="G23" t="s">
        <v>38</v>
      </c>
      <c r="H23">
        <v>69</v>
      </c>
      <c r="I23">
        <v>25</v>
      </c>
      <c r="J23">
        <v>7</v>
      </c>
      <c r="K23">
        <v>6</v>
      </c>
      <c r="L23" t="s">
        <v>27</v>
      </c>
      <c r="M23">
        <v>6.0378837692182898</v>
      </c>
      <c r="N23" t="s">
        <v>44</v>
      </c>
      <c r="O23" t="s">
        <v>62</v>
      </c>
      <c r="P23">
        <v>19</v>
      </c>
      <c r="Q23">
        <v>791</v>
      </c>
      <c r="R23">
        <v>4</v>
      </c>
      <c r="S23">
        <v>61.735728954160898</v>
      </c>
      <c r="T23" t="s">
        <v>30</v>
      </c>
      <c r="U23">
        <v>1.8607567631014899E-2</v>
      </c>
      <c r="V23" t="s">
        <v>40</v>
      </c>
      <c r="W23" t="s">
        <v>41</v>
      </c>
      <c r="X23">
        <v>523.36091472015801</v>
      </c>
    </row>
    <row r="24" spans="1:24" x14ac:dyDescent="0.3">
      <c r="A24" t="s">
        <v>24</v>
      </c>
      <c r="B24" t="s">
        <v>76</v>
      </c>
      <c r="C24">
        <v>27.679780886501899</v>
      </c>
      <c r="D24">
        <v>55</v>
      </c>
      <c r="E24">
        <v>884</v>
      </c>
      <c r="F24">
        <v>2390.8078665561702</v>
      </c>
      <c r="G24" t="s">
        <v>38</v>
      </c>
      <c r="H24">
        <v>71</v>
      </c>
      <c r="I24">
        <v>1</v>
      </c>
      <c r="J24">
        <v>63</v>
      </c>
      <c r="K24">
        <v>10</v>
      </c>
      <c r="L24" t="s">
        <v>36</v>
      </c>
      <c r="M24">
        <v>9.5676489209230393</v>
      </c>
      <c r="N24" t="s">
        <v>52</v>
      </c>
      <c r="O24" t="s">
        <v>45</v>
      </c>
      <c r="P24">
        <v>22</v>
      </c>
      <c r="Q24">
        <v>780</v>
      </c>
      <c r="R24">
        <v>28</v>
      </c>
      <c r="S24">
        <v>50.120839612977299</v>
      </c>
      <c r="T24" t="s">
        <v>46</v>
      </c>
      <c r="U24">
        <v>2.5912754732111098</v>
      </c>
      <c r="V24" t="s">
        <v>47</v>
      </c>
      <c r="W24" t="s">
        <v>41</v>
      </c>
      <c r="X24">
        <v>205.57199582694699</v>
      </c>
    </row>
    <row r="25" spans="1:24" x14ac:dyDescent="0.3">
      <c r="A25" t="s">
        <v>57</v>
      </c>
      <c r="B25" t="s">
        <v>77</v>
      </c>
      <c r="C25">
        <v>4.3243411858641601</v>
      </c>
      <c r="D25">
        <v>30</v>
      </c>
      <c r="E25">
        <v>391</v>
      </c>
      <c r="F25">
        <v>8858.3675710114803</v>
      </c>
      <c r="G25" t="s">
        <v>38</v>
      </c>
      <c r="H25">
        <v>84</v>
      </c>
      <c r="I25">
        <v>5</v>
      </c>
      <c r="J25">
        <v>29</v>
      </c>
      <c r="K25">
        <v>7</v>
      </c>
      <c r="L25" t="s">
        <v>36</v>
      </c>
      <c r="M25">
        <v>2.92485760114555</v>
      </c>
      <c r="N25" t="s">
        <v>44</v>
      </c>
      <c r="O25" t="s">
        <v>45</v>
      </c>
      <c r="P25">
        <v>11</v>
      </c>
      <c r="Q25">
        <v>568</v>
      </c>
      <c r="R25">
        <v>29</v>
      </c>
      <c r="S25">
        <v>98.6099572427038</v>
      </c>
      <c r="T25" t="s">
        <v>30</v>
      </c>
      <c r="U25">
        <v>1.3422915627227301</v>
      </c>
      <c r="V25" t="s">
        <v>47</v>
      </c>
      <c r="W25" t="s">
        <v>48</v>
      </c>
      <c r="X25">
        <v>196.329446112412</v>
      </c>
    </row>
    <row r="26" spans="1:24" x14ac:dyDescent="0.3">
      <c r="A26" t="s">
        <v>24</v>
      </c>
      <c r="B26" t="s">
        <v>78</v>
      </c>
      <c r="C26">
        <v>4.1563083593111001</v>
      </c>
      <c r="D26">
        <v>32</v>
      </c>
      <c r="E26">
        <v>209</v>
      </c>
      <c r="F26">
        <v>9049.0778609398894</v>
      </c>
      <c r="G26" t="s">
        <v>55</v>
      </c>
      <c r="H26">
        <v>4</v>
      </c>
      <c r="I26">
        <v>26</v>
      </c>
      <c r="J26">
        <v>2</v>
      </c>
      <c r="K26">
        <v>8</v>
      </c>
      <c r="L26" t="s">
        <v>43</v>
      </c>
      <c r="M26">
        <v>9.7412916892843597</v>
      </c>
      <c r="N26" t="s">
        <v>61</v>
      </c>
      <c r="O26" t="s">
        <v>53</v>
      </c>
      <c r="P26">
        <v>28</v>
      </c>
      <c r="Q26">
        <v>447</v>
      </c>
      <c r="R26">
        <v>3</v>
      </c>
      <c r="S26">
        <v>40.382359702924802</v>
      </c>
      <c r="T26" t="s">
        <v>30</v>
      </c>
      <c r="U26">
        <v>3.69131029262872</v>
      </c>
      <c r="V26" t="s">
        <v>40</v>
      </c>
      <c r="W26" t="s">
        <v>48</v>
      </c>
      <c r="X26">
        <v>758.72477260293795</v>
      </c>
    </row>
    <row r="27" spans="1:24" x14ac:dyDescent="0.3">
      <c r="A27" t="s">
        <v>24</v>
      </c>
      <c r="B27" t="s">
        <v>79</v>
      </c>
      <c r="C27">
        <v>39.629343985092603</v>
      </c>
      <c r="D27">
        <v>73</v>
      </c>
      <c r="E27">
        <v>142</v>
      </c>
      <c r="F27">
        <v>2174.7770543506499</v>
      </c>
      <c r="G27" t="s">
        <v>55</v>
      </c>
      <c r="H27">
        <v>82</v>
      </c>
      <c r="I27">
        <v>11</v>
      </c>
      <c r="J27">
        <v>52</v>
      </c>
      <c r="K27">
        <v>3</v>
      </c>
      <c r="L27" t="s">
        <v>43</v>
      </c>
      <c r="M27">
        <v>2.2310736812817198</v>
      </c>
      <c r="N27" t="s">
        <v>52</v>
      </c>
      <c r="O27" t="s">
        <v>45</v>
      </c>
      <c r="P27">
        <v>19</v>
      </c>
      <c r="Q27">
        <v>934</v>
      </c>
      <c r="R27">
        <v>23</v>
      </c>
      <c r="S27">
        <v>78.280383118415301</v>
      </c>
      <c r="T27" t="s">
        <v>30</v>
      </c>
      <c r="U27">
        <v>3.79723121711418</v>
      </c>
      <c r="V27" t="s">
        <v>31</v>
      </c>
      <c r="W27" t="s">
        <v>32</v>
      </c>
      <c r="X27">
        <v>458.53594573920901</v>
      </c>
    </row>
    <row r="28" spans="1:24" x14ac:dyDescent="0.3">
      <c r="A28" t="s">
        <v>24</v>
      </c>
      <c r="B28" t="s">
        <v>80</v>
      </c>
      <c r="C28">
        <v>97.446946617892806</v>
      </c>
      <c r="D28">
        <v>9</v>
      </c>
      <c r="E28">
        <v>353</v>
      </c>
      <c r="F28">
        <v>3716.49332589403</v>
      </c>
      <c r="G28" t="s">
        <v>55</v>
      </c>
      <c r="H28">
        <v>59</v>
      </c>
      <c r="I28">
        <v>16</v>
      </c>
      <c r="J28">
        <v>48</v>
      </c>
      <c r="K28">
        <v>4</v>
      </c>
      <c r="L28" t="s">
        <v>27</v>
      </c>
      <c r="M28">
        <v>6.5075486210785503</v>
      </c>
      <c r="N28" t="s">
        <v>61</v>
      </c>
      <c r="O28" t="s">
        <v>53</v>
      </c>
      <c r="P28">
        <v>26</v>
      </c>
      <c r="Q28">
        <v>171</v>
      </c>
      <c r="R28">
        <v>4</v>
      </c>
      <c r="S28">
        <v>15.972229757181699</v>
      </c>
      <c r="T28" t="s">
        <v>64</v>
      </c>
      <c r="U28">
        <v>2.1193197367249201</v>
      </c>
      <c r="V28" t="s">
        <v>47</v>
      </c>
      <c r="W28" t="s">
        <v>48</v>
      </c>
      <c r="X28">
        <v>617.86691645837698</v>
      </c>
    </row>
    <row r="29" spans="1:24" x14ac:dyDescent="0.3">
      <c r="A29" t="s">
        <v>57</v>
      </c>
      <c r="B29" t="s">
        <v>81</v>
      </c>
      <c r="C29">
        <v>92.557360812401996</v>
      </c>
      <c r="D29">
        <v>42</v>
      </c>
      <c r="E29">
        <v>352</v>
      </c>
      <c r="F29">
        <v>2686.4572235759802</v>
      </c>
      <c r="G29" t="s">
        <v>38</v>
      </c>
      <c r="H29">
        <v>47</v>
      </c>
      <c r="I29">
        <v>9</v>
      </c>
      <c r="J29">
        <v>62</v>
      </c>
      <c r="K29">
        <v>8</v>
      </c>
      <c r="L29" t="s">
        <v>43</v>
      </c>
      <c r="M29">
        <v>7.4067509529980704</v>
      </c>
      <c r="N29" t="s">
        <v>44</v>
      </c>
      <c r="O29" t="s">
        <v>29</v>
      </c>
      <c r="P29">
        <v>25</v>
      </c>
      <c r="Q29">
        <v>291</v>
      </c>
      <c r="R29">
        <v>4</v>
      </c>
      <c r="S29">
        <v>10.5282450700421</v>
      </c>
      <c r="T29" t="s">
        <v>46</v>
      </c>
      <c r="U29">
        <v>2.8646678378833701</v>
      </c>
      <c r="V29" t="s">
        <v>56</v>
      </c>
      <c r="W29" t="s">
        <v>32</v>
      </c>
      <c r="X29">
        <v>762.45918215568304</v>
      </c>
    </row>
    <row r="30" spans="1:24" x14ac:dyDescent="0.3">
      <c r="A30" t="s">
        <v>57</v>
      </c>
      <c r="B30" t="s">
        <v>82</v>
      </c>
      <c r="C30">
        <v>2.3972747055971402</v>
      </c>
      <c r="D30">
        <v>12</v>
      </c>
      <c r="E30">
        <v>394</v>
      </c>
      <c r="F30">
        <v>6117.3246150839896</v>
      </c>
      <c r="G30" t="s">
        <v>35</v>
      </c>
      <c r="H30">
        <v>48</v>
      </c>
      <c r="I30">
        <v>15</v>
      </c>
      <c r="J30">
        <v>24</v>
      </c>
      <c r="K30">
        <v>4</v>
      </c>
      <c r="L30" t="s">
        <v>27</v>
      </c>
      <c r="M30">
        <v>9.8981405080692202</v>
      </c>
      <c r="N30" t="s">
        <v>39</v>
      </c>
      <c r="O30" t="s">
        <v>29</v>
      </c>
      <c r="P30">
        <v>13</v>
      </c>
      <c r="Q30">
        <v>171</v>
      </c>
      <c r="R30">
        <v>7</v>
      </c>
      <c r="S30">
        <v>59.429381810691503</v>
      </c>
      <c r="T30" t="s">
        <v>46</v>
      </c>
      <c r="U30">
        <v>0.81575707929567198</v>
      </c>
      <c r="V30" t="s">
        <v>40</v>
      </c>
      <c r="W30" t="s">
        <v>48</v>
      </c>
      <c r="X30">
        <v>123.437027511827</v>
      </c>
    </row>
    <row r="31" spans="1:24" x14ac:dyDescent="0.3">
      <c r="A31" t="s">
        <v>57</v>
      </c>
      <c r="B31" t="s">
        <v>83</v>
      </c>
      <c r="C31">
        <v>63.447559185207297</v>
      </c>
      <c r="D31">
        <v>3</v>
      </c>
      <c r="E31">
        <v>253</v>
      </c>
      <c r="F31">
        <v>8318.9031946171708</v>
      </c>
      <c r="G31" t="s">
        <v>35</v>
      </c>
      <c r="H31">
        <v>45</v>
      </c>
      <c r="I31">
        <v>5</v>
      </c>
      <c r="J31">
        <v>67</v>
      </c>
      <c r="K31">
        <v>7</v>
      </c>
      <c r="L31" t="s">
        <v>27</v>
      </c>
      <c r="M31">
        <v>8.1009731453970293</v>
      </c>
      <c r="N31" t="s">
        <v>39</v>
      </c>
      <c r="O31" t="s">
        <v>45</v>
      </c>
      <c r="P31">
        <v>16</v>
      </c>
      <c r="Q31">
        <v>329</v>
      </c>
      <c r="R31">
        <v>7</v>
      </c>
      <c r="S31">
        <v>39.292875586065698</v>
      </c>
      <c r="T31" t="s">
        <v>64</v>
      </c>
      <c r="U31">
        <v>3.8780989365884802</v>
      </c>
      <c r="V31" t="s">
        <v>31</v>
      </c>
      <c r="W31" t="s">
        <v>32</v>
      </c>
      <c r="X31">
        <v>764.93537594070801</v>
      </c>
    </row>
    <row r="32" spans="1:24" x14ac:dyDescent="0.3">
      <c r="A32" t="s">
        <v>24</v>
      </c>
      <c r="B32" t="s">
        <v>84</v>
      </c>
      <c r="C32">
        <v>8.0228592105263896</v>
      </c>
      <c r="D32">
        <v>10</v>
      </c>
      <c r="E32">
        <v>327</v>
      </c>
      <c r="F32">
        <v>2766.3423668660798</v>
      </c>
      <c r="G32" t="s">
        <v>55</v>
      </c>
      <c r="H32">
        <v>60</v>
      </c>
      <c r="I32">
        <v>26</v>
      </c>
      <c r="J32">
        <v>35</v>
      </c>
      <c r="K32">
        <v>7</v>
      </c>
      <c r="L32" t="s">
        <v>27</v>
      </c>
      <c r="M32">
        <v>8.9545283153180097</v>
      </c>
      <c r="N32" t="s">
        <v>52</v>
      </c>
      <c r="O32" t="s">
        <v>45</v>
      </c>
      <c r="P32">
        <v>27</v>
      </c>
      <c r="Q32">
        <v>806</v>
      </c>
      <c r="R32">
        <v>30</v>
      </c>
      <c r="S32">
        <v>51.634893400109299</v>
      </c>
      <c r="T32" t="s">
        <v>30</v>
      </c>
      <c r="U32">
        <v>0.96539470535239302</v>
      </c>
      <c r="V32" t="s">
        <v>31</v>
      </c>
      <c r="W32" t="s">
        <v>41</v>
      </c>
      <c r="X32">
        <v>880.08098824716103</v>
      </c>
    </row>
    <row r="33" spans="1:24" x14ac:dyDescent="0.3">
      <c r="A33" t="s">
        <v>33</v>
      </c>
      <c r="B33" t="s">
        <v>85</v>
      </c>
      <c r="C33">
        <v>50.847393051718697</v>
      </c>
      <c r="D33">
        <v>28</v>
      </c>
      <c r="E33">
        <v>168</v>
      </c>
      <c r="F33">
        <v>9655.1351027193905</v>
      </c>
      <c r="G33" t="s">
        <v>55</v>
      </c>
      <c r="H33">
        <v>6</v>
      </c>
      <c r="I33">
        <v>17</v>
      </c>
      <c r="J33">
        <v>44</v>
      </c>
      <c r="K33">
        <v>4</v>
      </c>
      <c r="L33" t="s">
        <v>27</v>
      </c>
      <c r="M33">
        <v>2.6796609649813998</v>
      </c>
      <c r="N33" t="s">
        <v>28</v>
      </c>
      <c r="O33" t="s">
        <v>62</v>
      </c>
      <c r="P33">
        <v>24</v>
      </c>
      <c r="Q33">
        <v>461</v>
      </c>
      <c r="R33">
        <v>8</v>
      </c>
      <c r="S33">
        <v>60.251145661598002</v>
      </c>
      <c r="T33" t="s">
        <v>30</v>
      </c>
      <c r="U33">
        <v>2.9890000066550702</v>
      </c>
      <c r="V33" t="s">
        <v>47</v>
      </c>
      <c r="W33" t="s">
        <v>41</v>
      </c>
      <c r="X33">
        <v>609.379206618426</v>
      </c>
    </row>
    <row r="34" spans="1:24" x14ac:dyDescent="0.3">
      <c r="A34" t="s">
        <v>33</v>
      </c>
      <c r="B34" t="s">
        <v>86</v>
      </c>
      <c r="C34">
        <v>79.209936015656695</v>
      </c>
      <c r="D34">
        <v>43</v>
      </c>
      <c r="E34">
        <v>781</v>
      </c>
      <c r="F34">
        <v>9571.5504873278096</v>
      </c>
      <c r="G34" t="s">
        <v>38</v>
      </c>
      <c r="H34">
        <v>89</v>
      </c>
      <c r="I34">
        <v>13</v>
      </c>
      <c r="J34">
        <v>64</v>
      </c>
      <c r="K34">
        <v>4</v>
      </c>
      <c r="L34" t="s">
        <v>43</v>
      </c>
      <c r="M34">
        <v>6.5991049012385803</v>
      </c>
      <c r="N34" t="s">
        <v>28</v>
      </c>
      <c r="O34" t="s">
        <v>45</v>
      </c>
      <c r="P34">
        <v>30</v>
      </c>
      <c r="Q34">
        <v>737</v>
      </c>
      <c r="R34">
        <v>7</v>
      </c>
      <c r="S34">
        <v>29.6924671537497</v>
      </c>
      <c r="T34" t="s">
        <v>64</v>
      </c>
      <c r="U34">
        <v>1.94603611938611</v>
      </c>
      <c r="V34" t="s">
        <v>31</v>
      </c>
      <c r="W34" t="s">
        <v>48</v>
      </c>
      <c r="X34">
        <v>761.17390951487698</v>
      </c>
    </row>
    <row r="35" spans="1:24" x14ac:dyDescent="0.3">
      <c r="A35" t="s">
        <v>57</v>
      </c>
      <c r="B35" t="s">
        <v>87</v>
      </c>
      <c r="C35">
        <v>64.795435000155607</v>
      </c>
      <c r="D35">
        <v>63</v>
      </c>
      <c r="E35">
        <v>616</v>
      </c>
      <c r="F35">
        <v>5149.9983504080301</v>
      </c>
      <c r="G35" t="s">
        <v>26</v>
      </c>
      <c r="H35">
        <v>4</v>
      </c>
      <c r="I35">
        <v>17</v>
      </c>
      <c r="J35">
        <v>95</v>
      </c>
      <c r="K35">
        <v>9</v>
      </c>
      <c r="L35" t="s">
        <v>43</v>
      </c>
      <c r="M35">
        <v>4.85827050343664</v>
      </c>
      <c r="N35" t="s">
        <v>44</v>
      </c>
      <c r="O35" t="s">
        <v>62</v>
      </c>
      <c r="P35">
        <v>1</v>
      </c>
      <c r="Q35">
        <v>251</v>
      </c>
      <c r="R35">
        <v>23</v>
      </c>
      <c r="S35">
        <v>23.853427512896101</v>
      </c>
      <c r="T35" t="s">
        <v>46</v>
      </c>
      <c r="U35">
        <v>3.54104601225092</v>
      </c>
      <c r="V35" t="s">
        <v>56</v>
      </c>
      <c r="W35" t="s">
        <v>48</v>
      </c>
      <c r="X35">
        <v>371.25529551987103</v>
      </c>
    </row>
    <row r="36" spans="1:24" x14ac:dyDescent="0.3">
      <c r="A36" t="s">
        <v>33</v>
      </c>
      <c r="B36" t="s">
        <v>88</v>
      </c>
      <c r="C36">
        <v>37.467592329842397</v>
      </c>
      <c r="D36">
        <v>96</v>
      </c>
      <c r="E36">
        <v>602</v>
      </c>
      <c r="F36">
        <v>9061.7108955077201</v>
      </c>
      <c r="G36" t="s">
        <v>38</v>
      </c>
      <c r="H36">
        <v>1</v>
      </c>
      <c r="I36">
        <v>26</v>
      </c>
      <c r="J36">
        <v>21</v>
      </c>
      <c r="K36">
        <v>7</v>
      </c>
      <c r="L36" t="s">
        <v>36</v>
      </c>
      <c r="M36">
        <v>1.0194875708221101</v>
      </c>
      <c r="N36" t="s">
        <v>39</v>
      </c>
      <c r="O36" t="s">
        <v>62</v>
      </c>
      <c r="P36">
        <v>4</v>
      </c>
      <c r="Q36">
        <v>452</v>
      </c>
      <c r="R36">
        <v>10</v>
      </c>
      <c r="S36">
        <v>10.754272815029299</v>
      </c>
      <c r="T36" t="s">
        <v>64</v>
      </c>
      <c r="U36">
        <v>0.64660455937205397</v>
      </c>
      <c r="V36" t="s">
        <v>31</v>
      </c>
      <c r="W36" t="s">
        <v>32</v>
      </c>
      <c r="X36">
        <v>510.35800043352299</v>
      </c>
    </row>
    <row r="37" spans="1:24" x14ac:dyDescent="0.3">
      <c r="A37" t="s">
        <v>57</v>
      </c>
      <c r="B37" t="s">
        <v>89</v>
      </c>
      <c r="C37">
        <v>84.957786816350406</v>
      </c>
      <c r="D37">
        <v>11</v>
      </c>
      <c r="E37">
        <v>449</v>
      </c>
      <c r="F37">
        <v>6541.3293448024597</v>
      </c>
      <c r="G37" t="s">
        <v>35</v>
      </c>
      <c r="H37">
        <v>42</v>
      </c>
      <c r="I37">
        <v>27</v>
      </c>
      <c r="J37">
        <v>85</v>
      </c>
      <c r="K37">
        <v>8</v>
      </c>
      <c r="L37" t="s">
        <v>43</v>
      </c>
      <c r="M37">
        <v>5.2881899903273997</v>
      </c>
      <c r="N37" t="s">
        <v>39</v>
      </c>
      <c r="O37" t="s">
        <v>50</v>
      </c>
      <c r="P37">
        <v>3</v>
      </c>
      <c r="Q37">
        <v>367</v>
      </c>
      <c r="R37">
        <v>2</v>
      </c>
      <c r="S37">
        <v>58.004787044743701</v>
      </c>
      <c r="T37" t="s">
        <v>64</v>
      </c>
      <c r="U37">
        <v>0.54115409806058101</v>
      </c>
      <c r="V37" t="s">
        <v>56</v>
      </c>
      <c r="W37" t="s">
        <v>41</v>
      </c>
      <c r="X37">
        <v>553.42047123035502</v>
      </c>
    </row>
    <row r="38" spans="1:24" x14ac:dyDescent="0.3">
      <c r="A38" t="s">
        <v>33</v>
      </c>
      <c r="B38" t="s">
        <v>90</v>
      </c>
      <c r="C38">
        <v>9.81300257875405</v>
      </c>
      <c r="D38">
        <v>34</v>
      </c>
      <c r="E38">
        <v>963</v>
      </c>
      <c r="F38">
        <v>7573.4024578487297</v>
      </c>
      <c r="G38" t="s">
        <v>35</v>
      </c>
      <c r="H38">
        <v>18</v>
      </c>
      <c r="I38">
        <v>23</v>
      </c>
      <c r="J38">
        <v>28</v>
      </c>
      <c r="K38">
        <v>3</v>
      </c>
      <c r="L38" t="s">
        <v>27</v>
      </c>
      <c r="M38">
        <v>2.1079512671590801</v>
      </c>
      <c r="N38" t="s">
        <v>61</v>
      </c>
      <c r="O38" t="s">
        <v>50</v>
      </c>
      <c r="P38">
        <v>26</v>
      </c>
      <c r="Q38">
        <v>671</v>
      </c>
      <c r="R38">
        <v>19</v>
      </c>
      <c r="S38">
        <v>45.531364237162101</v>
      </c>
      <c r="T38" t="s">
        <v>46</v>
      </c>
      <c r="U38">
        <v>3.8055333792433501</v>
      </c>
      <c r="V38" t="s">
        <v>40</v>
      </c>
      <c r="W38" t="s">
        <v>41</v>
      </c>
      <c r="X38">
        <v>403.80897424817999</v>
      </c>
    </row>
    <row r="39" spans="1:24" x14ac:dyDescent="0.3">
      <c r="A39" t="s">
        <v>33</v>
      </c>
      <c r="B39" t="s">
        <v>91</v>
      </c>
      <c r="C39">
        <v>23.3998447526143</v>
      </c>
      <c r="D39">
        <v>5</v>
      </c>
      <c r="E39">
        <v>963</v>
      </c>
      <c r="F39">
        <v>2438.3399304700201</v>
      </c>
      <c r="G39" t="s">
        <v>35</v>
      </c>
      <c r="H39">
        <v>25</v>
      </c>
      <c r="I39">
        <v>8</v>
      </c>
      <c r="J39">
        <v>21</v>
      </c>
      <c r="K39">
        <v>9</v>
      </c>
      <c r="L39" t="s">
        <v>36</v>
      </c>
      <c r="M39">
        <v>1.53265527359043</v>
      </c>
      <c r="N39" t="s">
        <v>28</v>
      </c>
      <c r="O39" t="s">
        <v>45</v>
      </c>
      <c r="P39">
        <v>24</v>
      </c>
      <c r="Q39">
        <v>867</v>
      </c>
      <c r="R39">
        <v>15</v>
      </c>
      <c r="S39">
        <v>34.343277465075303</v>
      </c>
      <c r="T39" t="s">
        <v>30</v>
      </c>
      <c r="U39">
        <v>2.61028808484811</v>
      </c>
      <c r="V39" t="s">
        <v>56</v>
      </c>
      <c r="W39" t="s">
        <v>48</v>
      </c>
      <c r="X39">
        <v>183.932968043594</v>
      </c>
    </row>
    <row r="40" spans="1:24" x14ac:dyDescent="0.3">
      <c r="A40" t="s">
        <v>57</v>
      </c>
      <c r="B40" t="s">
        <v>92</v>
      </c>
      <c r="C40">
        <v>52.075930682707799</v>
      </c>
      <c r="D40">
        <v>75</v>
      </c>
      <c r="E40">
        <v>705</v>
      </c>
      <c r="F40">
        <v>9692.3180402184298</v>
      </c>
      <c r="G40" t="s">
        <v>26</v>
      </c>
      <c r="H40">
        <v>69</v>
      </c>
      <c r="I40">
        <v>1</v>
      </c>
      <c r="J40">
        <v>88</v>
      </c>
      <c r="K40">
        <v>5</v>
      </c>
      <c r="L40" t="s">
        <v>27</v>
      </c>
      <c r="M40">
        <v>9.2359314372492207</v>
      </c>
      <c r="N40" t="s">
        <v>44</v>
      </c>
      <c r="O40" t="s">
        <v>29</v>
      </c>
      <c r="P40">
        <v>10</v>
      </c>
      <c r="Q40">
        <v>841</v>
      </c>
      <c r="R40">
        <v>12</v>
      </c>
      <c r="S40">
        <v>5.9306936455283097</v>
      </c>
      <c r="T40" t="s">
        <v>30</v>
      </c>
      <c r="U40">
        <v>0.613326899164507</v>
      </c>
      <c r="V40" t="s">
        <v>40</v>
      </c>
      <c r="W40" t="s">
        <v>32</v>
      </c>
      <c r="X40">
        <v>339.67286994860598</v>
      </c>
    </row>
    <row r="41" spans="1:24" x14ac:dyDescent="0.3">
      <c r="A41" t="s">
        <v>33</v>
      </c>
      <c r="B41" t="s">
        <v>93</v>
      </c>
      <c r="C41">
        <v>19.127477265823199</v>
      </c>
      <c r="D41">
        <v>26</v>
      </c>
      <c r="E41">
        <v>176</v>
      </c>
      <c r="F41">
        <v>1912.4656631007599</v>
      </c>
      <c r="G41" t="s">
        <v>35</v>
      </c>
      <c r="H41">
        <v>78</v>
      </c>
      <c r="I41">
        <v>29</v>
      </c>
      <c r="J41">
        <v>34</v>
      </c>
      <c r="K41">
        <v>3</v>
      </c>
      <c r="L41" t="s">
        <v>36</v>
      </c>
      <c r="M41">
        <v>5.5625037788303802</v>
      </c>
      <c r="N41" t="s">
        <v>61</v>
      </c>
      <c r="O41" t="s">
        <v>45</v>
      </c>
      <c r="P41">
        <v>30</v>
      </c>
      <c r="Q41">
        <v>791</v>
      </c>
      <c r="R41">
        <v>6</v>
      </c>
      <c r="S41">
        <v>9.0058074287816403</v>
      </c>
      <c r="T41" t="s">
        <v>46</v>
      </c>
      <c r="U41">
        <v>1.4519722039968099</v>
      </c>
      <c r="V41" t="s">
        <v>40</v>
      </c>
      <c r="W41" t="s">
        <v>32</v>
      </c>
      <c r="X41">
        <v>653.67299455203295</v>
      </c>
    </row>
    <row r="42" spans="1:24" x14ac:dyDescent="0.3">
      <c r="A42" t="s">
        <v>33</v>
      </c>
      <c r="B42" t="s">
        <v>94</v>
      </c>
      <c r="C42">
        <v>80.541424170940303</v>
      </c>
      <c r="D42">
        <v>97</v>
      </c>
      <c r="E42">
        <v>933</v>
      </c>
      <c r="F42">
        <v>5724.9593504562599</v>
      </c>
      <c r="G42" t="s">
        <v>35</v>
      </c>
      <c r="H42">
        <v>90</v>
      </c>
      <c r="I42">
        <v>20</v>
      </c>
      <c r="J42">
        <v>39</v>
      </c>
      <c r="K42">
        <v>8</v>
      </c>
      <c r="L42" t="s">
        <v>43</v>
      </c>
      <c r="M42">
        <v>7.2295951397364702</v>
      </c>
      <c r="N42" t="s">
        <v>39</v>
      </c>
      <c r="O42" t="s">
        <v>45</v>
      </c>
      <c r="P42">
        <v>18</v>
      </c>
      <c r="Q42">
        <v>793</v>
      </c>
      <c r="R42">
        <v>1</v>
      </c>
      <c r="S42">
        <v>88.179407104217404</v>
      </c>
      <c r="T42" t="s">
        <v>30</v>
      </c>
      <c r="U42">
        <v>4.2132694305865597</v>
      </c>
      <c r="V42" t="s">
        <v>31</v>
      </c>
      <c r="W42" t="s">
        <v>48</v>
      </c>
      <c r="X42">
        <v>529.80872398069096</v>
      </c>
    </row>
    <row r="43" spans="1:24" x14ac:dyDescent="0.3">
      <c r="A43" t="s">
        <v>33</v>
      </c>
      <c r="B43" t="s">
        <v>95</v>
      </c>
      <c r="C43">
        <v>99.113291615317095</v>
      </c>
      <c r="D43">
        <v>35</v>
      </c>
      <c r="E43">
        <v>556</v>
      </c>
      <c r="F43">
        <v>5521.2052590109697</v>
      </c>
      <c r="G43" t="s">
        <v>35</v>
      </c>
      <c r="H43">
        <v>64</v>
      </c>
      <c r="I43">
        <v>19</v>
      </c>
      <c r="J43">
        <v>38</v>
      </c>
      <c r="K43">
        <v>8</v>
      </c>
      <c r="L43" t="s">
        <v>27</v>
      </c>
      <c r="M43">
        <v>5.7732637437666501</v>
      </c>
      <c r="N43" t="s">
        <v>52</v>
      </c>
      <c r="O43" t="s">
        <v>62</v>
      </c>
      <c r="P43">
        <v>18</v>
      </c>
      <c r="Q43">
        <v>892</v>
      </c>
      <c r="R43">
        <v>7</v>
      </c>
      <c r="S43">
        <v>95.332064548772493</v>
      </c>
      <c r="T43" t="s">
        <v>46</v>
      </c>
      <c r="U43">
        <v>4.5302262398259602E-2</v>
      </c>
      <c r="V43" t="s">
        <v>56</v>
      </c>
      <c r="W43" t="s">
        <v>48</v>
      </c>
      <c r="X43">
        <v>275.52437113130901</v>
      </c>
    </row>
    <row r="44" spans="1:24" x14ac:dyDescent="0.3">
      <c r="A44" t="s">
        <v>33</v>
      </c>
      <c r="B44" t="s">
        <v>96</v>
      </c>
      <c r="C44">
        <v>46.529167614516702</v>
      </c>
      <c r="D44">
        <v>98</v>
      </c>
      <c r="E44">
        <v>155</v>
      </c>
      <c r="F44">
        <v>1839.60942585676</v>
      </c>
      <c r="G44" t="s">
        <v>35</v>
      </c>
      <c r="H44">
        <v>22</v>
      </c>
      <c r="I44">
        <v>27</v>
      </c>
      <c r="J44">
        <v>57</v>
      </c>
      <c r="K44">
        <v>4</v>
      </c>
      <c r="L44" t="s">
        <v>43</v>
      </c>
      <c r="M44">
        <v>7.5262483268515004</v>
      </c>
      <c r="N44" t="s">
        <v>44</v>
      </c>
      <c r="O44" t="s">
        <v>53</v>
      </c>
      <c r="P44">
        <v>26</v>
      </c>
      <c r="Q44">
        <v>179</v>
      </c>
      <c r="R44">
        <v>7</v>
      </c>
      <c r="S44">
        <v>96.422820639571796</v>
      </c>
      <c r="T44" t="s">
        <v>46</v>
      </c>
      <c r="U44">
        <v>4.9392552886209398</v>
      </c>
      <c r="V44" t="s">
        <v>31</v>
      </c>
      <c r="W44" t="s">
        <v>48</v>
      </c>
      <c r="X44">
        <v>635.65712050199102</v>
      </c>
    </row>
    <row r="45" spans="1:24" x14ac:dyDescent="0.3">
      <c r="A45" t="s">
        <v>24</v>
      </c>
      <c r="B45" t="s">
        <v>97</v>
      </c>
      <c r="C45">
        <v>11.7432717763092</v>
      </c>
      <c r="D45">
        <v>6</v>
      </c>
      <c r="E45">
        <v>598</v>
      </c>
      <c r="F45">
        <v>5737.4255991190203</v>
      </c>
      <c r="G45" t="s">
        <v>38</v>
      </c>
      <c r="H45">
        <v>36</v>
      </c>
      <c r="I45">
        <v>29</v>
      </c>
      <c r="J45">
        <v>85</v>
      </c>
      <c r="K45">
        <v>9</v>
      </c>
      <c r="L45" t="s">
        <v>27</v>
      </c>
      <c r="M45">
        <v>3.6940212683884499</v>
      </c>
      <c r="N45" t="s">
        <v>44</v>
      </c>
      <c r="O45" t="s">
        <v>29</v>
      </c>
      <c r="P45">
        <v>1</v>
      </c>
      <c r="Q45">
        <v>206</v>
      </c>
      <c r="R45">
        <v>23</v>
      </c>
      <c r="S45">
        <v>26.2773659573324</v>
      </c>
      <c r="T45" t="s">
        <v>30</v>
      </c>
      <c r="U45">
        <v>0.37230476798509698</v>
      </c>
      <c r="V45" t="s">
        <v>40</v>
      </c>
      <c r="W45" t="s">
        <v>48</v>
      </c>
      <c r="X45">
        <v>716.04411975933999</v>
      </c>
    </row>
    <row r="46" spans="1:24" x14ac:dyDescent="0.3">
      <c r="A46" t="s">
        <v>57</v>
      </c>
      <c r="B46" t="s">
        <v>98</v>
      </c>
      <c r="C46">
        <v>51.355790913110297</v>
      </c>
      <c r="D46">
        <v>34</v>
      </c>
      <c r="E46">
        <v>919</v>
      </c>
      <c r="F46">
        <v>7152.28604943551</v>
      </c>
      <c r="G46" t="s">
        <v>35</v>
      </c>
      <c r="H46">
        <v>13</v>
      </c>
      <c r="I46">
        <v>19</v>
      </c>
      <c r="J46">
        <v>72</v>
      </c>
      <c r="K46">
        <v>6</v>
      </c>
      <c r="L46" t="s">
        <v>43</v>
      </c>
      <c r="M46">
        <v>7.5774496573766896</v>
      </c>
      <c r="N46" t="s">
        <v>61</v>
      </c>
      <c r="O46" t="s">
        <v>50</v>
      </c>
      <c r="P46">
        <v>7</v>
      </c>
      <c r="Q46">
        <v>834</v>
      </c>
      <c r="R46">
        <v>18</v>
      </c>
      <c r="S46">
        <v>22.554106620887701</v>
      </c>
      <c r="T46" t="s">
        <v>46</v>
      </c>
      <c r="U46">
        <v>2.9626263204548802</v>
      </c>
      <c r="V46" t="s">
        <v>47</v>
      </c>
      <c r="W46" t="s">
        <v>48</v>
      </c>
      <c r="X46">
        <v>610.45326961922694</v>
      </c>
    </row>
    <row r="47" spans="1:24" x14ac:dyDescent="0.3">
      <c r="A47" t="s">
        <v>24</v>
      </c>
      <c r="B47" t="s">
        <v>99</v>
      </c>
      <c r="C47">
        <v>33.784138033065503</v>
      </c>
      <c r="D47">
        <v>1</v>
      </c>
      <c r="E47">
        <v>24</v>
      </c>
      <c r="F47">
        <v>5267.9568075105199</v>
      </c>
      <c r="G47" t="s">
        <v>55</v>
      </c>
      <c r="H47">
        <v>93</v>
      </c>
      <c r="I47">
        <v>7</v>
      </c>
      <c r="J47">
        <v>52</v>
      </c>
      <c r="K47">
        <v>6</v>
      </c>
      <c r="L47" t="s">
        <v>27</v>
      </c>
      <c r="M47">
        <v>5.2151550087119096</v>
      </c>
      <c r="N47" t="s">
        <v>61</v>
      </c>
      <c r="O47" t="s">
        <v>62</v>
      </c>
      <c r="P47">
        <v>25</v>
      </c>
      <c r="Q47">
        <v>794</v>
      </c>
      <c r="R47">
        <v>25</v>
      </c>
      <c r="S47">
        <v>66.312544439991598</v>
      </c>
      <c r="T47" t="s">
        <v>64</v>
      </c>
      <c r="U47">
        <v>3.2196046120841002</v>
      </c>
      <c r="V47" t="s">
        <v>47</v>
      </c>
      <c r="W47" t="s">
        <v>48</v>
      </c>
      <c r="X47">
        <v>495.30569702847299</v>
      </c>
    </row>
    <row r="48" spans="1:24" x14ac:dyDescent="0.3">
      <c r="A48" t="s">
        <v>24</v>
      </c>
      <c r="B48" t="s">
        <v>100</v>
      </c>
      <c r="C48">
        <v>27.082207199888899</v>
      </c>
      <c r="D48">
        <v>75</v>
      </c>
      <c r="E48">
        <v>859</v>
      </c>
      <c r="F48">
        <v>2556.7673606335902</v>
      </c>
      <c r="G48" t="s">
        <v>26</v>
      </c>
      <c r="H48">
        <v>92</v>
      </c>
      <c r="I48">
        <v>29</v>
      </c>
      <c r="J48">
        <v>6</v>
      </c>
      <c r="K48">
        <v>8</v>
      </c>
      <c r="L48" t="s">
        <v>27</v>
      </c>
      <c r="M48">
        <v>4.0709558370840799</v>
      </c>
      <c r="N48" t="s">
        <v>28</v>
      </c>
      <c r="O48" t="s">
        <v>62</v>
      </c>
      <c r="P48">
        <v>18</v>
      </c>
      <c r="Q48">
        <v>870</v>
      </c>
      <c r="R48">
        <v>23</v>
      </c>
      <c r="S48">
        <v>77.322353211051606</v>
      </c>
      <c r="T48" t="s">
        <v>30</v>
      </c>
      <c r="U48">
        <v>3.6486105925361998</v>
      </c>
      <c r="V48" t="s">
        <v>31</v>
      </c>
      <c r="W48" t="s">
        <v>32</v>
      </c>
      <c r="X48">
        <v>380.43593711196399</v>
      </c>
    </row>
    <row r="49" spans="1:24" x14ac:dyDescent="0.3">
      <c r="A49" t="s">
        <v>33</v>
      </c>
      <c r="B49" t="s">
        <v>101</v>
      </c>
      <c r="C49">
        <v>95.712135880936003</v>
      </c>
      <c r="D49">
        <v>93</v>
      </c>
      <c r="E49">
        <v>910</v>
      </c>
      <c r="F49">
        <v>7089.4742499341801</v>
      </c>
      <c r="G49" t="s">
        <v>55</v>
      </c>
      <c r="H49">
        <v>4</v>
      </c>
      <c r="I49">
        <v>15</v>
      </c>
      <c r="J49">
        <v>51</v>
      </c>
      <c r="K49">
        <v>9</v>
      </c>
      <c r="L49" t="s">
        <v>27</v>
      </c>
      <c r="M49">
        <v>8.9787507559499709</v>
      </c>
      <c r="N49" t="s">
        <v>39</v>
      </c>
      <c r="O49" t="s">
        <v>45</v>
      </c>
      <c r="P49">
        <v>10</v>
      </c>
      <c r="Q49">
        <v>964</v>
      </c>
      <c r="R49">
        <v>20</v>
      </c>
      <c r="S49">
        <v>19.7129929112936</v>
      </c>
      <c r="T49" t="s">
        <v>30</v>
      </c>
      <c r="U49">
        <v>0.38057358671321301</v>
      </c>
      <c r="V49" t="s">
        <v>47</v>
      </c>
      <c r="W49" t="s">
        <v>48</v>
      </c>
      <c r="X49">
        <v>581.60235505058597</v>
      </c>
    </row>
    <row r="50" spans="1:24" x14ac:dyDescent="0.3">
      <c r="A50" t="s">
        <v>24</v>
      </c>
      <c r="B50" t="s">
        <v>102</v>
      </c>
      <c r="C50">
        <v>76.035544426891704</v>
      </c>
      <c r="D50">
        <v>28</v>
      </c>
      <c r="E50">
        <v>29</v>
      </c>
      <c r="F50">
        <v>7397.0710045871801</v>
      </c>
      <c r="G50" t="s">
        <v>26</v>
      </c>
      <c r="H50">
        <v>30</v>
      </c>
      <c r="I50">
        <v>16</v>
      </c>
      <c r="J50">
        <v>9</v>
      </c>
      <c r="K50">
        <v>3</v>
      </c>
      <c r="L50" t="s">
        <v>43</v>
      </c>
      <c r="M50">
        <v>7.0958331565551296</v>
      </c>
      <c r="N50" t="s">
        <v>61</v>
      </c>
      <c r="O50" t="s">
        <v>29</v>
      </c>
      <c r="P50">
        <v>9</v>
      </c>
      <c r="Q50">
        <v>109</v>
      </c>
      <c r="R50">
        <v>18</v>
      </c>
      <c r="S50">
        <v>23.126363582464698</v>
      </c>
      <c r="T50" t="s">
        <v>46</v>
      </c>
      <c r="U50">
        <v>1.6981125407144</v>
      </c>
      <c r="V50" t="s">
        <v>47</v>
      </c>
      <c r="W50" t="s">
        <v>32</v>
      </c>
      <c r="X50">
        <v>768.65191395437</v>
      </c>
    </row>
    <row r="51" spans="1:24" x14ac:dyDescent="0.3">
      <c r="A51" t="s">
        <v>57</v>
      </c>
      <c r="B51" t="s">
        <v>103</v>
      </c>
      <c r="C51">
        <v>78.897913205639995</v>
      </c>
      <c r="D51">
        <v>19</v>
      </c>
      <c r="E51">
        <v>99</v>
      </c>
      <c r="F51">
        <v>8001.6132065190004</v>
      </c>
      <c r="G51" t="s">
        <v>38</v>
      </c>
      <c r="H51">
        <v>97</v>
      </c>
      <c r="I51">
        <v>24</v>
      </c>
      <c r="J51">
        <v>9</v>
      </c>
      <c r="K51">
        <v>6</v>
      </c>
      <c r="L51" t="s">
        <v>43</v>
      </c>
      <c r="M51">
        <v>2.5056210329009101</v>
      </c>
      <c r="N51" t="s">
        <v>44</v>
      </c>
      <c r="O51" t="s">
        <v>50</v>
      </c>
      <c r="P51">
        <v>28</v>
      </c>
      <c r="Q51">
        <v>177</v>
      </c>
      <c r="R51">
        <v>28</v>
      </c>
      <c r="S51">
        <v>14.1478154439792</v>
      </c>
      <c r="T51" t="s">
        <v>64</v>
      </c>
      <c r="U51">
        <v>2.8258139854001301</v>
      </c>
      <c r="V51" t="s">
        <v>47</v>
      </c>
      <c r="W51" t="s">
        <v>48</v>
      </c>
      <c r="X51">
        <v>336.89016851997701</v>
      </c>
    </row>
    <row r="52" spans="1:24" x14ac:dyDescent="0.3">
      <c r="A52" t="s">
        <v>57</v>
      </c>
      <c r="B52" t="s">
        <v>104</v>
      </c>
      <c r="C52">
        <v>14.203484264803</v>
      </c>
      <c r="D52">
        <v>91</v>
      </c>
      <c r="E52">
        <v>633</v>
      </c>
      <c r="F52">
        <v>5910.8853896688897</v>
      </c>
      <c r="G52" t="s">
        <v>35</v>
      </c>
      <c r="H52">
        <v>31</v>
      </c>
      <c r="I52">
        <v>23</v>
      </c>
      <c r="J52">
        <v>82</v>
      </c>
      <c r="K52">
        <v>10</v>
      </c>
      <c r="L52" t="s">
        <v>36</v>
      </c>
      <c r="M52">
        <v>6.2478609149759903</v>
      </c>
      <c r="N52" t="s">
        <v>61</v>
      </c>
      <c r="O52" t="s">
        <v>50</v>
      </c>
      <c r="P52">
        <v>20</v>
      </c>
      <c r="Q52">
        <v>306</v>
      </c>
      <c r="R52">
        <v>21</v>
      </c>
      <c r="S52">
        <v>45.178757924634503</v>
      </c>
      <c r="T52" t="s">
        <v>46</v>
      </c>
      <c r="U52">
        <v>4.7548008046711798</v>
      </c>
      <c r="V52" t="s">
        <v>47</v>
      </c>
      <c r="W52" t="s">
        <v>32</v>
      </c>
      <c r="X52">
        <v>496.24865029194001</v>
      </c>
    </row>
    <row r="53" spans="1:24" x14ac:dyDescent="0.3">
      <c r="A53" t="s">
        <v>24</v>
      </c>
      <c r="B53" t="s">
        <v>105</v>
      </c>
      <c r="C53">
        <v>26.700760972461701</v>
      </c>
      <c r="D53">
        <v>61</v>
      </c>
      <c r="E53">
        <v>154</v>
      </c>
      <c r="F53">
        <v>9866.4654579796897</v>
      </c>
      <c r="G53" t="s">
        <v>55</v>
      </c>
      <c r="H53">
        <v>100</v>
      </c>
      <c r="I53">
        <v>4</v>
      </c>
      <c r="J53">
        <v>52</v>
      </c>
      <c r="K53">
        <v>1</v>
      </c>
      <c r="L53" t="s">
        <v>36</v>
      </c>
      <c r="M53">
        <v>4.78300055794766</v>
      </c>
      <c r="N53" t="s">
        <v>44</v>
      </c>
      <c r="O53" t="s">
        <v>53</v>
      </c>
      <c r="P53">
        <v>18</v>
      </c>
      <c r="Q53">
        <v>673</v>
      </c>
      <c r="R53">
        <v>28</v>
      </c>
      <c r="S53">
        <v>14.190328344569901</v>
      </c>
      <c r="T53" t="s">
        <v>30</v>
      </c>
      <c r="U53">
        <v>1.77295117208355</v>
      </c>
      <c r="V53" t="s">
        <v>31</v>
      </c>
      <c r="W53" t="s">
        <v>48</v>
      </c>
      <c r="X53">
        <v>694.98231757944495</v>
      </c>
    </row>
    <row r="54" spans="1:24" x14ac:dyDescent="0.3">
      <c r="A54" t="s">
        <v>33</v>
      </c>
      <c r="B54" t="s">
        <v>106</v>
      </c>
      <c r="C54">
        <v>98.031829656465007</v>
      </c>
      <c r="D54">
        <v>1</v>
      </c>
      <c r="E54">
        <v>820</v>
      </c>
      <c r="F54">
        <v>9435.7626089121295</v>
      </c>
      <c r="G54" t="s">
        <v>55</v>
      </c>
      <c r="H54">
        <v>64</v>
      </c>
      <c r="I54">
        <v>11</v>
      </c>
      <c r="J54">
        <v>11</v>
      </c>
      <c r="K54">
        <v>1</v>
      </c>
      <c r="L54" t="s">
        <v>27</v>
      </c>
      <c r="M54">
        <v>8.6310521797689397</v>
      </c>
      <c r="N54" t="s">
        <v>39</v>
      </c>
      <c r="O54" t="s">
        <v>29</v>
      </c>
      <c r="P54">
        <v>10</v>
      </c>
      <c r="Q54">
        <v>727</v>
      </c>
      <c r="R54">
        <v>27</v>
      </c>
      <c r="S54">
        <v>9.1668491485971497</v>
      </c>
      <c r="T54" t="s">
        <v>30</v>
      </c>
      <c r="U54">
        <v>2.1224716191438202</v>
      </c>
      <c r="V54" t="s">
        <v>40</v>
      </c>
      <c r="W54" t="s">
        <v>41</v>
      </c>
      <c r="X54">
        <v>602.89849883838303</v>
      </c>
    </row>
    <row r="55" spans="1:24" x14ac:dyDescent="0.3">
      <c r="A55" t="s">
        <v>33</v>
      </c>
      <c r="B55" t="s">
        <v>107</v>
      </c>
      <c r="C55">
        <v>30.3414707112142</v>
      </c>
      <c r="D55">
        <v>93</v>
      </c>
      <c r="E55">
        <v>242</v>
      </c>
      <c r="F55">
        <v>8232.3348294258194</v>
      </c>
      <c r="G55" t="s">
        <v>55</v>
      </c>
      <c r="H55">
        <v>96</v>
      </c>
      <c r="I55">
        <v>25</v>
      </c>
      <c r="J55">
        <v>54</v>
      </c>
      <c r="K55">
        <v>3</v>
      </c>
      <c r="L55" t="s">
        <v>27</v>
      </c>
      <c r="M55">
        <v>1.0134865660958901</v>
      </c>
      <c r="N55" t="s">
        <v>39</v>
      </c>
      <c r="O55" t="s">
        <v>50</v>
      </c>
      <c r="P55">
        <v>1</v>
      </c>
      <c r="Q55">
        <v>631</v>
      </c>
      <c r="R55">
        <v>17</v>
      </c>
      <c r="S55">
        <v>83.344058991677898</v>
      </c>
      <c r="T55" t="s">
        <v>30</v>
      </c>
      <c r="U55">
        <v>1.41034757607602</v>
      </c>
      <c r="V55" t="s">
        <v>40</v>
      </c>
      <c r="W55" t="s">
        <v>32</v>
      </c>
      <c r="X55">
        <v>750.73784066827</v>
      </c>
    </row>
    <row r="56" spans="1:24" x14ac:dyDescent="0.3">
      <c r="A56" t="s">
        <v>24</v>
      </c>
      <c r="B56" t="s">
        <v>108</v>
      </c>
      <c r="C56">
        <v>31.1462431602408</v>
      </c>
      <c r="D56">
        <v>11</v>
      </c>
      <c r="E56">
        <v>622</v>
      </c>
      <c r="F56">
        <v>6088.0214799408504</v>
      </c>
      <c r="G56" t="s">
        <v>26</v>
      </c>
      <c r="H56">
        <v>33</v>
      </c>
      <c r="I56">
        <v>22</v>
      </c>
      <c r="J56">
        <v>61</v>
      </c>
      <c r="K56">
        <v>3</v>
      </c>
      <c r="L56" t="s">
        <v>27</v>
      </c>
      <c r="M56">
        <v>4.3051034712876302</v>
      </c>
      <c r="N56" t="s">
        <v>39</v>
      </c>
      <c r="O56" t="s">
        <v>45</v>
      </c>
      <c r="P56">
        <v>26</v>
      </c>
      <c r="Q56">
        <v>497</v>
      </c>
      <c r="R56">
        <v>29</v>
      </c>
      <c r="S56">
        <v>30.186023375822501</v>
      </c>
      <c r="T56" t="s">
        <v>64</v>
      </c>
      <c r="U56">
        <v>2.4787719755397402</v>
      </c>
      <c r="V56" t="s">
        <v>31</v>
      </c>
      <c r="W56" t="s">
        <v>32</v>
      </c>
      <c r="X56">
        <v>814.06999658218695</v>
      </c>
    </row>
    <row r="57" spans="1:24" x14ac:dyDescent="0.3">
      <c r="A57" t="s">
        <v>24</v>
      </c>
      <c r="B57" t="s">
        <v>109</v>
      </c>
      <c r="C57">
        <v>79.855058340789398</v>
      </c>
      <c r="D57">
        <v>16</v>
      </c>
      <c r="E57">
        <v>701</v>
      </c>
      <c r="F57">
        <v>2925.6751703038099</v>
      </c>
      <c r="G57" t="s">
        <v>55</v>
      </c>
      <c r="H57">
        <v>97</v>
      </c>
      <c r="I57">
        <v>11</v>
      </c>
      <c r="J57">
        <v>11</v>
      </c>
      <c r="K57">
        <v>5</v>
      </c>
      <c r="L57" t="s">
        <v>36</v>
      </c>
      <c r="M57">
        <v>5.0143649550309002</v>
      </c>
      <c r="N57" t="s">
        <v>61</v>
      </c>
      <c r="O57" t="s">
        <v>50</v>
      </c>
      <c r="P57">
        <v>27</v>
      </c>
      <c r="Q57">
        <v>918</v>
      </c>
      <c r="R57">
        <v>5</v>
      </c>
      <c r="S57">
        <v>30.323545256616502</v>
      </c>
      <c r="T57" t="s">
        <v>46</v>
      </c>
      <c r="U57">
        <v>4.5489196593963799</v>
      </c>
      <c r="V57" t="s">
        <v>56</v>
      </c>
      <c r="W57" t="s">
        <v>32</v>
      </c>
      <c r="X57">
        <v>323.01292795247798</v>
      </c>
    </row>
    <row r="58" spans="1:24" x14ac:dyDescent="0.3">
      <c r="A58" t="s">
        <v>33</v>
      </c>
      <c r="B58" t="s">
        <v>110</v>
      </c>
      <c r="C58">
        <v>20.9863860370433</v>
      </c>
      <c r="D58">
        <v>90</v>
      </c>
      <c r="E58">
        <v>93</v>
      </c>
      <c r="F58">
        <v>4767.0204843441297</v>
      </c>
      <c r="G58" t="s">
        <v>26</v>
      </c>
      <c r="H58">
        <v>25</v>
      </c>
      <c r="I58">
        <v>23</v>
      </c>
      <c r="J58">
        <v>83</v>
      </c>
      <c r="K58">
        <v>5</v>
      </c>
      <c r="L58" t="s">
        <v>43</v>
      </c>
      <c r="M58">
        <v>1.77442971407173</v>
      </c>
      <c r="N58" t="s">
        <v>39</v>
      </c>
      <c r="O58" t="s">
        <v>29</v>
      </c>
      <c r="P58">
        <v>24</v>
      </c>
      <c r="Q58">
        <v>826</v>
      </c>
      <c r="R58">
        <v>28</v>
      </c>
      <c r="S58">
        <v>12.8362845728327</v>
      </c>
      <c r="T58" t="s">
        <v>64</v>
      </c>
      <c r="U58">
        <v>1.1737554953874501</v>
      </c>
      <c r="V58" t="s">
        <v>40</v>
      </c>
      <c r="W58" t="s">
        <v>32</v>
      </c>
      <c r="X58">
        <v>832.210808706021</v>
      </c>
    </row>
    <row r="59" spans="1:24" x14ac:dyDescent="0.3">
      <c r="A59" t="s">
        <v>24</v>
      </c>
      <c r="B59" t="s">
        <v>111</v>
      </c>
      <c r="C59">
        <v>49.263205350734097</v>
      </c>
      <c r="D59">
        <v>65</v>
      </c>
      <c r="E59">
        <v>227</v>
      </c>
      <c r="F59">
        <v>1605.8669003924001</v>
      </c>
      <c r="G59" t="s">
        <v>38</v>
      </c>
      <c r="H59">
        <v>5</v>
      </c>
      <c r="I59">
        <v>18</v>
      </c>
      <c r="J59">
        <v>51</v>
      </c>
      <c r="K59">
        <v>1</v>
      </c>
      <c r="L59" t="s">
        <v>27</v>
      </c>
      <c r="M59">
        <v>9.1605585353818704</v>
      </c>
      <c r="N59" t="s">
        <v>61</v>
      </c>
      <c r="O59" t="s">
        <v>50</v>
      </c>
      <c r="P59">
        <v>21</v>
      </c>
      <c r="Q59">
        <v>588</v>
      </c>
      <c r="R59">
        <v>25</v>
      </c>
      <c r="S59">
        <v>67.779622987078099</v>
      </c>
      <c r="T59" t="s">
        <v>30</v>
      </c>
      <c r="U59">
        <v>2.5111748302126999</v>
      </c>
      <c r="V59" t="s">
        <v>47</v>
      </c>
      <c r="W59" t="s">
        <v>48</v>
      </c>
      <c r="X59">
        <v>482.19123860252802</v>
      </c>
    </row>
    <row r="60" spans="1:24" x14ac:dyDescent="0.3">
      <c r="A60" t="s">
        <v>33</v>
      </c>
      <c r="B60" t="s">
        <v>112</v>
      </c>
      <c r="C60">
        <v>59.841561377289302</v>
      </c>
      <c r="D60">
        <v>81</v>
      </c>
      <c r="E60">
        <v>896</v>
      </c>
      <c r="F60">
        <v>2021.1498103371</v>
      </c>
      <c r="G60" t="s">
        <v>26</v>
      </c>
      <c r="H60">
        <v>10</v>
      </c>
      <c r="I60">
        <v>5</v>
      </c>
      <c r="J60">
        <v>44</v>
      </c>
      <c r="K60">
        <v>7</v>
      </c>
      <c r="L60" t="s">
        <v>36</v>
      </c>
      <c r="M60">
        <v>4.9384385647120901</v>
      </c>
      <c r="N60" t="s">
        <v>28</v>
      </c>
      <c r="O60" t="s">
        <v>50</v>
      </c>
      <c r="P60">
        <v>18</v>
      </c>
      <c r="Q60">
        <v>396</v>
      </c>
      <c r="R60">
        <v>7</v>
      </c>
      <c r="S60">
        <v>65.047415094691402</v>
      </c>
      <c r="T60" t="s">
        <v>46</v>
      </c>
      <c r="U60">
        <v>1.7303747198591899</v>
      </c>
      <c r="V60" t="s">
        <v>31</v>
      </c>
      <c r="W60" t="s">
        <v>32</v>
      </c>
      <c r="X60">
        <v>110.364335231364</v>
      </c>
    </row>
    <row r="61" spans="1:24" x14ac:dyDescent="0.3">
      <c r="A61" t="s">
        <v>57</v>
      </c>
      <c r="B61" t="s">
        <v>113</v>
      </c>
      <c r="C61">
        <v>63.828398347710902</v>
      </c>
      <c r="D61">
        <v>30</v>
      </c>
      <c r="E61">
        <v>484</v>
      </c>
      <c r="F61">
        <v>1061.6185230132801</v>
      </c>
      <c r="G61" t="s">
        <v>26</v>
      </c>
      <c r="H61">
        <v>100</v>
      </c>
      <c r="I61">
        <v>16</v>
      </c>
      <c r="J61">
        <v>26</v>
      </c>
      <c r="K61">
        <v>7</v>
      </c>
      <c r="L61" t="s">
        <v>27</v>
      </c>
      <c r="M61">
        <v>7.2937225968677204</v>
      </c>
      <c r="N61" t="s">
        <v>39</v>
      </c>
      <c r="O61" t="s">
        <v>45</v>
      </c>
      <c r="P61">
        <v>11</v>
      </c>
      <c r="Q61">
        <v>176</v>
      </c>
      <c r="R61">
        <v>4</v>
      </c>
      <c r="S61">
        <v>1.90076224351945</v>
      </c>
      <c r="T61" t="s">
        <v>46</v>
      </c>
      <c r="U61">
        <v>0.44719401546382298</v>
      </c>
      <c r="V61" t="s">
        <v>40</v>
      </c>
      <c r="W61" t="s">
        <v>48</v>
      </c>
      <c r="X61">
        <v>312.57427361009297</v>
      </c>
    </row>
    <row r="62" spans="1:24" x14ac:dyDescent="0.3">
      <c r="A62" t="s">
        <v>33</v>
      </c>
      <c r="B62" t="s">
        <v>114</v>
      </c>
      <c r="C62">
        <v>17.028027920188698</v>
      </c>
      <c r="D62">
        <v>16</v>
      </c>
      <c r="E62">
        <v>380</v>
      </c>
      <c r="F62">
        <v>8864.0843495864301</v>
      </c>
      <c r="G62" t="s">
        <v>35</v>
      </c>
      <c r="H62">
        <v>41</v>
      </c>
      <c r="I62">
        <v>27</v>
      </c>
      <c r="J62">
        <v>72</v>
      </c>
      <c r="K62">
        <v>8</v>
      </c>
      <c r="L62" t="s">
        <v>43</v>
      </c>
      <c r="M62">
        <v>4.3813681581023101</v>
      </c>
      <c r="N62" t="s">
        <v>52</v>
      </c>
      <c r="O62" t="s">
        <v>29</v>
      </c>
      <c r="P62">
        <v>29</v>
      </c>
      <c r="Q62">
        <v>929</v>
      </c>
      <c r="R62">
        <v>24</v>
      </c>
      <c r="S62">
        <v>87.213057815135599</v>
      </c>
      <c r="T62" t="s">
        <v>46</v>
      </c>
      <c r="U62">
        <v>2.8530906166490499</v>
      </c>
      <c r="V62" t="s">
        <v>47</v>
      </c>
      <c r="W62" t="s">
        <v>48</v>
      </c>
      <c r="X62">
        <v>430.16909697513597</v>
      </c>
    </row>
    <row r="63" spans="1:24" x14ac:dyDescent="0.3">
      <c r="A63" t="s">
        <v>24</v>
      </c>
      <c r="B63" t="s">
        <v>115</v>
      </c>
      <c r="C63">
        <v>52.028749903294901</v>
      </c>
      <c r="D63">
        <v>23</v>
      </c>
      <c r="E63">
        <v>117</v>
      </c>
      <c r="F63">
        <v>6885.5893508962499</v>
      </c>
      <c r="G63" t="s">
        <v>38</v>
      </c>
      <c r="H63">
        <v>32</v>
      </c>
      <c r="I63">
        <v>23</v>
      </c>
      <c r="J63">
        <v>36</v>
      </c>
      <c r="K63">
        <v>7</v>
      </c>
      <c r="L63" t="s">
        <v>43</v>
      </c>
      <c r="M63">
        <v>9.0303404225219399</v>
      </c>
      <c r="N63" t="s">
        <v>52</v>
      </c>
      <c r="O63" t="s">
        <v>45</v>
      </c>
      <c r="P63">
        <v>14</v>
      </c>
      <c r="Q63">
        <v>480</v>
      </c>
      <c r="R63">
        <v>12</v>
      </c>
      <c r="S63">
        <v>78.702393968878894</v>
      </c>
      <c r="T63" t="s">
        <v>46</v>
      </c>
      <c r="U63">
        <v>4.3674705382050503</v>
      </c>
      <c r="V63" t="s">
        <v>40</v>
      </c>
      <c r="W63" t="s">
        <v>48</v>
      </c>
      <c r="X63">
        <v>164.366528243419</v>
      </c>
    </row>
    <row r="64" spans="1:24" x14ac:dyDescent="0.3">
      <c r="A64" t="s">
        <v>57</v>
      </c>
      <c r="B64" t="s">
        <v>116</v>
      </c>
      <c r="C64">
        <v>72.796353955587307</v>
      </c>
      <c r="D64">
        <v>89</v>
      </c>
      <c r="E64">
        <v>270</v>
      </c>
      <c r="F64">
        <v>3899.7468337292198</v>
      </c>
      <c r="G64" t="s">
        <v>38</v>
      </c>
      <c r="H64">
        <v>86</v>
      </c>
      <c r="I64">
        <v>2</v>
      </c>
      <c r="J64">
        <v>40</v>
      </c>
      <c r="K64">
        <v>7</v>
      </c>
      <c r="L64" t="s">
        <v>43</v>
      </c>
      <c r="M64">
        <v>7.2917013887767697</v>
      </c>
      <c r="N64" t="s">
        <v>61</v>
      </c>
      <c r="O64" t="s">
        <v>29</v>
      </c>
      <c r="P64">
        <v>13</v>
      </c>
      <c r="Q64">
        <v>751</v>
      </c>
      <c r="R64">
        <v>14</v>
      </c>
      <c r="S64">
        <v>21.048642725168602</v>
      </c>
      <c r="T64" t="s">
        <v>64</v>
      </c>
      <c r="U64">
        <v>1.87400140404437</v>
      </c>
      <c r="V64" t="s">
        <v>56</v>
      </c>
      <c r="W64" t="s">
        <v>41</v>
      </c>
      <c r="X64">
        <v>320.84651575911101</v>
      </c>
    </row>
    <row r="65" spans="1:24" x14ac:dyDescent="0.3">
      <c r="A65" t="s">
        <v>33</v>
      </c>
      <c r="B65" t="s">
        <v>117</v>
      </c>
      <c r="C65">
        <v>13.0173767852878</v>
      </c>
      <c r="D65">
        <v>55</v>
      </c>
      <c r="E65">
        <v>246</v>
      </c>
      <c r="F65">
        <v>4256.9491408502199</v>
      </c>
      <c r="G65" t="s">
        <v>26</v>
      </c>
      <c r="H65">
        <v>54</v>
      </c>
      <c r="I65">
        <v>19</v>
      </c>
      <c r="J65">
        <v>10</v>
      </c>
      <c r="K65">
        <v>4</v>
      </c>
      <c r="L65" t="s">
        <v>36</v>
      </c>
      <c r="M65">
        <v>2.45793352798733</v>
      </c>
      <c r="N65" t="s">
        <v>28</v>
      </c>
      <c r="O65" t="s">
        <v>53</v>
      </c>
      <c r="P65">
        <v>18</v>
      </c>
      <c r="Q65">
        <v>736</v>
      </c>
      <c r="R65">
        <v>10</v>
      </c>
      <c r="S65">
        <v>20.075003975630398</v>
      </c>
      <c r="T65" t="s">
        <v>30</v>
      </c>
      <c r="U65">
        <v>3.6328432903821302</v>
      </c>
      <c r="V65" t="s">
        <v>56</v>
      </c>
      <c r="W65" t="s">
        <v>48</v>
      </c>
      <c r="X65">
        <v>687.28617786641701</v>
      </c>
    </row>
    <row r="66" spans="1:24" x14ac:dyDescent="0.3">
      <c r="A66" t="s">
        <v>33</v>
      </c>
      <c r="B66" t="s">
        <v>118</v>
      </c>
      <c r="C66">
        <v>89.634095608135297</v>
      </c>
      <c r="D66">
        <v>11</v>
      </c>
      <c r="E66">
        <v>134</v>
      </c>
      <c r="F66">
        <v>8458.7308783671706</v>
      </c>
      <c r="G66" t="s">
        <v>35</v>
      </c>
      <c r="H66">
        <v>73</v>
      </c>
      <c r="I66">
        <v>27</v>
      </c>
      <c r="J66">
        <v>75</v>
      </c>
      <c r="K66">
        <v>6</v>
      </c>
      <c r="L66" t="s">
        <v>43</v>
      </c>
      <c r="M66">
        <v>4.5853534681946497</v>
      </c>
      <c r="N66" t="s">
        <v>39</v>
      </c>
      <c r="O66" t="s">
        <v>50</v>
      </c>
      <c r="P66">
        <v>17</v>
      </c>
      <c r="Q66">
        <v>328</v>
      </c>
      <c r="R66">
        <v>6</v>
      </c>
      <c r="S66">
        <v>8.6930424258772803</v>
      </c>
      <c r="T66" t="s">
        <v>46</v>
      </c>
      <c r="U66">
        <v>0.15948631471751401</v>
      </c>
      <c r="V66" t="s">
        <v>40</v>
      </c>
      <c r="W66" t="s">
        <v>41</v>
      </c>
      <c r="X66">
        <v>771.225084681157</v>
      </c>
    </row>
    <row r="67" spans="1:24" x14ac:dyDescent="0.3">
      <c r="A67" t="s">
        <v>33</v>
      </c>
      <c r="B67" t="s">
        <v>119</v>
      </c>
      <c r="C67">
        <v>33.697717206643098</v>
      </c>
      <c r="D67">
        <v>72</v>
      </c>
      <c r="E67">
        <v>457</v>
      </c>
      <c r="F67">
        <v>8354.5796864819895</v>
      </c>
      <c r="G67" t="s">
        <v>55</v>
      </c>
      <c r="H67">
        <v>57</v>
      </c>
      <c r="I67">
        <v>24</v>
      </c>
      <c r="J67">
        <v>54</v>
      </c>
      <c r="K67">
        <v>8</v>
      </c>
      <c r="L67" t="s">
        <v>43</v>
      </c>
      <c r="M67">
        <v>6.5805413478845898</v>
      </c>
      <c r="N67" t="s">
        <v>44</v>
      </c>
      <c r="O67" t="s">
        <v>45</v>
      </c>
      <c r="P67">
        <v>16</v>
      </c>
      <c r="Q67">
        <v>358</v>
      </c>
      <c r="R67">
        <v>21</v>
      </c>
      <c r="S67">
        <v>1.59722274305067</v>
      </c>
      <c r="T67" t="s">
        <v>46</v>
      </c>
      <c r="U67">
        <v>4.9110959548423301</v>
      </c>
      <c r="V67" t="s">
        <v>47</v>
      </c>
      <c r="W67" t="s">
        <v>41</v>
      </c>
      <c r="X67">
        <v>555.85910367174301</v>
      </c>
    </row>
    <row r="68" spans="1:24" x14ac:dyDescent="0.3">
      <c r="A68" t="s">
        <v>33</v>
      </c>
      <c r="B68" t="s">
        <v>120</v>
      </c>
      <c r="C68">
        <v>26.034869773962001</v>
      </c>
      <c r="D68">
        <v>52</v>
      </c>
      <c r="E68">
        <v>704</v>
      </c>
      <c r="F68">
        <v>8367.7216180201503</v>
      </c>
      <c r="G68" t="s">
        <v>35</v>
      </c>
      <c r="H68">
        <v>13</v>
      </c>
      <c r="I68">
        <v>17</v>
      </c>
      <c r="J68">
        <v>19</v>
      </c>
      <c r="K68">
        <v>8</v>
      </c>
      <c r="L68" t="s">
        <v>36</v>
      </c>
      <c r="M68">
        <v>2.2161427287713602</v>
      </c>
      <c r="N68" t="s">
        <v>44</v>
      </c>
      <c r="O68" t="s">
        <v>45</v>
      </c>
      <c r="P68">
        <v>24</v>
      </c>
      <c r="Q68">
        <v>867</v>
      </c>
      <c r="R68">
        <v>28</v>
      </c>
      <c r="S68">
        <v>42.084436738309897</v>
      </c>
      <c r="T68" t="s">
        <v>46</v>
      </c>
      <c r="U68">
        <v>3.44806328834026</v>
      </c>
      <c r="V68" t="s">
        <v>31</v>
      </c>
      <c r="W68" t="s">
        <v>48</v>
      </c>
      <c r="X68">
        <v>393.84334857842703</v>
      </c>
    </row>
    <row r="69" spans="1:24" x14ac:dyDescent="0.3">
      <c r="A69" t="s">
        <v>33</v>
      </c>
      <c r="B69" t="s">
        <v>121</v>
      </c>
      <c r="C69">
        <v>87.755432354001002</v>
      </c>
      <c r="D69">
        <v>16</v>
      </c>
      <c r="E69">
        <v>513</v>
      </c>
      <c r="F69">
        <v>9473.7980325083299</v>
      </c>
      <c r="G69" t="s">
        <v>38</v>
      </c>
      <c r="H69">
        <v>12</v>
      </c>
      <c r="I69">
        <v>9</v>
      </c>
      <c r="J69">
        <v>71</v>
      </c>
      <c r="K69">
        <v>9</v>
      </c>
      <c r="L69" t="s">
        <v>43</v>
      </c>
      <c r="M69">
        <v>9.1478115447106294</v>
      </c>
      <c r="N69" t="s">
        <v>39</v>
      </c>
      <c r="O69" t="s">
        <v>29</v>
      </c>
      <c r="P69">
        <v>10</v>
      </c>
      <c r="Q69">
        <v>198</v>
      </c>
      <c r="R69">
        <v>11</v>
      </c>
      <c r="S69">
        <v>7.0578761469782298</v>
      </c>
      <c r="T69" t="s">
        <v>64</v>
      </c>
      <c r="U69">
        <v>0.131955444311814</v>
      </c>
      <c r="V69" t="s">
        <v>56</v>
      </c>
      <c r="W69" t="s">
        <v>41</v>
      </c>
      <c r="X69">
        <v>169.27180138478599</v>
      </c>
    </row>
    <row r="70" spans="1:24" x14ac:dyDescent="0.3">
      <c r="A70" t="s">
        <v>24</v>
      </c>
      <c r="B70" t="s">
        <v>122</v>
      </c>
      <c r="C70">
        <v>37.931812382790298</v>
      </c>
      <c r="D70">
        <v>29</v>
      </c>
      <c r="E70">
        <v>163</v>
      </c>
      <c r="F70">
        <v>3550.21843278099</v>
      </c>
      <c r="G70" t="s">
        <v>26</v>
      </c>
      <c r="H70">
        <v>0</v>
      </c>
      <c r="I70">
        <v>8</v>
      </c>
      <c r="J70">
        <v>58</v>
      </c>
      <c r="K70">
        <v>8</v>
      </c>
      <c r="L70" t="s">
        <v>27</v>
      </c>
      <c r="M70">
        <v>1.19425186488499</v>
      </c>
      <c r="N70" t="s">
        <v>61</v>
      </c>
      <c r="O70" t="s">
        <v>53</v>
      </c>
      <c r="P70">
        <v>2</v>
      </c>
      <c r="Q70">
        <v>375</v>
      </c>
      <c r="R70">
        <v>18</v>
      </c>
      <c r="S70">
        <v>97.113581563462205</v>
      </c>
      <c r="T70" t="s">
        <v>46</v>
      </c>
      <c r="U70">
        <v>1.9834678721741801</v>
      </c>
      <c r="V70" t="s">
        <v>47</v>
      </c>
      <c r="W70" t="s">
        <v>48</v>
      </c>
      <c r="X70">
        <v>299.70630311810299</v>
      </c>
    </row>
    <row r="71" spans="1:24" x14ac:dyDescent="0.3">
      <c r="A71" t="s">
        <v>33</v>
      </c>
      <c r="B71" t="s">
        <v>123</v>
      </c>
      <c r="C71">
        <v>54.865528517069698</v>
      </c>
      <c r="D71">
        <v>62</v>
      </c>
      <c r="E71">
        <v>511</v>
      </c>
      <c r="F71">
        <v>1752.3810874841199</v>
      </c>
      <c r="G71" t="s">
        <v>26</v>
      </c>
      <c r="H71">
        <v>95</v>
      </c>
      <c r="I71">
        <v>1</v>
      </c>
      <c r="J71">
        <v>27</v>
      </c>
      <c r="K71">
        <v>3</v>
      </c>
      <c r="L71" t="s">
        <v>27</v>
      </c>
      <c r="M71">
        <v>9.7052867901203399</v>
      </c>
      <c r="N71" t="s">
        <v>52</v>
      </c>
      <c r="O71" t="s">
        <v>45</v>
      </c>
      <c r="P71">
        <v>9</v>
      </c>
      <c r="Q71">
        <v>862</v>
      </c>
      <c r="R71">
        <v>7</v>
      </c>
      <c r="S71">
        <v>77.627765812748095</v>
      </c>
      <c r="T71" t="s">
        <v>30</v>
      </c>
      <c r="U71">
        <v>1.3623879886490999</v>
      </c>
      <c r="V71" t="s">
        <v>40</v>
      </c>
      <c r="W71" t="s">
        <v>48</v>
      </c>
      <c r="X71">
        <v>207.66320620857499</v>
      </c>
    </row>
    <row r="72" spans="1:24" x14ac:dyDescent="0.3">
      <c r="A72" t="s">
        <v>24</v>
      </c>
      <c r="B72" t="s">
        <v>124</v>
      </c>
      <c r="C72">
        <v>47.914541824058702</v>
      </c>
      <c r="D72">
        <v>90</v>
      </c>
      <c r="E72">
        <v>32</v>
      </c>
      <c r="F72">
        <v>7014.8879872033804</v>
      </c>
      <c r="G72" t="s">
        <v>35</v>
      </c>
      <c r="H72">
        <v>10</v>
      </c>
      <c r="I72">
        <v>12</v>
      </c>
      <c r="J72">
        <v>22</v>
      </c>
      <c r="K72">
        <v>4</v>
      </c>
      <c r="L72" t="s">
        <v>27</v>
      </c>
      <c r="M72">
        <v>6.3157177546007199</v>
      </c>
      <c r="N72" t="s">
        <v>39</v>
      </c>
      <c r="O72" t="s">
        <v>53</v>
      </c>
      <c r="P72">
        <v>22</v>
      </c>
      <c r="Q72">
        <v>775</v>
      </c>
      <c r="R72">
        <v>16</v>
      </c>
      <c r="S72">
        <v>11.440781823761199</v>
      </c>
      <c r="T72" t="s">
        <v>64</v>
      </c>
      <c r="U72">
        <v>1.8305755986122301</v>
      </c>
      <c r="V72" t="s">
        <v>31</v>
      </c>
      <c r="W72" t="s">
        <v>41</v>
      </c>
      <c r="X72">
        <v>183.27289874871099</v>
      </c>
    </row>
    <row r="73" spans="1:24" x14ac:dyDescent="0.3">
      <c r="A73" t="s">
        <v>57</v>
      </c>
      <c r="B73" t="s">
        <v>125</v>
      </c>
      <c r="C73">
        <v>6.3815331627479601</v>
      </c>
      <c r="D73">
        <v>14</v>
      </c>
      <c r="E73">
        <v>637</v>
      </c>
      <c r="F73">
        <v>8180.3370854254399</v>
      </c>
      <c r="G73" t="s">
        <v>35</v>
      </c>
      <c r="H73">
        <v>76</v>
      </c>
      <c r="I73">
        <v>2</v>
      </c>
      <c r="J73">
        <v>26</v>
      </c>
      <c r="K73">
        <v>6</v>
      </c>
      <c r="L73" t="s">
        <v>36</v>
      </c>
      <c r="M73">
        <v>9.2281903170525101</v>
      </c>
      <c r="N73" t="s">
        <v>61</v>
      </c>
      <c r="O73" t="s">
        <v>53</v>
      </c>
      <c r="P73">
        <v>2</v>
      </c>
      <c r="Q73">
        <v>258</v>
      </c>
      <c r="R73">
        <v>10</v>
      </c>
      <c r="S73">
        <v>30.661677477859499</v>
      </c>
      <c r="T73" t="s">
        <v>30</v>
      </c>
      <c r="U73">
        <v>2.07875060787496</v>
      </c>
      <c r="V73" t="s">
        <v>31</v>
      </c>
      <c r="W73" t="s">
        <v>48</v>
      </c>
      <c r="X73">
        <v>405.167067888855</v>
      </c>
    </row>
    <row r="74" spans="1:24" x14ac:dyDescent="0.3">
      <c r="A74" t="s">
        <v>57</v>
      </c>
      <c r="B74" t="s">
        <v>126</v>
      </c>
      <c r="C74">
        <v>90.204427520528</v>
      </c>
      <c r="D74">
        <v>88</v>
      </c>
      <c r="E74">
        <v>478</v>
      </c>
      <c r="F74">
        <v>2633.1219813122498</v>
      </c>
      <c r="G74" t="s">
        <v>26</v>
      </c>
      <c r="H74">
        <v>57</v>
      </c>
      <c r="I74">
        <v>29</v>
      </c>
      <c r="J74">
        <v>77</v>
      </c>
      <c r="K74">
        <v>9</v>
      </c>
      <c r="L74" t="s">
        <v>36</v>
      </c>
      <c r="M74">
        <v>6.5996141596895397</v>
      </c>
      <c r="N74" t="s">
        <v>39</v>
      </c>
      <c r="O74" t="s">
        <v>53</v>
      </c>
      <c r="P74">
        <v>21</v>
      </c>
      <c r="Q74">
        <v>152</v>
      </c>
      <c r="R74">
        <v>11</v>
      </c>
      <c r="S74">
        <v>55.760492895244198</v>
      </c>
      <c r="T74" t="s">
        <v>30</v>
      </c>
      <c r="U74">
        <v>3.2133296074383</v>
      </c>
      <c r="V74" t="s">
        <v>47</v>
      </c>
      <c r="W74" t="s">
        <v>32</v>
      </c>
      <c r="X74">
        <v>677.94456984618296</v>
      </c>
    </row>
    <row r="75" spans="1:24" x14ac:dyDescent="0.3">
      <c r="A75" t="s">
        <v>57</v>
      </c>
      <c r="B75" t="s">
        <v>127</v>
      </c>
      <c r="C75">
        <v>83.851017681304597</v>
      </c>
      <c r="D75">
        <v>41</v>
      </c>
      <c r="E75">
        <v>375</v>
      </c>
      <c r="F75">
        <v>7910.8869161406801</v>
      </c>
      <c r="G75" t="s">
        <v>55</v>
      </c>
      <c r="H75">
        <v>17</v>
      </c>
      <c r="I75">
        <v>25</v>
      </c>
      <c r="J75">
        <v>66</v>
      </c>
      <c r="K75">
        <v>5</v>
      </c>
      <c r="L75" t="s">
        <v>27</v>
      </c>
      <c r="M75">
        <v>1.5129368369160701</v>
      </c>
      <c r="N75" t="s">
        <v>52</v>
      </c>
      <c r="O75" t="s">
        <v>62</v>
      </c>
      <c r="P75">
        <v>13</v>
      </c>
      <c r="Q75">
        <v>444</v>
      </c>
      <c r="R75">
        <v>4</v>
      </c>
      <c r="S75">
        <v>46.870238797617098</v>
      </c>
      <c r="T75" t="s">
        <v>46</v>
      </c>
      <c r="U75">
        <v>4.6205460645137002</v>
      </c>
      <c r="V75" t="s">
        <v>31</v>
      </c>
      <c r="W75" t="s">
        <v>48</v>
      </c>
      <c r="X75">
        <v>866.472800129657</v>
      </c>
    </row>
    <row r="76" spans="1:24" x14ac:dyDescent="0.3">
      <c r="A76" t="s">
        <v>24</v>
      </c>
      <c r="B76" t="s">
        <v>128</v>
      </c>
      <c r="C76">
        <v>3.1700114135661499</v>
      </c>
      <c r="D76">
        <v>64</v>
      </c>
      <c r="E76">
        <v>904</v>
      </c>
      <c r="F76">
        <v>5709.9452959692799</v>
      </c>
      <c r="G76" t="s">
        <v>35</v>
      </c>
      <c r="H76">
        <v>41</v>
      </c>
      <c r="I76">
        <v>6</v>
      </c>
      <c r="J76">
        <v>1</v>
      </c>
      <c r="K76">
        <v>5</v>
      </c>
      <c r="L76" t="s">
        <v>36</v>
      </c>
      <c r="M76">
        <v>5.2376546500374399</v>
      </c>
      <c r="N76" t="s">
        <v>52</v>
      </c>
      <c r="O76" t="s">
        <v>50</v>
      </c>
      <c r="P76">
        <v>1</v>
      </c>
      <c r="Q76">
        <v>919</v>
      </c>
      <c r="R76">
        <v>9</v>
      </c>
      <c r="S76">
        <v>80.580852156447804</v>
      </c>
      <c r="T76" t="s">
        <v>46</v>
      </c>
      <c r="U76">
        <v>0.39661272410993498</v>
      </c>
      <c r="V76" t="s">
        <v>47</v>
      </c>
      <c r="W76" t="s">
        <v>48</v>
      </c>
      <c r="X76">
        <v>341.55265678322297</v>
      </c>
    </row>
    <row r="77" spans="1:24" x14ac:dyDescent="0.3">
      <c r="A77" t="s">
        <v>33</v>
      </c>
      <c r="B77" t="s">
        <v>129</v>
      </c>
      <c r="C77">
        <v>92.996884233970604</v>
      </c>
      <c r="D77">
        <v>29</v>
      </c>
      <c r="E77">
        <v>106</v>
      </c>
      <c r="F77">
        <v>1889.07358977933</v>
      </c>
      <c r="G77" t="s">
        <v>26</v>
      </c>
      <c r="H77">
        <v>16</v>
      </c>
      <c r="I77">
        <v>20</v>
      </c>
      <c r="J77">
        <v>56</v>
      </c>
      <c r="K77">
        <v>10</v>
      </c>
      <c r="L77" t="s">
        <v>43</v>
      </c>
      <c r="M77">
        <v>2.47389776104546</v>
      </c>
      <c r="N77" t="s">
        <v>39</v>
      </c>
      <c r="O77" t="s">
        <v>62</v>
      </c>
      <c r="P77">
        <v>25</v>
      </c>
      <c r="Q77">
        <v>759</v>
      </c>
      <c r="R77">
        <v>11</v>
      </c>
      <c r="S77">
        <v>48.064782640006499</v>
      </c>
      <c r="T77" t="s">
        <v>64</v>
      </c>
      <c r="U77">
        <v>2.0300690886687498</v>
      </c>
      <c r="V77" t="s">
        <v>40</v>
      </c>
      <c r="W77" t="s">
        <v>41</v>
      </c>
      <c r="X77">
        <v>873.12964801765099</v>
      </c>
    </row>
    <row r="78" spans="1:24" x14ac:dyDescent="0.3">
      <c r="A78" t="s">
        <v>24</v>
      </c>
      <c r="B78" t="s">
        <v>130</v>
      </c>
      <c r="C78">
        <v>69.108799547430294</v>
      </c>
      <c r="D78">
        <v>23</v>
      </c>
      <c r="E78">
        <v>241</v>
      </c>
      <c r="F78">
        <v>5328.3759842977497</v>
      </c>
      <c r="G78" t="s">
        <v>55</v>
      </c>
      <c r="H78">
        <v>38</v>
      </c>
      <c r="I78">
        <v>1</v>
      </c>
      <c r="J78">
        <v>22</v>
      </c>
      <c r="K78">
        <v>10</v>
      </c>
      <c r="L78" t="s">
        <v>36</v>
      </c>
      <c r="M78">
        <v>7.0545383368369201</v>
      </c>
      <c r="N78" t="s">
        <v>61</v>
      </c>
      <c r="O78" t="s">
        <v>53</v>
      </c>
      <c r="P78">
        <v>25</v>
      </c>
      <c r="Q78">
        <v>985</v>
      </c>
      <c r="R78">
        <v>24</v>
      </c>
      <c r="S78">
        <v>64.323597795600193</v>
      </c>
      <c r="T78" t="s">
        <v>30</v>
      </c>
      <c r="U78">
        <v>2.1800374515822099</v>
      </c>
      <c r="V78" t="s">
        <v>47</v>
      </c>
      <c r="W78" t="s">
        <v>48</v>
      </c>
      <c r="X78">
        <v>997.41345013319403</v>
      </c>
    </row>
    <row r="79" spans="1:24" x14ac:dyDescent="0.3">
      <c r="A79" t="s">
        <v>24</v>
      </c>
      <c r="B79" t="s">
        <v>131</v>
      </c>
      <c r="C79">
        <v>57.449742958971399</v>
      </c>
      <c r="D79">
        <v>14</v>
      </c>
      <c r="E79">
        <v>359</v>
      </c>
      <c r="F79">
        <v>2483.7601775427902</v>
      </c>
      <c r="G79" t="s">
        <v>38</v>
      </c>
      <c r="H79">
        <v>96</v>
      </c>
      <c r="I79">
        <v>28</v>
      </c>
      <c r="J79">
        <v>57</v>
      </c>
      <c r="K79">
        <v>4</v>
      </c>
      <c r="L79" t="s">
        <v>27</v>
      </c>
      <c r="M79">
        <v>6.7809466256178901</v>
      </c>
      <c r="N79" t="s">
        <v>39</v>
      </c>
      <c r="O79" t="s">
        <v>45</v>
      </c>
      <c r="P79">
        <v>26</v>
      </c>
      <c r="Q79">
        <v>334</v>
      </c>
      <c r="R79">
        <v>5</v>
      </c>
      <c r="S79">
        <v>42.952444748991802</v>
      </c>
      <c r="T79" t="s">
        <v>64</v>
      </c>
      <c r="U79">
        <v>3.0551418183075398</v>
      </c>
      <c r="V79" t="s">
        <v>31</v>
      </c>
      <c r="W79" t="s">
        <v>32</v>
      </c>
      <c r="X79">
        <v>852.56809891984994</v>
      </c>
    </row>
    <row r="80" spans="1:24" x14ac:dyDescent="0.3">
      <c r="A80" t="s">
        <v>24</v>
      </c>
      <c r="B80" t="s">
        <v>132</v>
      </c>
      <c r="C80">
        <v>6.30688317611191</v>
      </c>
      <c r="D80">
        <v>50</v>
      </c>
      <c r="E80">
        <v>946</v>
      </c>
      <c r="F80">
        <v>1292.45841793775</v>
      </c>
      <c r="G80" t="s">
        <v>38</v>
      </c>
      <c r="H80">
        <v>5</v>
      </c>
      <c r="I80">
        <v>4</v>
      </c>
      <c r="J80">
        <v>51</v>
      </c>
      <c r="K80">
        <v>5</v>
      </c>
      <c r="L80" t="s">
        <v>27</v>
      </c>
      <c r="M80">
        <v>8.4670497708619905</v>
      </c>
      <c r="N80" t="s">
        <v>44</v>
      </c>
      <c r="O80" t="s">
        <v>29</v>
      </c>
      <c r="P80">
        <v>25</v>
      </c>
      <c r="Q80">
        <v>858</v>
      </c>
      <c r="R80">
        <v>21</v>
      </c>
      <c r="S80">
        <v>71.126514720403307</v>
      </c>
      <c r="T80" t="s">
        <v>30</v>
      </c>
      <c r="U80">
        <v>4.0968813324704501</v>
      </c>
      <c r="V80" t="s">
        <v>56</v>
      </c>
      <c r="W80" t="s">
        <v>41</v>
      </c>
      <c r="X80">
        <v>323.59220343132199</v>
      </c>
    </row>
    <row r="81" spans="1:24" x14ac:dyDescent="0.3">
      <c r="A81" t="s">
        <v>24</v>
      </c>
      <c r="B81" t="s">
        <v>133</v>
      </c>
      <c r="C81">
        <v>57.057031221103202</v>
      </c>
      <c r="D81">
        <v>56</v>
      </c>
      <c r="E81">
        <v>198</v>
      </c>
      <c r="F81">
        <v>7888.7232684270803</v>
      </c>
      <c r="G81" t="s">
        <v>26</v>
      </c>
      <c r="H81">
        <v>31</v>
      </c>
      <c r="I81">
        <v>25</v>
      </c>
      <c r="J81">
        <v>20</v>
      </c>
      <c r="K81">
        <v>1</v>
      </c>
      <c r="L81" t="s">
        <v>27</v>
      </c>
      <c r="M81">
        <v>6.49632536429504</v>
      </c>
      <c r="N81" t="s">
        <v>28</v>
      </c>
      <c r="O81" t="s">
        <v>53</v>
      </c>
      <c r="P81">
        <v>5</v>
      </c>
      <c r="Q81">
        <v>228</v>
      </c>
      <c r="R81">
        <v>12</v>
      </c>
      <c r="S81">
        <v>57.870902924036201</v>
      </c>
      <c r="T81" t="s">
        <v>30</v>
      </c>
      <c r="U81">
        <v>0.16587162748060799</v>
      </c>
      <c r="V81" t="s">
        <v>40</v>
      </c>
      <c r="W81" t="s">
        <v>41</v>
      </c>
      <c r="X81">
        <v>351.50421933503799</v>
      </c>
    </row>
    <row r="82" spans="1:24" x14ac:dyDescent="0.3">
      <c r="A82" t="s">
        <v>33</v>
      </c>
      <c r="B82" t="s">
        <v>134</v>
      </c>
      <c r="C82">
        <v>91.128318350444303</v>
      </c>
      <c r="D82">
        <v>75</v>
      </c>
      <c r="E82">
        <v>872</v>
      </c>
      <c r="F82">
        <v>8651.67268298206</v>
      </c>
      <c r="G82" t="s">
        <v>38</v>
      </c>
      <c r="H82">
        <v>39</v>
      </c>
      <c r="I82">
        <v>14</v>
      </c>
      <c r="J82">
        <v>41</v>
      </c>
      <c r="K82">
        <v>2</v>
      </c>
      <c r="L82" t="s">
        <v>43</v>
      </c>
      <c r="M82">
        <v>2.8331846794189701</v>
      </c>
      <c r="N82" t="s">
        <v>28</v>
      </c>
      <c r="O82" t="s">
        <v>62</v>
      </c>
      <c r="P82">
        <v>8</v>
      </c>
      <c r="Q82">
        <v>202</v>
      </c>
      <c r="R82">
        <v>5</v>
      </c>
      <c r="S82">
        <v>76.961228023819999</v>
      </c>
      <c r="T82" t="s">
        <v>46</v>
      </c>
      <c r="U82">
        <v>2.8496621985053299</v>
      </c>
      <c r="V82" t="s">
        <v>56</v>
      </c>
      <c r="W82" t="s">
        <v>32</v>
      </c>
      <c r="X82">
        <v>787.77985049434403</v>
      </c>
    </row>
    <row r="83" spans="1:24" x14ac:dyDescent="0.3">
      <c r="A83" t="s">
        <v>24</v>
      </c>
      <c r="B83" t="s">
        <v>135</v>
      </c>
      <c r="C83">
        <v>72.819206930318202</v>
      </c>
      <c r="D83">
        <v>9</v>
      </c>
      <c r="E83">
        <v>774</v>
      </c>
      <c r="F83">
        <v>4384.4134000458598</v>
      </c>
      <c r="G83" t="s">
        <v>38</v>
      </c>
      <c r="H83">
        <v>48</v>
      </c>
      <c r="I83">
        <v>6</v>
      </c>
      <c r="J83">
        <v>8</v>
      </c>
      <c r="K83">
        <v>5</v>
      </c>
      <c r="L83" t="s">
        <v>27</v>
      </c>
      <c r="M83">
        <v>4.0662775015120403</v>
      </c>
      <c r="N83" t="s">
        <v>28</v>
      </c>
      <c r="O83" t="s">
        <v>50</v>
      </c>
      <c r="P83">
        <v>28</v>
      </c>
      <c r="Q83">
        <v>698</v>
      </c>
      <c r="R83">
        <v>1</v>
      </c>
      <c r="S83">
        <v>19.789592941903599</v>
      </c>
      <c r="T83" t="s">
        <v>30</v>
      </c>
      <c r="U83">
        <v>2.54754712154871</v>
      </c>
      <c r="V83" t="s">
        <v>47</v>
      </c>
      <c r="W83" t="s">
        <v>32</v>
      </c>
      <c r="X83">
        <v>276.77833594679799</v>
      </c>
    </row>
    <row r="84" spans="1:24" x14ac:dyDescent="0.3">
      <c r="A84" t="s">
        <v>33</v>
      </c>
      <c r="B84" t="s">
        <v>136</v>
      </c>
      <c r="C84">
        <v>17.034930739467899</v>
      </c>
      <c r="D84">
        <v>13</v>
      </c>
      <c r="E84">
        <v>336</v>
      </c>
      <c r="F84">
        <v>2943.3818676094502</v>
      </c>
      <c r="G84" t="s">
        <v>38</v>
      </c>
      <c r="H84">
        <v>42</v>
      </c>
      <c r="I84">
        <v>19</v>
      </c>
      <c r="J84">
        <v>72</v>
      </c>
      <c r="K84">
        <v>1</v>
      </c>
      <c r="L84" t="s">
        <v>36</v>
      </c>
      <c r="M84">
        <v>4.7081818735419301</v>
      </c>
      <c r="N84" t="s">
        <v>61</v>
      </c>
      <c r="O84" t="s">
        <v>29</v>
      </c>
      <c r="P84">
        <v>6</v>
      </c>
      <c r="Q84">
        <v>955</v>
      </c>
      <c r="R84">
        <v>26</v>
      </c>
      <c r="S84">
        <v>4.4652784349432402</v>
      </c>
      <c r="T84" t="s">
        <v>30</v>
      </c>
      <c r="U84">
        <v>4.1378770486223502</v>
      </c>
      <c r="V84" t="s">
        <v>31</v>
      </c>
      <c r="W84" t="s">
        <v>41</v>
      </c>
      <c r="X84">
        <v>589.97855562804</v>
      </c>
    </row>
    <row r="85" spans="1:24" x14ac:dyDescent="0.3">
      <c r="A85" t="s">
        <v>24</v>
      </c>
      <c r="B85" t="s">
        <v>137</v>
      </c>
      <c r="C85">
        <v>68.911246211606297</v>
      </c>
      <c r="D85">
        <v>82</v>
      </c>
      <c r="E85">
        <v>663</v>
      </c>
      <c r="F85">
        <v>2411.7546321104901</v>
      </c>
      <c r="G85" t="s">
        <v>38</v>
      </c>
      <c r="H85">
        <v>65</v>
      </c>
      <c r="I85">
        <v>24</v>
      </c>
      <c r="J85">
        <v>7</v>
      </c>
      <c r="K85">
        <v>8</v>
      </c>
      <c r="L85" t="s">
        <v>27</v>
      </c>
      <c r="M85">
        <v>4.94983957799694</v>
      </c>
      <c r="N85" t="s">
        <v>39</v>
      </c>
      <c r="O85" t="s">
        <v>53</v>
      </c>
      <c r="P85">
        <v>20</v>
      </c>
      <c r="Q85">
        <v>443</v>
      </c>
      <c r="R85">
        <v>5</v>
      </c>
      <c r="S85">
        <v>97.730593800533001</v>
      </c>
      <c r="T85" t="s">
        <v>46</v>
      </c>
      <c r="U85">
        <v>0.77300613406724705</v>
      </c>
      <c r="V85" t="s">
        <v>31</v>
      </c>
      <c r="W85" t="s">
        <v>48</v>
      </c>
      <c r="X85">
        <v>682.97101822609295</v>
      </c>
    </row>
    <row r="86" spans="1:24" x14ac:dyDescent="0.3">
      <c r="A86" t="s">
        <v>24</v>
      </c>
      <c r="B86" t="s">
        <v>138</v>
      </c>
      <c r="C86">
        <v>89.104367292102197</v>
      </c>
      <c r="D86">
        <v>99</v>
      </c>
      <c r="E86">
        <v>618</v>
      </c>
      <c r="F86">
        <v>2048.2900998487098</v>
      </c>
      <c r="G86" t="s">
        <v>38</v>
      </c>
      <c r="H86">
        <v>73</v>
      </c>
      <c r="I86">
        <v>26</v>
      </c>
      <c r="J86">
        <v>80</v>
      </c>
      <c r="K86">
        <v>10</v>
      </c>
      <c r="L86" t="s">
        <v>36</v>
      </c>
      <c r="M86">
        <v>8.3816156249226292</v>
      </c>
      <c r="N86" t="s">
        <v>44</v>
      </c>
      <c r="O86" t="s">
        <v>62</v>
      </c>
      <c r="P86">
        <v>24</v>
      </c>
      <c r="Q86">
        <v>589</v>
      </c>
      <c r="R86">
        <v>22</v>
      </c>
      <c r="S86">
        <v>33.808636513209002</v>
      </c>
      <c r="T86" t="s">
        <v>64</v>
      </c>
      <c r="U86">
        <v>4.8434565771180402</v>
      </c>
      <c r="V86" t="s">
        <v>40</v>
      </c>
      <c r="W86" t="s">
        <v>32</v>
      </c>
      <c r="X86">
        <v>465.45700596368698</v>
      </c>
    </row>
    <row r="87" spans="1:24" x14ac:dyDescent="0.3">
      <c r="A87" t="s">
        <v>57</v>
      </c>
      <c r="B87" t="s">
        <v>139</v>
      </c>
      <c r="C87">
        <v>76.962994415193805</v>
      </c>
      <c r="D87">
        <v>83</v>
      </c>
      <c r="E87">
        <v>25</v>
      </c>
      <c r="F87">
        <v>8684.6130592538502</v>
      </c>
      <c r="G87" t="s">
        <v>35</v>
      </c>
      <c r="H87">
        <v>15</v>
      </c>
      <c r="I87">
        <v>18</v>
      </c>
      <c r="J87">
        <v>66</v>
      </c>
      <c r="K87">
        <v>2</v>
      </c>
      <c r="L87" t="s">
        <v>43</v>
      </c>
      <c r="M87">
        <v>8.2491687048717193</v>
      </c>
      <c r="N87" t="s">
        <v>44</v>
      </c>
      <c r="O87" t="s">
        <v>62</v>
      </c>
      <c r="P87">
        <v>4</v>
      </c>
      <c r="Q87">
        <v>211</v>
      </c>
      <c r="R87">
        <v>2</v>
      </c>
      <c r="S87">
        <v>69.929345518672307</v>
      </c>
      <c r="T87" t="s">
        <v>46</v>
      </c>
      <c r="U87">
        <v>1.3744289997457499</v>
      </c>
      <c r="V87" t="s">
        <v>31</v>
      </c>
      <c r="W87" t="s">
        <v>32</v>
      </c>
      <c r="X87">
        <v>842.68683000464102</v>
      </c>
    </row>
    <row r="88" spans="1:24" x14ac:dyDescent="0.3">
      <c r="A88" t="s">
        <v>33</v>
      </c>
      <c r="B88" t="s">
        <v>140</v>
      </c>
      <c r="C88">
        <v>19.9981769404042</v>
      </c>
      <c r="D88">
        <v>18</v>
      </c>
      <c r="E88">
        <v>223</v>
      </c>
      <c r="F88">
        <v>1229.59102856498</v>
      </c>
      <c r="G88" t="s">
        <v>38</v>
      </c>
      <c r="H88">
        <v>32</v>
      </c>
      <c r="I88">
        <v>14</v>
      </c>
      <c r="J88">
        <v>22</v>
      </c>
      <c r="K88">
        <v>6</v>
      </c>
      <c r="L88" t="s">
        <v>27</v>
      </c>
      <c r="M88">
        <v>1.4543053101535499</v>
      </c>
      <c r="N88" t="s">
        <v>39</v>
      </c>
      <c r="O88" t="s">
        <v>29</v>
      </c>
      <c r="P88">
        <v>4</v>
      </c>
      <c r="Q88">
        <v>569</v>
      </c>
      <c r="R88">
        <v>18</v>
      </c>
      <c r="S88">
        <v>74.608969995194599</v>
      </c>
      <c r="T88" t="s">
        <v>64</v>
      </c>
      <c r="U88">
        <v>2.0515129307662399</v>
      </c>
      <c r="V88" t="s">
        <v>47</v>
      </c>
      <c r="W88" t="s">
        <v>48</v>
      </c>
      <c r="X88">
        <v>264.25488983586598</v>
      </c>
    </row>
    <row r="89" spans="1:24" x14ac:dyDescent="0.3">
      <c r="A89" t="s">
        <v>24</v>
      </c>
      <c r="B89" t="s">
        <v>141</v>
      </c>
      <c r="C89">
        <v>80.414036650355698</v>
      </c>
      <c r="D89">
        <v>24</v>
      </c>
      <c r="E89">
        <v>79</v>
      </c>
      <c r="F89">
        <v>5133.8467010866898</v>
      </c>
      <c r="G89" t="s">
        <v>55</v>
      </c>
      <c r="H89">
        <v>5</v>
      </c>
      <c r="I89">
        <v>7</v>
      </c>
      <c r="J89">
        <v>55</v>
      </c>
      <c r="K89">
        <v>10</v>
      </c>
      <c r="L89" t="s">
        <v>36</v>
      </c>
      <c r="M89">
        <v>6.5758037975485299</v>
      </c>
      <c r="N89" t="s">
        <v>28</v>
      </c>
      <c r="O89" t="s">
        <v>62</v>
      </c>
      <c r="P89">
        <v>27</v>
      </c>
      <c r="Q89">
        <v>523</v>
      </c>
      <c r="R89">
        <v>17</v>
      </c>
      <c r="S89">
        <v>28.696996824143099</v>
      </c>
      <c r="T89" t="s">
        <v>46</v>
      </c>
      <c r="U89">
        <v>3.6937377878392699</v>
      </c>
      <c r="V89" t="s">
        <v>56</v>
      </c>
      <c r="W89" t="s">
        <v>32</v>
      </c>
      <c r="X89">
        <v>879.35921773492396</v>
      </c>
    </row>
    <row r="90" spans="1:24" x14ac:dyDescent="0.3">
      <c r="A90" t="s">
        <v>57</v>
      </c>
      <c r="B90" t="s">
        <v>142</v>
      </c>
      <c r="C90">
        <v>75.270406975724995</v>
      </c>
      <c r="D90">
        <v>58</v>
      </c>
      <c r="E90">
        <v>737</v>
      </c>
      <c r="F90">
        <v>9444.7420330629793</v>
      </c>
      <c r="G90" t="s">
        <v>55</v>
      </c>
      <c r="H90">
        <v>60</v>
      </c>
      <c r="I90">
        <v>18</v>
      </c>
      <c r="J90">
        <v>85</v>
      </c>
      <c r="K90">
        <v>7</v>
      </c>
      <c r="L90" t="s">
        <v>36</v>
      </c>
      <c r="M90">
        <v>3.8012531329310701</v>
      </c>
      <c r="N90" t="s">
        <v>61</v>
      </c>
      <c r="O90" t="s">
        <v>29</v>
      </c>
      <c r="P90">
        <v>21</v>
      </c>
      <c r="Q90">
        <v>953</v>
      </c>
      <c r="R90">
        <v>11</v>
      </c>
      <c r="S90">
        <v>68.1849190570411</v>
      </c>
      <c r="T90" t="s">
        <v>30</v>
      </c>
      <c r="U90">
        <v>0.722204401882931</v>
      </c>
      <c r="V90" t="s">
        <v>56</v>
      </c>
      <c r="W90" t="s">
        <v>48</v>
      </c>
      <c r="X90">
        <v>103.916247960704</v>
      </c>
    </row>
    <row r="91" spans="1:24" x14ac:dyDescent="0.3">
      <c r="A91" t="s">
        <v>57</v>
      </c>
      <c r="B91" t="s">
        <v>143</v>
      </c>
      <c r="C91">
        <v>97.760085581938597</v>
      </c>
      <c r="D91">
        <v>10</v>
      </c>
      <c r="E91">
        <v>134</v>
      </c>
      <c r="F91">
        <v>5924.6825668532301</v>
      </c>
      <c r="G91" t="s">
        <v>38</v>
      </c>
      <c r="H91">
        <v>90</v>
      </c>
      <c r="I91">
        <v>1</v>
      </c>
      <c r="J91">
        <v>27</v>
      </c>
      <c r="K91">
        <v>8</v>
      </c>
      <c r="L91" t="s">
        <v>27</v>
      </c>
      <c r="M91">
        <v>9.9298162452772498</v>
      </c>
      <c r="N91" t="s">
        <v>39</v>
      </c>
      <c r="O91" t="s">
        <v>45</v>
      </c>
      <c r="P91">
        <v>23</v>
      </c>
      <c r="Q91">
        <v>370</v>
      </c>
      <c r="R91">
        <v>11</v>
      </c>
      <c r="S91">
        <v>46.603873381644398</v>
      </c>
      <c r="T91" t="s">
        <v>30</v>
      </c>
      <c r="U91">
        <v>1.9076657339590699</v>
      </c>
      <c r="V91" t="s">
        <v>47</v>
      </c>
      <c r="W91" t="s">
        <v>32</v>
      </c>
      <c r="X91">
        <v>517.49997392906005</v>
      </c>
    </row>
    <row r="92" spans="1:24" x14ac:dyDescent="0.3">
      <c r="A92" t="s">
        <v>33</v>
      </c>
      <c r="B92" t="s">
        <v>144</v>
      </c>
      <c r="C92">
        <v>13.881913501359101</v>
      </c>
      <c r="D92">
        <v>56</v>
      </c>
      <c r="E92">
        <v>320</v>
      </c>
      <c r="F92">
        <v>9592.6335702803099</v>
      </c>
      <c r="G92" t="s">
        <v>26</v>
      </c>
      <c r="H92">
        <v>66</v>
      </c>
      <c r="I92">
        <v>18</v>
      </c>
      <c r="J92">
        <v>96</v>
      </c>
      <c r="K92">
        <v>7</v>
      </c>
      <c r="L92" t="s">
        <v>27</v>
      </c>
      <c r="M92">
        <v>7.6744307081126903</v>
      </c>
      <c r="N92" t="s">
        <v>28</v>
      </c>
      <c r="O92" t="s">
        <v>53</v>
      </c>
      <c r="P92">
        <v>8</v>
      </c>
      <c r="Q92">
        <v>585</v>
      </c>
      <c r="R92">
        <v>8</v>
      </c>
      <c r="S92">
        <v>85.675963335797903</v>
      </c>
      <c r="T92" t="s">
        <v>64</v>
      </c>
      <c r="U92">
        <v>1.2193822244013801</v>
      </c>
      <c r="V92" t="s">
        <v>47</v>
      </c>
      <c r="W92" t="s">
        <v>32</v>
      </c>
      <c r="X92">
        <v>990.07847250581096</v>
      </c>
    </row>
    <row r="93" spans="1:24" x14ac:dyDescent="0.3">
      <c r="A93" t="s">
        <v>57</v>
      </c>
      <c r="B93" t="s">
        <v>145</v>
      </c>
      <c r="C93">
        <v>62.111965463961702</v>
      </c>
      <c r="D93">
        <v>90</v>
      </c>
      <c r="E93">
        <v>916</v>
      </c>
      <c r="F93">
        <v>1935.20679350759</v>
      </c>
      <c r="G93" t="s">
        <v>55</v>
      </c>
      <c r="H93">
        <v>98</v>
      </c>
      <c r="I93">
        <v>22</v>
      </c>
      <c r="J93">
        <v>85</v>
      </c>
      <c r="K93">
        <v>7</v>
      </c>
      <c r="L93" t="s">
        <v>27</v>
      </c>
      <c r="M93">
        <v>7.4715140844011403</v>
      </c>
      <c r="N93" t="s">
        <v>52</v>
      </c>
      <c r="O93" t="s">
        <v>50</v>
      </c>
      <c r="P93">
        <v>5</v>
      </c>
      <c r="Q93">
        <v>207</v>
      </c>
      <c r="R93">
        <v>28</v>
      </c>
      <c r="S93">
        <v>39.772882502339897</v>
      </c>
      <c r="T93" t="s">
        <v>30</v>
      </c>
      <c r="U93">
        <v>0.62600185820939402</v>
      </c>
      <c r="V93" t="s">
        <v>47</v>
      </c>
      <c r="W93" t="s">
        <v>32</v>
      </c>
      <c r="X93">
        <v>996.77831495062298</v>
      </c>
    </row>
    <row r="94" spans="1:24" x14ac:dyDescent="0.3">
      <c r="A94" t="s">
        <v>57</v>
      </c>
      <c r="B94" t="s">
        <v>146</v>
      </c>
      <c r="C94">
        <v>47.714233075820196</v>
      </c>
      <c r="D94">
        <v>44</v>
      </c>
      <c r="E94">
        <v>276</v>
      </c>
      <c r="F94">
        <v>2100.1297546259302</v>
      </c>
      <c r="G94" t="s">
        <v>55</v>
      </c>
      <c r="H94">
        <v>90</v>
      </c>
      <c r="I94">
        <v>25</v>
      </c>
      <c r="J94">
        <v>10</v>
      </c>
      <c r="K94">
        <v>8</v>
      </c>
      <c r="L94" t="s">
        <v>27</v>
      </c>
      <c r="M94">
        <v>4.4695000261236002</v>
      </c>
      <c r="N94" t="s">
        <v>61</v>
      </c>
      <c r="O94" t="s">
        <v>29</v>
      </c>
      <c r="P94">
        <v>4</v>
      </c>
      <c r="Q94">
        <v>671</v>
      </c>
      <c r="R94">
        <v>29</v>
      </c>
      <c r="S94">
        <v>62.612690395614301</v>
      </c>
      <c r="T94" t="s">
        <v>64</v>
      </c>
      <c r="U94">
        <v>0.33343182522473902</v>
      </c>
      <c r="V94" t="s">
        <v>47</v>
      </c>
      <c r="W94" t="s">
        <v>32</v>
      </c>
      <c r="X94">
        <v>230.092782536762</v>
      </c>
    </row>
    <row r="95" spans="1:24" x14ac:dyDescent="0.3">
      <c r="A95" t="s">
        <v>24</v>
      </c>
      <c r="B95" t="s">
        <v>147</v>
      </c>
      <c r="C95">
        <v>69.290831002905406</v>
      </c>
      <c r="D95">
        <v>88</v>
      </c>
      <c r="E95">
        <v>114</v>
      </c>
      <c r="F95">
        <v>4531.4021336919004</v>
      </c>
      <c r="G95" t="s">
        <v>38</v>
      </c>
      <c r="H95">
        <v>63</v>
      </c>
      <c r="I95">
        <v>17</v>
      </c>
      <c r="J95">
        <v>66</v>
      </c>
      <c r="K95">
        <v>1</v>
      </c>
      <c r="L95" t="s">
        <v>43</v>
      </c>
      <c r="M95">
        <v>7.00643205900439</v>
      </c>
      <c r="N95" t="s">
        <v>52</v>
      </c>
      <c r="O95" t="s">
        <v>62</v>
      </c>
      <c r="P95">
        <v>21</v>
      </c>
      <c r="Q95">
        <v>824</v>
      </c>
      <c r="R95">
        <v>20</v>
      </c>
      <c r="S95">
        <v>35.633652343343797</v>
      </c>
      <c r="T95" t="s">
        <v>46</v>
      </c>
      <c r="U95">
        <v>4.1657817954241398</v>
      </c>
      <c r="V95" t="s">
        <v>40</v>
      </c>
      <c r="W95" t="s">
        <v>48</v>
      </c>
      <c r="X95">
        <v>823.52384588815505</v>
      </c>
    </row>
    <row r="96" spans="1:24" x14ac:dyDescent="0.3">
      <c r="A96" t="s">
        <v>57</v>
      </c>
      <c r="B96" t="s">
        <v>148</v>
      </c>
      <c r="C96">
        <v>3.0376887246314102</v>
      </c>
      <c r="D96">
        <v>97</v>
      </c>
      <c r="E96">
        <v>987</v>
      </c>
      <c r="F96">
        <v>7888.3565466618702</v>
      </c>
      <c r="G96" t="s">
        <v>38</v>
      </c>
      <c r="H96">
        <v>77</v>
      </c>
      <c r="I96">
        <v>26</v>
      </c>
      <c r="J96">
        <v>72</v>
      </c>
      <c r="K96">
        <v>9</v>
      </c>
      <c r="L96" t="s">
        <v>27</v>
      </c>
      <c r="M96">
        <v>6.9429459420325799</v>
      </c>
      <c r="N96" t="s">
        <v>61</v>
      </c>
      <c r="O96" t="s">
        <v>50</v>
      </c>
      <c r="P96">
        <v>12</v>
      </c>
      <c r="Q96">
        <v>908</v>
      </c>
      <c r="R96">
        <v>14</v>
      </c>
      <c r="S96">
        <v>60.387378614862101</v>
      </c>
      <c r="T96" t="s">
        <v>64</v>
      </c>
      <c r="U96">
        <v>1.4636074984727701</v>
      </c>
      <c r="V96" t="s">
        <v>47</v>
      </c>
      <c r="W96" t="s">
        <v>32</v>
      </c>
      <c r="X96">
        <v>846.66525698669398</v>
      </c>
    </row>
    <row r="97" spans="1:24" x14ac:dyDescent="0.3">
      <c r="A97" t="s">
        <v>24</v>
      </c>
      <c r="B97" t="s">
        <v>149</v>
      </c>
      <c r="C97">
        <v>77.903927219447695</v>
      </c>
      <c r="D97">
        <v>65</v>
      </c>
      <c r="E97">
        <v>672</v>
      </c>
      <c r="F97">
        <v>7386.3639440486604</v>
      </c>
      <c r="G97" t="s">
        <v>38</v>
      </c>
      <c r="H97">
        <v>15</v>
      </c>
      <c r="I97">
        <v>14</v>
      </c>
      <c r="J97">
        <v>26</v>
      </c>
      <c r="K97">
        <v>9</v>
      </c>
      <c r="L97" t="s">
        <v>27</v>
      </c>
      <c r="M97">
        <v>8.6303388696027508</v>
      </c>
      <c r="N97" t="s">
        <v>52</v>
      </c>
      <c r="O97" t="s">
        <v>29</v>
      </c>
      <c r="P97">
        <v>18</v>
      </c>
      <c r="Q97">
        <v>450</v>
      </c>
      <c r="R97">
        <v>26</v>
      </c>
      <c r="S97">
        <v>58.890685768589897</v>
      </c>
      <c r="T97" t="s">
        <v>30</v>
      </c>
      <c r="U97">
        <v>1.21088212958506</v>
      </c>
      <c r="V97" t="s">
        <v>40</v>
      </c>
      <c r="W97" t="s">
        <v>48</v>
      </c>
      <c r="X97">
        <v>778.86424137664699</v>
      </c>
    </row>
    <row r="98" spans="1:24" x14ac:dyDescent="0.3">
      <c r="A98" t="s">
        <v>57</v>
      </c>
      <c r="B98" t="s">
        <v>150</v>
      </c>
      <c r="C98">
        <v>24.423131420373299</v>
      </c>
      <c r="D98">
        <v>29</v>
      </c>
      <c r="E98">
        <v>324</v>
      </c>
      <c r="F98">
        <v>7698.4247656321104</v>
      </c>
      <c r="G98" t="s">
        <v>26</v>
      </c>
      <c r="H98">
        <v>67</v>
      </c>
      <c r="I98">
        <v>2</v>
      </c>
      <c r="J98">
        <v>32</v>
      </c>
      <c r="K98">
        <v>3</v>
      </c>
      <c r="L98" t="s">
        <v>43</v>
      </c>
      <c r="M98">
        <v>5.3528780439967996</v>
      </c>
      <c r="N98" t="s">
        <v>28</v>
      </c>
      <c r="O98" t="s">
        <v>29</v>
      </c>
      <c r="P98">
        <v>28</v>
      </c>
      <c r="Q98">
        <v>648</v>
      </c>
      <c r="R98">
        <v>28</v>
      </c>
      <c r="S98">
        <v>17.803756331391199</v>
      </c>
      <c r="T98" t="s">
        <v>30</v>
      </c>
      <c r="U98">
        <v>3.8720476814821301</v>
      </c>
      <c r="V98" t="s">
        <v>31</v>
      </c>
      <c r="W98" t="s">
        <v>48</v>
      </c>
      <c r="X98">
        <v>188.74214114905601</v>
      </c>
    </row>
    <row r="99" spans="1:24" x14ac:dyDescent="0.3">
      <c r="A99" t="s">
        <v>24</v>
      </c>
      <c r="B99" t="s">
        <v>151</v>
      </c>
      <c r="C99">
        <v>3.5261112591434101</v>
      </c>
      <c r="D99">
        <v>56</v>
      </c>
      <c r="E99">
        <v>62</v>
      </c>
      <c r="F99">
        <v>4370.9165799845296</v>
      </c>
      <c r="G99" t="s">
        <v>55</v>
      </c>
      <c r="H99">
        <v>46</v>
      </c>
      <c r="I99">
        <v>19</v>
      </c>
      <c r="J99">
        <v>4</v>
      </c>
      <c r="K99">
        <v>9</v>
      </c>
      <c r="L99" t="s">
        <v>36</v>
      </c>
      <c r="M99">
        <v>7.9048456112096703</v>
      </c>
      <c r="N99" t="s">
        <v>52</v>
      </c>
      <c r="O99" t="s">
        <v>29</v>
      </c>
      <c r="P99">
        <v>10</v>
      </c>
      <c r="Q99">
        <v>535</v>
      </c>
      <c r="R99">
        <v>13</v>
      </c>
      <c r="S99">
        <v>65.765155926367399</v>
      </c>
      <c r="T99" t="s">
        <v>46</v>
      </c>
      <c r="U99">
        <v>3.3762378347179798</v>
      </c>
      <c r="V99" t="s">
        <v>31</v>
      </c>
      <c r="W99" t="s">
        <v>48</v>
      </c>
      <c r="X99">
        <v>540.13242286796697</v>
      </c>
    </row>
    <row r="100" spans="1:24" x14ac:dyDescent="0.3">
      <c r="A100" t="s">
        <v>33</v>
      </c>
      <c r="B100" t="s">
        <v>152</v>
      </c>
      <c r="C100">
        <v>19.754604866878601</v>
      </c>
      <c r="D100">
        <v>43</v>
      </c>
      <c r="E100">
        <v>913</v>
      </c>
      <c r="F100">
        <v>8525.9525596835192</v>
      </c>
      <c r="G100" t="s">
        <v>35</v>
      </c>
      <c r="H100">
        <v>53</v>
      </c>
      <c r="I100">
        <v>1</v>
      </c>
      <c r="J100">
        <v>27</v>
      </c>
      <c r="K100">
        <v>7</v>
      </c>
      <c r="L100" t="s">
        <v>27</v>
      </c>
      <c r="M100">
        <v>1.4098010951380699</v>
      </c>
      <c r="N100" t="s">
        <v>44</v>
      </c>
      <c r="O100" t="s">
        <v>62</v>
      </c>
      <c r="P100">
        <v>28</v>
      </c>
      <c r="Q100">
        <v>581</v>
      </c>
      <c r="R100">
        <v>9</v>
      </c>
      <c r="S100">
        <v>5.6046908643717801</v>
      </c>
      <c r="T100" t="s">
        <v>30</v>
      </c>
      <c r="U100">
        <v>2.9081221693512598</v>
      </c>
      <c r="V100" t="s">
        <v>47</v>
      </c>
      <c r="W100" t="s">
        <v>48</v>
      </c>
      <c r="X100">
        <v>882.19886354704101</v>
      </c>
    </row>
    <row r="101" spans="1:24" x14ac:dyDescent="0.3">
      <c r="A101" t="s">
        <v>24</v>
      </c>
      <c r="B101" t="s">
        <v>153</v>
      </c>
      <c r="C101">
        <v>68.517832699276596</v>
      </c>
      <c r="D101">
        <v>17</v>
      </c>
      <c r="E101">
        <v>627</v>
      </c>
      <c r="F101">
        <v>9185.1858291817007</v>
      </c>
      <c r="G101" t="s">
        <v>38</v>
      </c>
      <c r="H101">
        <v>55</v>
      </c>
      <c r="I101">
        <v>8</v>
      </c>
      <c r="J101">
        <v>59</v>
      </c>
      <c r="K101">
        <v>6</v>
      </c>
      <c r="L101" t="s">
        <v>27</v>
      </c>
      <c r="M101">
        <v>1.3110237561206199</v>
      </c>
      <c r="N101" t="s">
        <v>61</v>
      </c>
      <c r="O101" t="s">
        <v>62</v>
      </c>
      <c r="P101">
        <v>29</v>
      </c>
      <c r="Q101">
        <v>921</v>
      </c>
      <c r="R101">
        <v>2</v>
      </c>
      <c r="S101">
        <v>38.072898520625998</v>
      </c>
      <c r="T101" t="s">
        <v>46</v>
      </c>
      <c r="U101">
        <v>0.34602729070550298</v>
      </c>
      <c r="V101" t="s">
        <v>47</v>
      </c>
      <c r="W101" t="s">
        <v>32</v>
      </c>
      <c r="X101">
        <v>210.743008964246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53EC73-0D84-4E4B-9662-CD1602735C31}">
  <dimension ref="A1:AA101"/>
  <sheetViews>
    <sheetView workbookViewId="0"/>
  </sheetViews>
  <sheetFormatPr defaultRowHeight="14.4" x14ac:dyDescent="0.3"/>
  <cols>
    <col min="1" max="1" width="14.109375" customWidth="1"/>
    <col min="2" max="2" width="6.33203125" customWidth="1"/>
    <col min="3" max="3" width="7" bestFit="1" customWidth="1"/>
    <col min="4" max="4" width="12.109375" customWidth="1"/>
    <col min="5" max="5" width="24.21875" customWidth="1"/>
    <col min="6" max="6" width="19.44140625" customWidth="1"/>
    <col min="7" max="7" width="23.44140625" customWidth="1"/>
    <col min="8" max="8" width="13.109375" customWidth="1"/>
    <col min="9" max="9" width="12.21875" customWidth="1"/>
    <col min="10" max="10" width="16.6640625" customWidth="1"/>
    <col min="11" max="11" width="15.5546875" customWidth="1"/>
    <col min="12" max="12" width="17" customWidth="1"/>
    <col min="13" max="13" width="15.109375" customWidth="1"/>
    <col min="14" max="14" width="15.21875" customWidth="1"/>
    <col min="15" max="15" width="10.109375" customWidth="1"/>
    <col min="16" max="16" width="11.44140625" customWidth="1"/>
    <col min="17" max="17" width="20" customWidth="1"/>
    <col min="18" max="18" width="24.44140625" customWidth="1"/>
    <col min="19" max="19" width="20.33203125" customWidth="1"/>
    <col min="20" max="20" width="18" customWidth="1"/>
    <col min="21" max="21" width="13.33203125" customWidth="1"/>
    <col min="22" max="22" width="21.5546875" customWidth="1"/>
    <col min="23" max="23" width="8.6640625" customWidth="1"/>
    <col min="24" max="24" width="12" bestFit="1" customWidth="1"/>
    <col min="26" max="26" width="20.33203125" bestFit="1" customWidth="1"/>
    <col min="27" max="27" width="21" bestFit="1" customWidth="1"/>
  </cols>
  <sheetData>
    <row r="1" spans="1:27" x14ac:dyDescent="0.3">
      <c r="A1" s="5" t="s">
        <v>154</v>
      </c>
      <c r="B1" s="6" t="s">
        <v>1</v>
      </c>
      <c r="C1" s="6" t="s">
        <v>2</v>
      </c>
      <c r="D1" s="6" t="s">
        <v>3</v>
      </c>
      <c r="E1" s="6" t="s">
        <v>165</v>
      </c>
      <c r="F1" s="6" t="s">
        <v>166</v>
      </c>
      <c r="G1" s="6" t="s">
        <v>159</v>
      </c>
      <c r="H1" s="6" t="s">
        <v>167</v>
      </c>
      <c r="I1" s="6" t="s">
        <v>168</v>
      </c>
      <c r="J1" s="6" t="s">
        <v>169</v>
      </c>
      <c r="K1" s="6" t="s">
        <v>170</v>
      </c>
      <c r="L1" s="6" t="s">
        <v>161</v>
      </c>
      <c r="M1" s="6" t="s">
        <v>171</v>
      </c>
      <c r="N1" s="6" t="s">
        <v>162</v>
      </c>
      <c r="O1" s="6" t="s">
        <v>14</v>
      </c>
      <c r="P1" s="6" t="s">
        <v>158</v>
      </c>
      <c r="Q1" s="6" t="s">
        <v>172</v>
      </c>
      <c r="R1" s="6" t="s">
        <v>173</v>
      </c>
      <c r="S1" s="6" t="s">
        <v>174</v>
      </c>
      <c r="T1" s="6" t="s">
        <v>163</v>
      </c>
      <c r="U1" s="6" t="s">
        <v>175</v>
      </c>
      <c r="V1" s="6" t="s">
        <v>164</v>
      </c>
      <c r="W1" s="6" t="s">
        <v>22</v>
      </c>
      <c r="X1" s="6" t="s">
        <v>23</v>
      </c>
      <c r="Y1" s="6" t="s">
        <v>223</v>
      </c>
      <c r="Z1" s="6" t="s">
        <v>238</v>
      </c>
      <c r="AA1" s="6" t="s">
        <v>239</v>
      </c>
    </row>
    <row r="2" spans="1:27" x14ac:dyDescent="0.3">
      <c r="A2" s="4" t="s">
        <v>155</v>
      </c>
      <c r="B2" s="2" t="s">
        <v>25</v>
      </c>
      <c r="C2" s="3">
        <v>69.808005542115694</v>
      </c>
      <c r="D2" s="2">
        <v>55</v>
      </c>
      <c r="E2" s="2">
        <v>802</v>
      </c>
      <c r="F2" s="3">
        <v>8661.9967923923796</v>
      </c>
      <c r="G2" s="2" t="s">
        <v>160</v>
      </c>
      <c r="H2" s="2">
        <v>58</v>
      </c>
      <c r="I2" s="2">
        <v>7</v>
      </c>
      <c r="J2" s="2">
        <v>96</v>
      </c>
      <c r="K2" s="2">
        <v>4</v>
      </c>
      <c r="L2" s="2" t="s">
        <v>27</v>
      </c>
      <c r="M2" s="3">
        <v>2.9565721394308002</v>
      </c>
      <c r="N2" s="2" t="s">
        <v>28</v>
      </c>
      <c r="O2" s="2" t="s">
        <v>29</v>
      </c>
      <c r="P2" s="2">
        <v>29</v>
      </c>
      <c r="Q2" s="2">
        <v>215</v>
      </c>
      <c r="R2" s="2">
        <v>29</v>
      </c>
      <c r="S2" s="3">
        <v>46.279879240508301</v>
      </c>
      <c r="T2" s="2" t="s">
        <v>30</v>
      </c>
      <c r="U2" s="2">
        <v>0.226410360849925</v>
      </c>
      <c r="V2" s="2" t="s">
        <v>31</v>
      </c>
      <c r="W2" s="2" t="s">
        <v>32</v>
      </c>
      <c r="X2" s="3">
        <v>187.75207545920301</v>
      </c>
      <c r="Y2" s="93">
        <f>SQRT((2*Table1[[#This Row],[Number Of Products Sold]]*Table1[[#This Row],[Costs]])/(0.3*Table1[[#This Row],[Price]]))</f>
        <v>119.91715399347879</v>
      </c>
      <c r="Z2" s="93">
        <f>Table1[[#This Row],[Number Of Products Sold]]/Table1[[#This Row],[EOQ]]</f>
        <v>6.6879505833136559</v>
      </c>
      <c r="AA2" s="94">
        <f>360/Table1[[#This Row],[Optimum No of Orders]]</f>
        <v>53.82814892475357</v>
      </c>
    </row>
    <row r="3" spans="1:27" x14ac:dyDescent="0.3">
      <c r="A3" s="4" t="s">
        <v>156</v>
      </c>
      <c r="B3" s="2" t="s">
        <v>34</v>
      </c>
      <c r="C3" s="3">
        <v>14.8435232750843</v>
      </c>
      <c r="D3" s="2">
        <v>95</v>
      </c>
      <c r="E3" s="2">
        <v>736</v>
      </c>
      <c r="F3" s="3">
        <v>7460.9000654458396</v>
      </c>
      <c r="G3" s="2" t="s">
        <v>35</v>
      </c>
      <c r="H3" s="2">
        <v>53</v>
      </c>
      <c r="I3" s="2">
        <v>30</v>
      </c>
      <c r="J3" s="2">
        <v>37</v>
      </c>
      <c r="K3" s="2">
        <v>2</v>
      </c>
      <c r="L3" s="2" t="s">
        <v>36</v>
      </c>
      <c r="M3" s="3">
        <v>9.7165747714313095</v>
      </c>
      <c r="N3" s="2" t="s">
        <v>28</v>
      </c>
      <c r="O3" s="2" t="s">
        <v>29</v>
      </c>
      <c r="P3" s="2">
        <v>23</v>
      </c>
      <c r="Q3" s="2">
        <v>517</v>
      </c>
      <c r="R3" s="2">
        <v>30</v>
      </c>
      <c r="S3" s="3">
        <v>33.616768953730002</v>
      </c>
      <c r="T3" s="2" t="s">
        <v>30</v>
      </c>
      <c r="U3" s="2">
        <v>4.8540680263886999</v>
      </c>
      <c r="V3" s="2" t="s">
        <v>31</v>
      </c>
      <c r="W3" s="2" t="s">
        <v>32</v>
      </c>
      <c r="X3" s="3">
        <v>503.06557914966902</v>
      </c>
      <c r="Y3" s="93">
        <f>SQRT((2*Table1[[#This Row],[Number Of Products Sold]]*Table1[[#This Row],[Costs]])/(0.3*Table1[[#This Row],[Price]]))</f>
        <v>407.79047756521732</v>
      </c>
      <c r="Z3" s="62">
        <f>Table1[[#This Row],[Number Of Products Sold]]/Table1[[#This Row],[EOQ]]</f>
        <v>1.8048484221466221</v>
      </c>
      <c r="AA3" s="94">
        <f>360/Table1[[#This Row],[Optimum No of Orders]]</f>
        <v>199.46273359168239</v>
      </c>
    </row>
    <row r="4" spans="1:27" x14ac:dyDescent="0.3">
      <c r="A4" s="4" t="s">
        <v>155</v>
      </c>
      <c r="B4" s="2" t="s">
        <v>37</v>
      </c>
      <c r="C4" s="3">
        <v>11.319683293090501</v>
      </c>
      <c r="D4" s="2">
        <v>34</v>
      </c>
      <c r="E4" s="2">
        <v>8</v>
      </c>
      <c r="F4" s="3">
        <v>9577.7496258687297</v>
      </c>
      <c r="G4" s="2" t="s">
        <v>38</v>
      </c>
      <c r="H4" s="2">
        <v>1</v>
      </c>
      <c r="I4" s="2">
        <v>10</v>
      </c>
      <c r="J4" s="2">
        <v>88</v>
      </c>
      <c r="K4" s="2">
        <v>2</v>
      </c>
      <c r="L4" s="2" t="s">
        <v>27</v>
      </c>
      <c r="M4" s="3">
        <v>8.0544792617321495</v>
      </c>
      <c r="N4" s="2" t="s">
        <v>39</v>
      </c>
      <c r="O4" s="2" t="s">
        <v>29</v>
      </c>
      <c r="P4" s="2">
        <v>12</v>
      </c>
      <c r="Q4" s="2">
        <v>971</v>
      </c>
      <c r="R4" s="2">
        <v>27</v>
      </c>
      <c r="S4" s="3">
        <v>30.6880193482842</v>
      </c>
      <c r="T4" s="2" t="s">
        <v>30</v>
      </c>
      <c r="U4" s="2">
        <v>4.5805926191992201</v>
      </c>
      <c r="V4" s="2" t="s">
        <v>40</v>
      </c>
      <c r="W4" s="2" t="s">
        <v>41</v>
      </c>
      <c r="X4" s="3">
        <v>141.920281771519</v>
      </c>
      <c r="Y4" s="93">
        <f>SQRT((2*Table1[[#This Row],[Number Of Products Sold]]*Table1[[#This Row],[Costs]])/(0.3*Table1[[#This Row],[Price]]))</f>
        <v>25.858567255027648</v>
      </c>
      <c r="Z4" s="62">
        <f>Table1[[#This Row],[Number Of Products Sold]]/Table1[[#This Row],[EOQ]]</f>
        <v>0.30937522257520167</v>
      </c>
      <c r="AA4" s="94">
        <f>360/Table1[[#This Row],[Optimum No of Orders]]</f>
        <v>1163.6355264762442</v>
      </c>
    </row>
    <row r="5" spans="1:27" x14ac:dyDescent="0.3">
      <c r="A5" s="4" t="s">
        <v>156</v>
      </c>
      <c r="B5" s="2" t="s">
        <v>42</v>
      </c>
      <c r="C5" s="3">
        <v>61.1633430164377</v>
      </c>
      <c r="D5" s="2">
        <v>68</v>
      </c>
      <c r="E5" s="2">
        <v>83</v>
      </c>
      <c r="F5" s="3">
        <v>7766.8364256852301</v>
      </c>
      <c r="G5" s="2" t="s">
        <v>160</v>
      </c>
      <c r="H5" s="2">
        <v>23</v>
      </c>
      <c r="I5" s="2">
        <v>13</v>
      </c>
      <c r="J5" s="2">
        <v>59</v>
      </c>
      <c r="K5" s="2">
        <v>6</v>
      </c>
      <c r="L5" s="2" t="s">
        <v>43</v>
      </c>
      <c r="M5" s="3">
        <v>1.7295685635434199</v>
      </c>
      <c r="N5" s="2" t="s">
        <v>44</v>
      </c>
      <c r="O5" s="2" t="s">
        <v>45</v>
      </c>
      <c r="P5" s="2">
        <v>24</v>
      </c>
      <c r="Q5" s="2">
        <v>937</v>
      </c>
      <c r="R5" s="2">
        <v>18</v>
      </c>
      <c r="S5" s="3">
        <v>35.624741397125</v>
      </c>
      <c r="T5" s="2" t="s">
        <v>46</v>
      </c>
      <c r="U5" s="2">
        <v>4.7466486206477496</v>
      </c>
      <c r="V5" s="2" t="s">
        <v>47</v>
      </c>
      <c r="W5" s="2" t="s">
        <v>48</v>
      </c>
      <c r="X5" s="3">
        <v>254.776159219286</v>
      </c>
      <c r="Y5" s="93">
        <f>SQRT((2*Table1[[#This Row],[Number Of Products Sold]]*Table1[[#This Row],[Costs]])/(0.3*Table1[[#This Row],[Price]]))</f>
        <v>48.00950215159439</v>
      </c>
      <c r="Z5" s="62">
        <f>Table1[[#This Row],[Number Of Products Sold]]/Table1[[#This Row],[EOQ]]</f>
        <v>1.728824426004667</v>
      </c>
      <c r="AA5" s="94">
        <f>360/Table1[[#This Row],[Optimum No of Orders]]</f>
        <v>208.23398523583108</v>
      </c>
    </row>
    <row r="6" spans="1:27" x14ac:dyDescent="0.3">
      <c r="A6" s="4" t="s">
        <v>156</v>
      </c>
      <c r="B6" s="2" t="s">
        <v>49</v>
      </c>
      <c r="C6" s="3">
        <v>4.8054960363458896</v>
      </c>
      <c r="D6" s="2">
        <v>26</v>
      </c>
      <c r="E6" s="2">
        <v>871</v>
      </c>
      <c r="F6" s="3">
        <v>2686.50515156744</v>
      </c>
      <c r="G6" s="2" t="s">
        <v>160</v>
      </c>
      <c r="H6" s="2">
        <v>5</v>
      </c>
      <c r="I6" s="2">
        <v>3</v>
      </c>
      <c r="J6" s="2">
        <v>56</v>
      </c>
      <c r="K6" s="2">
        <v>8</v>
      </c>
      <c r="L6" s="2" t="s">
        <v>36</v>
      </c>
      <c r="M6" s="3">
        <v>3.8905479158706702</v>
      </c>
      <c r="N6" s="2" t="s">
        <v>39</v>
      </c>
      <c r="O6" s="2" t="s">
        <v>50</v>
      </c>
      <c r="P6" s="2">
        <v>5</v>
      </c>
      <c r="Q6" s="2">
        <v>414</v>
      </c>
      <c r="R6" s="2">
        <v>3</v>
      </c>
      <c r="S6" s="3">
        <v>92.065160598712794</v>
      </c>
      <c r="T6" s="2" t="s">
        <v>46</v>
      </c>
      <c r="U6" s="2">
        <v>3.1455795228330001</v>
      </c>
      <c r="V6" s="2" t="s">
        <v>40</v>
      </c>
      <c r="W6" s="2" t="s">
        <v>48</v>
      </c>
      <c r="X6" s="3">
        <v>923.44063171192204</v>
      </c>
      <c r="Y6" s="93">
        <f>SQRT((2*Table1[[#This Row],[Number Of Products Sold]]*Table1[[#This Row],[Costs]])/(0.3*Table1[[#This Row],[Price]]))</f>
        <v>1056.328083697176</v>
      </c>
      <c r="Z6" s="62">
        <f>Table1[[#This Row],[Number Of Products Sold]]/Table1[[#This Row],[EOQ]]</f>
        <v>0.82455442910452326</v>
      </c>
      <c r="AA6" s="94">
        <f>360/Table1[[#This Row],[Optimum No of Orders]]</f>
        <v>436.59943757862612</v>
      </c>
    </row>
    <row r="7" spans="1:27" x14ac:dyDescent="0.3">
      <c r="A7" s="4" t="s">
        <v>155</v>
      </c>
      <c r="B7" s="2" t="s">
        <v>51</v>
      </c>
      <c r="C7" s="3">
        <v>1.6999760138659299</v>
      </c>
      <c r="D7" s="2">
        <v>87</v>
      </c>
      <c r="E7" s="2">
        <v>147</v>
      </c>
      <c r="F7" s="3">
        <v>2828.3487459757498</v>
      </c>
      <c r="G7" s="2" t="s">
        <v>160</v>
      </c>
      <c r="H7" s="2">
        <v>90</v>
      </c>
      <c r="I7" s="2">
        <v>27</v>
      </c>
      <c r="J7" s="2">
        <v>66</v>
      </c>
      <c r="K7" s="2">
        <v>3</v>
      </c>
      <c r="L7" s="2" t="s">
        <v>27</v>
      </c>
      <c r="M7" s="3">
        <v>4.4440988643822896</v>
      </c>
      <c r="N7" s="2" t="s">
        <v>52</v>
      </c>
      <c r="O7" s="2" t="s">
        <v>53</v>
      </c>
      <c r="P7" s="2">
        <v>10</v>
      </c>
      <c r="Q7" s="2">
        <v>104</v>
      </c>
      <c r="R7" s="2">
        <v>17</v>
      </c>
      <c r="S7" s="3">
        <v>56.766475557431797</v>
      </c>
      <c r="T7" s="2" t="s">
        <v>46</v>
      </c>
      <c r="U7" s="2">
        <v>2.7791935115711599</v>
      </c>
      <c r="V7" s="2" t="s">
        <v>31</v>
      </c>
      <c r="W7" s="2" t="s">
        <v>48</v>
      </c>
      <c r="X7" s="3">
        <v>235.461236735537</v>
      </c>
      <c r="Y7" s="93">
        <f>SQRT((2*Table1[[#This Row],[Number Of Products Sold]]*Table1[[#This Row],[Costs]])/(0.3*Table1[[#This Row],[Price]]))</f>
        <v>368.42691656165243</v>
      </c>
      <c r="Z7" s="62">
        <f>Table1[[#This Row],[Number Of Products Sold]]/Table1[[#This Row],[EOQ]]</f>
        <v>0.39899364946480798</v>
      </c>
      <c r="AA7" s="94">
        <f>360/Table1[[#This Row],[Optimum No of Orders]]</f>
        <v>902.26999974282228</v>
      </c>
    </row>
    <row r="8" spans="1:27" x14ac:dyDescent="0.3">
      <c r="A8" s="4" t="s">
        <v>156</v>
      </c>
      <c r="B8" s="2" t="s">
        <v>54</v>
      </c>
      <c r="C8" s="3">
        <v>4.0783328631079403</v>
      </c>
      <c r="D8" s="2">
        <v>48</v>
      </c>
      <c r="E8" s="2">
        <v>65</v>
      </c>
      <c r="F8" s="3">
        <v>7823.4765595317303</v>
      </c>
      <c r="G8" s="2" t="s">
        <v>55</v>
      </c>
      <c r="H8" s="2">
        <v>11</v>
      </c>
      <c r="I8" s="2">
        <v>15</v>
      </c>
      <c r="J8" s="2">
        <v>58</v>
      </c>
      <c r="K8" s="2">
        <v>8</v>
      </c>
      <c r="L8" s="2" t="s">
        <v>43</v>
      </c>
      <c r="M8" s="3">
        <v>3.8807633029519999</v>
      </c>
      <c r="N8" s="2" t="s">
        <v>28</v>
      </c>
      <c r="O8" s="2" t="s">
        <v>45</v>
      </c>
      <c r="P8" s="2">
        <v>14</v>
      </c>
      <c r="Q8" s="2">
        <v>314</v>
      </c>
      <c r="R8" s="2">
        <v>24</v>
      </c>
      <c r="S8" s="3">
        <v>1.0850685695870601</v>
      </c>
      <c r="T8" s="2" t="s">
        <v>30</v>
      </c>
      <c r="U8" s="2">
        <v>1.0009106193041299</v>
      </c>
      <c r="V8" s="2" t="s">
        <v>56</v>
      </c>
      <c r="W8" s="2" t="s">
        <v>48</v>
      </c>
      <c r="X8" s="3">
        <v>134.36909686103101</v>
      </c>
      <c r="Y8" s="93">
        <f>SQRT((2*Table1[[#This Row],[Number Of Products Sold]]*Table1[[#This Row],[Costs]])/(0.3*Table1[[#This Row],[Price]]))</f>
        <v>119.48665777465961</v>
      </c>
      <c r="Z8" s="62">
        <f>Table1[[#This Row],[Number Of Products Sold]]/Table1[[#This Row],[EOQ]]</f>
        <v>0.54399379152929173</v>
      </c>
      <c r="AA8" s="94">
        <f>360/Table1[[#This Row],[Optimum No of Orders]]</f>
        <v>661.77225844426857</v>
      </c>
    </row>
    <row r="9" spans="1:27" x14ac:dyDescent="0.3">
      <c r="A9" s="4" t="s">
        <v>157</v>
      </c>
      <c r="B9" s="2" t="s">
        <v>58</v>
      </c>
      <c r="C9" s="3">
        <v>42.958384382459997</v>
      </c>
      <c r="D9" s="2">
        <v>59</v>
      </c>
      <c r="E9" s="2">
        <v>426</v>
      </c>
      <c r="F9" s="3">
        <v>8496.1038130898305</v>
      </c>
      <c r="G9" s="2" t="s">
        <v>35</v>
      </c>
      <c r="H9" s="2">
        <v>93</v>
      </c>
      <c r="I9" s="2">
        <v>17</v>
      </c>
      <c r="J9" s="2">
        <v>11</v>
      </c>
      <c r="K9" s="2">
        <v>1</v>
      </c>
      <c r="L9" s="2" t="s">
        <v>27</v>
      </c>
      <c r="M9" s="3">
        <v>2.3483387844177801</v>
      </c>
      <c r="N9" s="2" t="s">
        <v>52</v>
      </c>
      <c r="O9" s="2" t="s">
        <v>53</v>
      </c>
      <c r="P9" s="2">
        <v>22</v>
      </c>
      <c r="Q9" s="2">
        <v>564</v>
      </c>
      <c r="R9" s="2">
        <v>1</v>
      </c>
      <c r="S9" s="3">
        <v>99.466108603599096</v>
      </c>
      <c r="T9" s="2" t="s">
        <v>46</v>
      </c>
      <c r="U9" s="2">
        <v>0.39817718685065001</v>
      </c>
      <c r="V9" s="2" t="s">
        <v>31</v>
      </c>
      <c r="W9" s="2" t="s">
        <v>41</v>
      </c>
      <c r="X9" s="3">
        <v>802.05631181755803</v>
      </c>
      <c r="Y9" s="93">
        <f>SQRT((2*Table1[[#This Row],[Number Of Products Sold]]*Table1[[#This Row],[Costs]])/(0.3*Table1[[#This Row],[Price]]))</f>
        <v>230.27014297991101</v>
      </c>
      <c r="Z9" s="62">
        <f>Table1[[#This Row],[Number Of Products Sold]]/Table1[[#This Row],[EOQ]]</f>
        <v>1.8500010226560923</v>
      </c>
      <c r="AA9" s="94">
        <f>360/Table1[[#This Row],[Optimum No of Orders]]</f>
        <v>194.59448702527692</v>
      </c>
    </row>
    <row r="10" spans="1:27" x14ac:dyDescent="0.3">
      <c r="A10" s="4" t="s">
        <v>157</v>
      </c>
      <c r="B10" s="2" t="s">
        <v>59</v>
      </c>
      <c r="C10" s="3">
        <v>68.717596748527299</v>
      </c>
      <c r="D10" s="2">
        <v>78</v>
      </c>
      <c r="E10" s="2">
        <v>150</v>
      </c>
      <c r="F10" s="3">
        <v>7517.3632106311197</v>
      </c>
      <c r="G10" s="2" t="s">
        <v>35</v>
      </c>
      <c r="H10" s="2">
        <v>5</v>
      </c>
      <c r="I10" s="2">
        <v>10</v>
      </c>
      <c r="J10" s="2">
        <v>15</v>
      </c>
      <c r="K10" s="2">
        <v>7</v>
      </c>
      <c r="L10" s="2" t="s">
        <v>43</v>
      </c>
      <c r="M10" s="3">
        <v>3.4047338570830199</v>
      </c>
      <c r="N10" s="2" t="s">
        <v>52</v>
      </c>
      <c r="O10" s="2" t="s">
        <v>29</v>
      </c>
      <c r="P10" s="2">
        <v>13</v>
      </c>
      <c r="Q10" s="2">
        <v>769</v>
      </c>
      <c r="R10" s="2">
        <v>8</v>
      </c>
      <c r="S10" s="3">
        <v>11.423027139565599</v>
      </c>
      <c r="T10" s="2" t="s">
        <v>30</v>
      </c>
      <c r="U10" s="2">
        <v>2.7098626911099601</v>
      </c>
      <c r="V10" s="2" t="s">
        <v>56</v>
      </c>
      <c r="W10" s="2" t="s">
        <v>32</v>
      </c>
      <c r="X10" s="3">
        <v>505.55713422546398</v>
      </c>
      <c r="Y10" s="93">
        <f>SQRT((2*Table1[[#This Row],[Number Of Products Sold]]*Table1[[#This Row],[Costs]])/(0.3*Table1[[#This Row],[Price]]))</f>
        <v>85.773106680231308</v>
      </c>
      <c r="Z10" s="62">
        <f>Table1[[#This Row],[Number Of Products Sold]]/Table1[[#This Row],[EOQ]]</f>
        <v>1.748799895510506</v>
      </c>
      <c r="AA10" s="94">
        <f>360/Table1[[#This Row],[Optimum No of Orders]]</f>
        <v>205.85545603255514</v>
      </c>
    </row>
    <row r="11" spans="1:27" x14ac:dyDescent="0.3">
      <c r="A11" s="4" t="s">
        <v>156</v>
      </c>
      <c r="B11" s="2" t="s">
        <v>60</v>
      </c>
      <c r="C11" s="3">
        <v>64.0157329412785</v>
      </c>
      <c r="D11" s="2">
        <v>35</v>
      </c>
      <c r="E11" s="2">
        <v>980</v>
      </c>
      <c r="F11" s="3">
        <v>4971.1459875855498</v>
      </c>
      <c r="G11" s="2" t="s">
        <v>38</v>
      </c>
      <c r="H11" s="2">
        <v>14</v>
      </c>
      <c r="I11" s="2">
        <v>27</v>
      </c>
      <c r="J11" s="2">
        <v>83</v>
      </c>
      <c r="K11" s="2">
        <v>1</v>
      </c>
      <c r="L11" s="2" t="s">
        <v>36</v>
      </c>
      <c r="M11" s="3">
        <v>7.1666452910482104</v>
      </c>
      <c r="N11" s="2" t="s">
        <v>61</v>
      </c>
      <c r="O11" s="2" t="s">
        <v>62</v>
      </c>
      <c r="P11" s="2">
        <v>29</v>
      </c>
      <c r="Q11" s="2">
        <v>963</v>
      </c>
      <c r="R11" s="2">
        <v>23</v>
      </c>
      <c r="S11" s="3">
        <v>47.957601634951502</v>
      </c>
      <c r="T11" s="2" t="s">
        <v>30</v>
      </c>
      <c r="U11" s="2">
        <v>3.8446144787675798</v>
      </c>
      <c r="V11" s="2" t="s">
        <v>47</v>
      </c>
      <c r="W11" s="2" t="s">
        <v>32</v>
      </c>
      <c r="X11" s="3">
        <v>995.92946149864099</v>
      </c>
      <c r="Y11" s="93">
        <f>SQRT((2*Table1[[#This Row],[Number Of Products Sold]]*Table1[[#This Row],[Costs]])/(0.3*Table1[[#This Row],[Price]]))</f>
        <v>318.8146995134714</v>
      </c>
      <c r="Z11" s="62">
        <f>Table1[[#This Row],[Number Of Products Sold]]/Table1[[#This Row],[EOQ]]</f>
        <v>3.073885870054089</v>
      </c>
      <c r="AA11" s="94">
        <f>360/Table1[[#This Row],[Optimum No of Orders]]</f>
        <v>117.11560390290786</v>
      </c>
    </row>
    <row r="12" spans="1:27" x14ac:dyDescent="0.3">
      <c r="A12" s="4" t="s">
        <v>156</v>
      </c>
      <c r="B12" s="2" t="s">
        <v>63</v>
      </c>
      <c r="C12" s="3">
        <v>15.707795681912099</v>
      </c>
      <c r="D12" s="2">
        <v>11</v>
      </c>
      <c r="E12" s="2">
        <v>996</v>
      </c>
      <c r="F12" s="3">
        <v>2330.9658020919401</v>
      </c>
      <c r="G12" s="2" t="s">
        <v>160</v>
      </c>
      <c r="H12" s="2">
        <v>51</v>
      </c>
      <c r="I12" s="2">
        <v>13</v>
      </c>
      <c r="J12" s="2">
        <v>80</v>
      </c>
      <c r="K12" s="2">
        <v>2</v>
      </c>
      <c r="L12" s="2" t="s">
        <v>43</v>
      </c>
      <c r="M12" s="3">
        <v>8.6732112112786108</v>
      </c>
      <c r="N12" s="2" t="s">
        <v>44</v>
      </c>
      <c r="O12" s="2" t="s">
        <v>45</v>
      </c>
      <c r="P12" s="2">
        <v>18</v>
      </c>
      <c r="Q12" s="2">
        <v>830</v>
      </c>
      <c r="R12" s="2">
        <v>5</v>
      </c>
      <c r="S12" s="3">
        <v>96.527352785310896</v>
      </c>
      <c r="T12" s="2" t="s">
        <v>64</v>
      </c>
      <c r="U12" s="2">
        <v>1.72731392835594</v>
      </c>
      <c r="V12" s="2" t="s">
        <v>31</v>
      </c>
      <c r="W12" s="2" t="s">
        <v>32</v>
      </c>
      <c r="X12" s="3">
        <v>806.10317770292295</v>
      </c>
      <c r="Y12" s="93">
        <f>SQRT((2*Table1[[#This Row],[Number Of Products Sold]]*Table1[[#This Row],[Costs]])/(0.3*Table1[[#This Row],[Price]]))</f>
        <v>583.74306552558414</v>
      </c>
      <c r="Z12" s="62">
        <f>Table1[[#This Row],[Number Of Products Sold]]/Table1[[#This Row],[EOQ]]</f>
        <v>1.7062301187308024</v>
      </c>
      <c r="AA12" s="94">
        <f>360/Table1[[#This Row],[Optimum No of Orders]]</f>
        <v>210.99146946707859</v>
      </c>
    </row>
    <row r="13" spans="1:27" x14ac:dyDescent="0.3">
      <c r="A13" s="4" t="s">
        <v>156</v>
      </c>
      <c r="B13" s="2" t="s">
        <v>65</v>
      </c>
      <c r="C13" s="3">
        <v>90.635459982288594</v>
      </c>
      <c r="D13" s="2">
        <v>95</v>
      </c>
      <c r="E13" s="2">
        <v>960</v>
      </c>
      <c r="F13" s="3">
        <v>6099.9441155814502</v>
      </c>
      <c r="G13" s="2" t="s">
        <v>35</v>
      </c>
      <c r="H13" s="2">
        <v>46</v>
      </c>
      <c r="I13" s="2">
        <v>23</v>
      </c>
      <c r="J13" s="2">
        <v>60</v>
      </c>
      <c r="K13" s="2">
        <v>1</v>
      </c>
      <c r="L13" s="2" t="s">
        <v>36</v>
      </c>
      <c r="M13" s="3">
        <v>4.5239431243166601</v>
      </c>
      <c r="N13" s="2" t="s">
        <v>61</v>
      </c>
      <c r="O13" s="2" t="s">
        <v>45</v>
      </c>
      <c r="P13" s="2">
        <v>28</v>
      </c>
      <c r="Q13" s="2">
        <v>362</v>
      </c>
      <c r="R13" s="2">
        <v>11</v>
      </c>
      <c r="S13" s="3">
        <v>27.5923630866636</v>
      </c>
      <c r="T13" s="2" t="s">
        <v>30</v>
      </c>
      <c r="U13" s="2">
        <v>2.1169821372994301E-2</v>
      </c>
      <c r="V13" s="2" t="s">
        <v>40</v>
      </c>
      <c r="W13" s="2" t="s">
        <v>48</v>
      </c>
      <c r="X13" s="3">
        <v>126.72303340940699</v>
      </c>
      <c r="Y13" s="93">
        <f>SQRT((2*Table1[[#This Row],[Number Of Products Sold]]*Table1[[#This Row],[Costs]])/(0.3*Table1[[#This Row],[Price]]))</f>
        <v>94.595111950026507</v>
      </c>
      <c r="Z13" s="62">
        <f>Table1[[#This Row],[Number Of Products Sold]]/Table1[[#This Row],[EOQ]]</f>
        <v>10.148515924450269</v>
      </c>
      <c r="AA13" s="94">
        <f>360/Table1[[#This Row],[Optimum No of Orders]]</f>
        <v>35.473166981259943</v>
      </c>
    </row>
    <row r="14" spans="1:27" x14ac:dyDescent="0.3">
      <c r="A14" s="4" t="s">
        <v>155</v>
      </c>
      <c r="B14" s="2" t="s">
        <v>66</v>
      </c>
      <c r="C14" s="3">
        <v>71.213389075359999</v>
      </c>
      <c r="D14" s="2">
        <v>41</v>
      </c>
      <c r="E14" s="2">
        <v>336</v>
      </c>
      <c r="F14" s="3">
        <v>2873.74144602144</v>
      </c>
      <c r="G14" s="2" t="s">
        <v>38</v>
      </c>
      <c r="H14" s="2">
        <v>100</v>
      </c>
      <c r="I14" s="2">
        <v>30</v>
      </c>
      <c r="J14" s="2">
        <v>85</v>
      </c>
      <c r="K14" s="2">
        <v>4</v>
      </c>
      <c r="L14" s="2" t="s">
        <v>36</v>
      </c>
      <c r="M14" s="3">
        <v>1.32527401018452</v>
      </c>
      <c r="N14" s="2" t="s">
        <v>52</v>
      </c>
      <c r="O14" s="2" t="s">
        <v>45</v>
      </c>
      <c r="P14" s="2">
        <v>3</v>
      </c>
      <c r="Q14" s="2">
        <v>563</v>
      </c>
      <c r="R14" s="2">
        <v>3</v>
      </c>
      <c r="S14" s="3">
        <v>32.321286213424003</v>
      </c>
      <c r="T14" s="2" t="s">
        <v>46</v>
      </c>
      <c r="U14" s="2">
        <v>2.1612537475559099</v>
      </c>
      <c r="V14" s="2" t="s">
        <v>31</v>
      </c>
      <c r="W14" s="2" t="s">
        <v>32</v>
      </c>
      <c r="X14" s="3">
        <v>402.96878907376998</v>
      </c>
      <c r="Y14" s="93">
        <f>SQRT((2*Table1[[#This Row],[Number Of Products Sold]]*Table1[[#This Row],[Costs]])/(0.3*Table1[[#This Row],[Price]]))</f>
        <v>112.58457352635722</v>
      </c>
      <c r="Z14" s="62">
        <f>Table1[[#This Row],[Number Of Products Sold]]/Table1[[#This Row],[EOQ]]</f>
        <v>2.9844230828066238</v>
      </c>
      <c r="AA14" s="94">
        <f>360/Table1[[#This Row],[Optimum No of Orders]]</f>
        <v>120.62632877823987</v>
      </c>
    </row>
    <row r="15" spans="1:27" x14ac:dyDescent="0.3">
      <c r="A15" s="4" t="s">
        <v>156</v>
      </c>
      <c r="B15" s="2" t="s">
        <v>67</v>
      </c>
      <c r="C15" s="3">
        <v>16.160393317379899</v>
      </c>
      <c r="D15" s="2">
        <v>5</v>
      </c>
      <c r="E15" s="2">
        <v>249</v>
      </c>
      <c r="F15" s="3">
        <v>4052.7384162378598</v>
      </c>
      <c r="G15" s="2" t="s">
        <v>55</v>
      </c>
      <c r="H15" s="2">
        <v>80</v>
      </c>
      <c r="I15" s="2">
        <v>8</v>
      </c>
      <c r="J15" s="2">
        <v>48</v>
      </c>
      <c r="K15" s="2">
        <v>9</v>
      </c>
      <c r="L15" s="2" t="s">
        <v>36</v>
      </c>
      <c r="M15" s="3">
        <v>9.5372830611083295</v>
      </c>
      <c r="N15" s="2" t="s">
        <v>44</v>
      </c>
      <c r="O15" s="2" t="s">
        <v>53</v>
      </c>
      <c r="P15" s="2">
        <v>23</v>
      </c>
      <c r="Q15" s="2">
        <v>173</v>
      </c>
      <c r="R15" s="2">
        <v>10</v>
      </c>
      <c r="S15" s="3">
        <v>97.829050110173199</v>
      </c>
      <c r="T15" s="2" t="s">
        <v>30</v>
      </c>
      <c r="U15" s="2">
        <v>1.63107423007153</v>
      </c>
      <c r="V15" s="2" t="s">
        <v>31</v>
      </c>
      <c r="W15" s="2" t="s">
        <v>32</v>
      </c>
      <c r="X15" s="3">
        <v>547.24100516096803</v>
      </c>
      <c r="Y15" s="93">
        <f>SQRT((2*Table1[[#This Row],[Number Of Products Sold]]*Table1[[#This Row],[Costs]])/(0.3*Table1[[#This Row],[Price]]))</f>
        <v>237.09227105686674</v>
      </c>
      <c r="Z15" s="62">
        <f>Table1[[#This Row],[Number Of Products Sold]]/Table1[[#This Row],[EOQ]]</f>
        <v>1.0502240283500308</v>
      </c>
      <c r="AA15" s="94">
        <f>360/Table1[[#This Row],[Optimum No of Orders]]</f>
        <v>342.78400634727723</v>
      </c>
    </row>
    <row r="16" spans="1:27" x14ac:dyDescent="0.3">
      <c r="A16" s="4" t="s">
        <v>156</v>
      </c>
      <c r="B16" s="2" t="s">
        <v>68</v>
      </c>
      <c r="C16" s="3">
        <v>99.171328638624104</v>
      </c>
      <c r="D16" s="2">
        <v>26</v>
      </c>
      <c r="E16" s="2">
        <v>562</v>
      </c>
      <c r="F16" s="3">
        <v>8653.5709264697998</v>
      </c>
      <c r="G16" s="2" t="s">
        <v>160</v>
      </c>
      <c r="H16" s="2">
        <v>54</v>
      </c>
      <c r="I16" s="2">
        <v>29</v>
      </c>
      <c r="J16" s="2">
        <v>78</v>
      </c>
      <c r="K16" s="2">
        <v>5</v>
      </c>
      <c r="L16" s="2" t="s">
        <v>27</v>
      </c>
      <c r="M16" s="3">
        <v>2.0397701894493299</v>
      </c>
      <c r="N16" s="2" t="s">
        <v>39</v>
      </c>
      <c r="O16" s="2" t="s">
        <v>45</v>
      </c>
      <c r="P16" s="2">
        <v>25</v>
      </c>
      <c r="Q16" s="2">
        <v>558</v>
      </c>
      <c r="R16" s="2">
        <v>14</v>
      </c>
      <c r="S16" s="3">
        <v>5.7914366298629796</v>
      </c>
      <c r="T16" s="2" t="s">
        <v>30</v>
      </c>
      <c r="U16" s="2">
        <v>0.100682851565093</v>
      </c>
      <c r="V16" s="2" t="s">
        <v>40</v>
      </c>
      <c r="W16" s="2" t="s">
        <v>32</v>
      </c>
      <c r="X16" s="3">
        <v>929.23528996088896</v>
      </c>
      <c r="Y16" s="93">
        <f>SQRT((2*Table1[[#This Row],[Number Of Products Sold]]*Table1[[#This Row],[Costs]])/(0.3*Table1[[#This Row],[Price]]))</f>
        <v>187.36665771473818</v>
      </c>
      <c r="Z16" s="62">
        <f>Table1[[#This Row],[Number Of Products Sold]]/Table1[[#This Row],[EOQ]]</f>
        <v>2.9994664304448087</v>
      </c>
      <c r="AA16" s="94">
        <f>360/Table1[[#This Row],[Optimum No of Orders]]</f>
        <v>120.02134657883585</v>
      </c>
    </row>
    <row r="17" spans="1:27" x14ac:dyDescent="0.3">
      <c r="A17" s="4" t="s">
        <v>156</v>
      </c>
      <c r="B17" s="2" t="s">
        <v>69</v>
      </c>
      <c r="C17" s="3">
        <v>36.989244928626903</v>
      </c>
      <c r="D17" s="2">
        <v>94</v>
      </c>
      <c r="E17" s="2">
        <v>469</v>
      </c>
      <c r="F17" s="3">
        <v>5442.0867853976697</v>
      </c>
      <c r="G17" s="2" t="s">
        <v>160</v>
      </c>
      <c r="H17" s="2">
        <v>9</v>
      </c>
      <c r="I17" s="2">
        <v>8</v>
      </c>
      <c r="J17" s="2">
        <v>69</v>
      </c>
      <c r="K17" s="2">
        <v>7</v>
      </c>
      <c r="L17" s="2" t="s">
        <v>27</v>
      </c>
      <c r="M17" s="3">
        <v>2.4220397232752</v>
      </c>
      <c r="N17" s="2" t="s">
        <v>39</v>
      </c>
      <c r="O17" s="2" t="s">
        <v>53</v>
      </c>
      <c r="P17" s="2">
        <v>14</v>
      </c>
      <c r="Q17" s="2">
        <v>580</v>
      </c>
      <c r="R17" s="2">
        <v>7</v>
      </c>
      <c r="S17" s="3">
        <v>97.121281751474299</v>
      </c>
      <c r="T17" s="2" t="s">
        <v>64</v>
      </c>
      <c r="U17" s="2">
        <v>2.2644057611985402</v>
      </c>
      <c r="V17" s="2" t="s">
        <v>56</v>
      </c>
      <c r="W17" s="2" t="s">
        <v>32</v>
      </c>
      <c r="X17" s="3">
        <v>127.861800001625</v>
      </c>
      <c r="Y17" s="93">
        <f>SQRT((2*Table1[[#This Row],[Number Of Products Sold]]*Table1[[#This Row],[Costs]])/(0.3*Table1[[#This Row],[Price]]))</f>
        <v>103.96172232742846</v>
      </c>
      <c r="Z17" s="62">
        <f>Table1[[#This Row],[Number Of Products Sold]]/Table1[[#This Row],[EOQ]]</f>
        <v>4.5112757801653185</v>
      </c>
      <c r="AA17" s="94">
        <f>360/Table1[[#This Row],[Optimum No of Orders]]</f>
        <v>79.800042724678562</v>
      </c>
    </row>
    <row r="18" spans="1:27" x14ac:dyDescent="0.3">
      <c r="A18" s="4" t="s">
        <v>156</v>
      </c>
      <c r="B18" s="2" t="s">
        <v>70</v>
      </c>
      <c r="C18" s="3">
        <v>7.5471721097912701</v>
      </c>
      <c r="D18" s="2">
        <v>74</v>
      </c>
      <c r="E18" s="2">
        <v>280</v>
      </c>
      <c r="F18" s="3">
        <v>6453.7979681762799</v>
      </c>
      <c r="G18" s="2" t="s">
        <v>35</v>
      </c>
      <c r="H18" s="2">
        <v>2</v>
      </c>
      <c r="I18" s="2">
        <v>5</v>
      </c>
      <c r="J18" s="2">
        <v>78</v>
      </c>
      <c r="K18" s="2">
        <v>1</v>
      </c>
      <c r="L18" s="2" t="s">
        <v>27</v>
      </c>
      <c r="M18" s="3">
        <v>4.1913245857054999</v>
      </c>
      <c r="N18" s="2" t="s">
        <v>39</v>
      </c>
      <c r="O18" s="2" t="s">
        <v>53</v>
      </c>
      <c r="P18" s="2">
        <v>3</v>
      </c>
      <c r="Q18" s="2">
        <v>399</v>
      </c>
      <c r="R18" s="2">
        <v>21</v>
      </c>
      <c r="S18" s="3">
        <v>77.106342497849994</v>
      </c>
      <c r="T18" s="2" t="s">
        <v>64</v>
      </c>
      <c r="U18" s="2">
        <v>1.01256308925804</v>
      </c>
      <c r="V18" s="2" t="s">
        <v>40</v>
      </c>
      <c r="W18" s="2" t="s">
        <v>48</v>
      </c>
      <c r="X18" s="3">
        <v>865.52577977123997</v>
      </c>
      <c r="Y18" s="93">
        <f>SQRT((2*Table1[[#This Row],[Number Of Products Sold]]*Table1[[#This Row],[Costs]])/(0.3*Table1[[#This Row],[Price]]))</f>
        <v>462.68057123818721</v>
      </c>
      <c r="Z18" s="62">
        <f>Table1[[#This Row],[Number Of Products Sold]]/Table1[[#This Row],[EOQ]]</f>
        <v>0.60516913267113703</v>
      </c>
      <c r="AA18" s="94">
        <f>360/Table1[[#This Row],[Optimum No of Orders]]</f>
        <v>594.87502016338362</v>
      </c>
    </row>
    <row r="19" spans="1:27" x14ac:dyDescent="0.3">
      <c r="A19" s="4" t="s">
        <v>157</v>
      </c>
      <c r="B19" s="2" t="s">
        <v>71</v>
      </c>
      <c r="C19" s="3">
        <v>81.462534369237005</v>
      </c>
      <c r="D19" s="2">
        <v>82</v>
      </c>
      <c r="E19" s="2">
        <v>126</v>
      </c>
      <c r="F19" s="3">
        <v>2629.39643484526</v>
      </c>
      <c r="G19" s="2" t="s">
        <v>35</v>
      </c>
      <c r="H19" s="2">
        <v>45</v>
      </c>
      <c r="I19" s="2">
        <v>17</v>
      </c>
      <c r="J19" s="2">
        <v>85</v>
      </c>
      <c r="K19" s="2">
        <v>9</v>
      </c>
      <c r="L19" s="2" t="s">
        <v>43</v>
      </c>
      <c r="M19" s="3">
        <v>3.5854189582323399</v>
      </c>
      <c r="N19" s="2" t="s">
        <v>39</v>
      </c>
      <c r="O19" s="2" t="s">
        <v>62</v>
      </c>
      <c r="P19" s="2">
        <v>7</v>
      </c>
      <c r="Q19" s="2">
        <v>453</v>
      </c>
      <c r="R19" s="2">
        <v>16</v>
      </c>
      <c r="S19" s="3">
        <v>47.679680368355299</v>
      </c>
      <c r="T19" s="2" t="s">
        <v>46</v>
      </c>
      <c r="U19" s="2">
        <v>0.102020754918176</v>
      </c>
      <c r="V19" s="2" t="s">
        <v>40</v>
      </c>
      <c r="W19" s="2" t="s">
        <v>41</v>
      </c>
      <c r="X19" s="3">
        <v>670.93439079241</v>
      </c>
      <c r="Y19" s="93">
        <f>SQRT((2*Table1[[#This Row],[Number Of Products Sold]]*Table1[[#This Row],[Costs]])/(0.3*Table1[[#This Row],[Price]]))</f>
        <v>83.176513316586593</v>
      </c>
      <c r="Z19" s="62">
        <f>Table1[[#This Row],[Number Of Products Sold]]/Table1[[#This Row],[EOQ]]</f>
        <v>1.5148507069588091</v>
      </c>
      <c r="AA19" s="94">
        <f>360/Table1[[#This Row],[Optimum No of Orders]]</f>
        <v>237.64718090453312</v>
      </c>
    </row>
    <row r="20" spans="1:27" x14ac:dyDescent="0.3">
      <c r="A20" s="4" t="s">
        <v>155</v>
      </c>
      <c r="B20" s="2" t="s">
        <v>72</v>
      </c>
      <c r="C20" s="3">
        <v>36.4436277704609</v>
      </c>
      <c r="D20" s="2">
        <v>23</v>
      </c>
      <c r="E20" s="2">
        <v>620</v>
      </c>
      <c r="F20" s="3">
        <v>9364.6735050761708</v>
      </c>
      <c r="G20" s="2" t="s">
        <v>38</v>
      </c>
      <c r="H20" s="2">
        <v>10</v>
      </c>
      <c r="I20" s="2">
        <v>10</v>
      </c>
      <c r="J20" s="2">
        <v>46</v>
      </c>
      <c r="K20" s="2">
        <v>8</v>
      </c>
      <c r="L20" s="2" t="s">
        <v>43</v>
      </c>
      <c r="M20" s="3">
        <v>4.3392247141107001</v>
      </c>
      <c r="N20" s="2" t="s">
        <v>61</v>
      </c>
      <c r="O20" s="2" t="s">
        <v>45</v>
      </c>
      <c r="P20" s="2">
        <v>18</v>
      </c>
      <c r="Q20" s="2">
        <v>374</v>
      </c>
      <c r="R20" s="2">
        <v>17</v>
      </c>
      <c r="S20" s="3">
        <v>27.107980854843898</v>
      </c>
      <c r="T20" s="2" t="s">
        <v>30</v>
      </c>
      <c r="U20" s="2">
        <v>2.2319391107292601</v>
      </c>
      <c r="V20" s="2" t="s">
        <v>56</v>
      </c>
      <c r="W20" s="2" t="s">
        <v>48</v>
      </c>
      <c r="X20" s="3">
        <v>593.48025872065102</v>
      </c>
      <c r="Y20" s="93">
        <f>SQRT((2*Table1[[#This Row],[Number Of Products Sold]]*Table1[[#This Row],[Costs]])/(0.3*Table1[[#This Row],[Price]]))</f>
        <v>259.44335560415539</v>
      </c>
      <c r="Z20" s="62">
        <f>Table1[[#This Row],[Number Of Products Sold]]/Table1[[#This Row],[EOQ]]</f>
        <v>2.3897316566702229</v>
      </c>
      <c r="AA20" s="94">
        <f>360/Table1[[#This Row],[Optimum No of Orders]]</f>
        <v>150.64452906047731</v>
      </c>
    </row>
    <row r="21" spans="1:27" x14ac:dyDescent="0.3">
      <c r="A21" s="4" t="s">
        <v>156</v>
      </c>
      <c r="B21" s="2" t="s">
        <v>73</v>
      </c>
      <c r="C21" s="3">
        <v>51.123870087964697</v>
      </c>
      <c r="D21" s="2">
        <v>100</v>
      </c>
      <c r="E21" s="2">
        <v>187</v>
      </c>
      <c r="F21" s="3">
        <v>2553.4955849912099</v>
      </c>
      <c r="G21" s="2" t="s">
        <v>38</v>
      </c>
      <c r="H21" s="2">
        <v>48</v>
      </c>
      <c r="I21" s="2">
        <v>11</v>
      </c>
      <c r="J21" s="2">
        <v>94</v>
      </c>
      <c r="K21" s="2">
        <v>3</v>
      </c>
      <c r="L21" s="2" t="s">
        <v>36</v>
      </c>
      <c r="M21" s="3">
        <v>4.7426358828418698</v>
      </c>
      <c r="N21" s="2" t="s">
        <v>52</v>
      </c>
      <c r="O21" s="2" t="s">
        <v>62</v>
      </c>
      <c r="P21" s="2">
        <v>20</v>
      </c>
      <c r="Q21" s="2">
        <v>694</v>
      </c>
      <c r="R21" s="2">
        <v>16</v>
      </c>
      <c r="S21" s="3">
        <v>82.373320587990193</v>
      </c>
      <c r="T21" s="2" t="s">
        <v>46</v>
      </c>
      <c r="U21" s="2">
        <v>3.64645086541702</v>
      </c>
      <c r="V21" s="2" t="s">
        <v>31</v>
      </c>
      <c r="W21" s="2" t="s">
        <v>41</v>
      </c>
      <c r="X21" s="3">
        <v>477.30763109090299</v>
      </c>
      <c r="Y21" s="93">
        <f>SQRT((2*Table1[[#This Row],[Number Of Products Sold]]*Table1[[#This Row],[Costs]])/(0.3*Table1[[#This Row],[Price]]))</f>
        <v>107.88535658914432</v>
      </c>
      <c r="Z21" s="62">
        <f>Table1[[#This Row],[Number Of Products Sold]]/Table1[[#This Row],[EOQ]]</f>
        <v>1.733321424817132</v>
      </c>
      <c r="AA21" s="94">
        <f>360/Table1[[#This Row],[Optimum No of Orders]]</f>
        <v>207.69373461011742</v>
      </c>
    </row>
    <row r="22" spans="1:27" x14ac:dyDescent="0.3">
      <c r="A22" s="4" t="s">
        <v>156</v>
      </c>
      <c r="B22" s="2" t="s">
        <v>74</v>
      </c>
      <c r="C22" s="3">
        <v>96.341072439963298</v>
      </c>
      <c r="D22" s="2">
        <v>22</v>
      </c>
      <c r="E22" s="2">
        <v>320</v>
      </c>
      <c r="F22" s="3">
        <v>8128.0276968511898</v>
      </c>
      <c r="G22" s="2" t="s">
        <v>38</v>
      </c>
      <c r="H22" s="2">
        <v>27</v>
      </c>
      <c r="I22" s="2">
        <v>12</v>
      </c>
      <c r="J22" s="2">
        <v>68</v>
      </c>
      <c r="K22" s="2">
        <v>6</v>
      </c>
      <c r="L22" s="2" t="s">
        <v>36</v>
      </c>
      <c r="M22" s="3">
        <v>8.8783346509268402</v>
      </c>
      <c r="N22" s="2" t="s">
        <v>39</v>
      </c>
      <c r="O22" s="2" t="s">
        <v>62</v>
      </c>
      <c r="P22" s="2">
        <v>29</v>
      </c>
      <c r="Q22" s="2">
        <v>309</v>
      </c>
      <c r="R22" s="2">
        <v>6</v>
      </c>
      <c r="S22" s="3">
        <v>65.686259608488598</v>
      </c>
      <c r="T22" s="2" t="s">
        <v>64</v>
      </c>
      <c r="U22" s="2">
        <v>4.2314165735345304</v>
      </c>
      <c r="V22" s="2" t="s">
        <v>40</v>
      </c>
      <c r="W22" s="2" t="s">
        <v>32</v>
      </c>
      <c r="X22" s="3">
        <v>493.871215316205</v>
      </c>
      <c r="Y22" s="93">
        <f>SQRT((2*Table1[[#This Row],[Number Of Products Sold]]*Table1[[#This Row],[Costs]])/(0.3*Table1[[#This Row],[Price]]))</f>
        <v>104.57562737441745</v>
      </c>
      <c r="Z22" s="62">
        <f>Table1[[#This Row],[Number Of Products Sold]]/Table1[[#This Row],[EOQ]]</f>
        <v>3.0599864235505629</v>
      </c>
      <c r="AA22" s="94">
        <f>360/Table1[[#This Row],[Optimum No of Orders]]</f>
        <v>117.64758079621963</v>
      </c>
    </row>
    <row r="23" spans="1:27" x14ac:dyDescent="0.3">
      <c r="A23" s="4" t="s">
        <v>157</v>
      </c>
      <c r="B23" s="2" t="s">
        <v>75</v>
      </c>
      <c r="C23" s="3">
        <v>84.893868984950799</v>
      </c>
      <c r="D23" s="2">
        <v>60</v>
      </c>
      <c r="E23" s="2">
        <v>601</v>
      </c>
      <c r="F23" s="3">
        <v>7087.0526963574302</v>
      </c>
      <c r="G23" s="2" t="s">
        <v>38</v>
      </c>
      <c r="H23" s="2">
        <v>69</v>
      </c>
      <c r="I23" s="2">
        <v>25</v>
      </c>
      <c r="J23" s="2">
        <v>7</v>
      </c>
      <c r="K23" s="2">
        <v>6</v>
      </c>
      <c r="L23" s="2" t="s">
        <v>27</v>
      </c>
      <c r="M23" s="3">
        <v>6.0378837692182898</v>
      </c>
      <c r="N23" s="2" t="s">
        <v>44</v>
      </c>
      <c r="O23" s="2" t="s">
        <v>62</v>
      </c>
      <c r="P23" s="2">
        <v>19</v>
      </c>
      <c r="Q23" s="2">
        <v>791</v>
      </c>
      <c r="R23" s="2">
        <v>4</v>
      </c>
      <c r="S23" s="3">
        <v>61.735728954160898</v>
      </c>
      <c r="T23" s="2" t="s">
        <v>30</v>
      </c>
      <c r="U23" s="2">
        <v>1.8607567631014899E-2</v>
      </c>
      <c r="V23" s="2" t="s">
        <v>40</v>
      </c>
      <c r="W23" s="2" t="s">
        <v>41</v>
      </c>
      <c r="X23" s="3">
        <v>523.36091472015801</v>
      </c>
      <c r="Y23" s="93">
        <f>SQRT((2*Table1[[#This Row],[Number Of Products Sold]]*Table1[[#This Row],[Costs]])/(0.3*Table1[[#This Row],[Price]]))</f>
        <v>157.16436639374501</v>
      </c>
      <c r="Z23" s="62">
        <f>Table1[[#This Row],[Number Of Products Sold]]/Table1[[#This Row],[EOQ]]</f>
        <v>3.8240220336861244</v>
      </c>
      <c r="AA23" s="94">
        <f>360/Table1[[#This Row],[Optimum No of Orders]]</f>
        <v>94.141716974622639</v>
      </c>
    </row>
    <row r="24" spans="1:27" x14ac:dyDescent="0.3">
      <c r="A24" s="4" t="s">
        <v>155</v>
      </c>
      <c r="B24" s="2" t="s">
        <v>76</v>
      </c>
      <c r="C24" s="3">
        <v>27.679780886501899</v>
      </c>
      <c r="D24" s="2">
        <v>55</v>
      </c>
      <c r="E24" s="2">
        <v>884</v>
      </c>
      <c r="F24" s="3">
        <v>2390.8078665561702</v>
      </c>
      <c r="G24" s="2" t="s">
        <v>38</v>
      </c>
      <c r="H24" s="2">
        <v>71</v>
      </c>
      <c r="I24" s="2">
        <v>1</v>
      </c>
      <c r="J24" s="2">
        <v>63</v>
      </c>
      <c r="K24" s="2">
        <v>10</v>
      </c>
      <c r="L24" s="2" t="s">
        <v>36</v>
      </c>
      <c r="M24" s="3">
        <v>9.5676489209230393</v>
      </c>
      <c r="N24" s="2" t="s">
        <v>52</v>
      </c>
      <c r="O24" s="2" t="s">
        <v>45</v>
      </c>
      <c r="P24" s="2">
        <v>22</v>
      </c>
      <c r="Q24" s="2">
        <v>780</v>
      </c>
      <c r="R24" s="2">
        <v>28</v>
      </c>
      <c r="S24" s="3">
        <v>50.120839612977299</v>
      </c>
      <c r="T24" s="2" t="s">
        <v>46</v>
      </c>
      <c r="U24" s="2">
        <v>2.5912754732111098</v>
      </c>
      <c r="V24" s="2" t="s">
        <v>47</v>
      </c>
      <c r="W24" s="2" t="s">
        <v>41</v>
      </c>
      <c r="X24" s="3">
        <v>205.57199582694699</v>
      </c>
      <c r="Y24" s="93">
        <f>SQRT((2*Table1[[#This Row],[Number Of Products Sold]]*Table1[[#This Row],[Costs]])/(0.3*Table1[[#This Row],[Price]]))</f>
        <v>209.20938132520277</v>
      </c>
      <c r="Z24" s="62">
        <f>Table1[[#This Row],[Number Of Products Sold]]/Table1[[#This Row],[EOQ]]</f>
        <v>4.2254319304442562</v>
      </c>
      <c r="AA24" s="94">
        <f>360/Table1[[#This Row],[Optimum No of Orders]]</f>
        <v>85.198390584924198</v>
      </c>
    </row>
    <row r="25" spans="1:27" x14ac:dyDescent="0.3">
      <c r="A25" s="4" t="s">
        <v>157</v>
      </c>
      <c r="B25" s="2" t="s">
        <v>77</v>
      </c>
      <c r="C25" s="3">
        <v>4.3243411858641601</v>
      </c>
      <c r="D25" s="2">
        <v>30</v>
      </c>
      <c r="E25" s="2">
        <v>391</v>
      </c>
      <c r="F25" s="3">
        <v>8858.3675710114803</v>
      </c>
      <c r="G25" s="2" t="s">
        <v>38</v>
      </c>
      <c r="H25" s="2">
        <v>84</v>
      </c>
      <c r="I25" s="2">
        <v>5</v>
      </c>
      <c r="J25" s="2">
        <v>29</v>
      </c>
      <c r="K25" s="2">
        <v>7</v>
      </c>
      <c r="L25" s="2" t="s">
        <v>36</v>
      </c>
      <c r="M25" s="3">
        <v>2.92485760114555</v>
      </c>
      <c r="N25" s="2" t="s">
        <v>44</v>
      </c>
      <c r="O25" s="2" t="s">
        <v>45</v>
      </c>
      <c r="P25" s="2">
        <v>11</v>
      </c>
      <c r="Q25" s="2">
        <v>568</v>
      </c>
      <c r="R25" s="2">
        <v>29</v>
      </c>
      <c r="S25" s="3">
        <v>98.6099572427038</v>
      </c>
      <c r="T25" s="2" t="s">
        <v>30</v>
      </c>
      <c r="U25" s="2">
        <v>1.3422915627227301</v>
      </c>
      <c r="V25" s="2" t="s">
        <v>47</v>
      </c>
      <c r="W25" s="2" t="s">
        <v>48</v>
      </c>
      <c r="X25" s="3">
        <v>196.329446112412</v>
      </c>
      <c r="Y25" s="93">
        <f>SQRT((2*Table1[[#This Row],[Number Of Products Sold]]*Table1[[#This Row],[Costs]])/(0.3*Table1[[#This Row],[Price]]))</f>
        <v>344.0135063950259</v>
      </c>
      <c r="Z25" s="62">
        <f>Table1[[#This Row],[Number Of Products Sold]]/Table1[[#This Row],[EOQ]]</f>
        <v>1.1365832815616843</v>
      </c>
      <c r="AA25" s="94">
        <f>360/Table1[[#This Row],[Optimum No of Orders]]</f>
        <v>316.73877826652</v>
      </c>
    </row>
    <row r="26" spans="1:27" x14ac:dyDescent="0.3">
      <c r="A26" s="4" t="s">
        <v>155</v>
      </c>
      <c r="B26" s="2" t="s">
        <v>78</v>
      </c>
      <c r="C26" s="3">
        <v>4.1563083593111001</v>
      </c>
      <c r="D26" s="2">
        <v>32</v>
      </c>
      <c r="E26" s="2">
        <v>209</v>
      </c>
      <c r="F26" s="3">
        <v>9049.0778609398894</v>
      </c>
      <c r="G26" s="2" t="s">
        <v>55</v>
      </c>
      <c r="H26" s="2">
        <v>4</v>
      </c>
      <c r="I26" s="2">
        <v>26</v>
      </c>
      <c r="J26" s="2">
        <v>2</v>
      </c>
      <c r="K26" s="2">
        <v>8</v>
      </c>
      <c r="L26" s="2" t="s">
        <v>43</v>
      </c>
      <c r="M26" s="3">
        <v>9.7412916892843597</v>
      </c>
      <c r="N26" s="2" t="s">
        <v>61</v>
      </c>
      <c r="O26" s="2" t="s">
        <v>53</v>
      </c>
      <c r="P26" s="2">
        <v>28</v>
      </c>
      <c r="Q26" s="2">
        <v>447</v>
      </c>
      <c r="R26" s="2">
        <v>3</v>
      </c>
      <c r="S26" s="3">
        <v>40.382359702924802</v>
      </c>
      <c r="T26" s="2" t="s">
        <v>30</v>
      </c>
      <c r="U26" s="2">
        <v>3.69131029262872</v>
      </c>
      <c r="V26" s="2" t="s">
        <v>40</v>
      </c>
      <c r="W26" s="2" t="s">
        <v>48</v>
      </c>
      <c r="X26" s="3">
        <v>758.72477260293795</v>
      </c>
      <c r="Y26" s="93">
        <f>SQRT((2*Table1[[#This Row],[Number Of Products Sold]]*Table1[[#This Row],[Costs]])/(0.3*Table1[[#This Row],[Price]]))</f>
        <v>504.3311175852449</v>
      </c>
      <c r="Z26" s="62">
        <f>Table1[[#This Row],[Number Of Products Sold]]/Table1[[#This Row],[EOQ]]</f>
        <v>0.41441028069158087</v>
      </c>
      <c r="AA26" s="94">
        <f>360/Table1[[#This Row],[Optimum No of Orders]]</f>
        <v>868.70431737171361</v>
      </c>
    </row>
    <row r="27" spans="1:27" x14ac:dyDescent="0.3">
      <c r="A27" s="4" t="s">
        <v>155</v>
      </c>
      <c r="B27" s="2" t="s">
        <v>79</v>
      </c>
      <c r="C27" s="3">
        <v>39.629343985092603</v>
      </c>
      <c r="D27" s="2">
        <v>73</v>
      </c>
      <c r="E27" s="2">
        <v>142</v>
      </c>
      <c r="F27" s="3">
        <v>2174.7770543506499</v>
      </c>
      <c r="G27" s="2" t="s">
        <v>55</v>
      </c>
      <c r="H27" s="2">
        <v>82</v>
      </c>
      <c r="I27" s="2">
        <v>11</v>
      </c>
      <c r="J27" s="2">
        <v>52</v>
      </c>
      <c r="K27" s="2">
        <v>3</v>
      </c>
      <c r="L27" s="2" t="s">
        <v>43</v>
      </c>
      <c r="M27" s="3">
        <v>2.2310736812817198</v>
      </c>
      <c r="N27" s="2" t="s">
        <v>52</v>
      </c>
      <c r="O27" s="2" t="s">
        <v>45</v>
      </c>
      <c r="P27" s="2">
        <v>19</v>
      </c>
      <c r="Q27" s="2">
        <v>934</v>
      </c>
      <c r="R27" s="2">
        <v>23</v>
      </c>
      <c r="S27" s="3">
        <v>78.280383118415301</v>
      </c>
      <c r="T27" s="2" t="s">
        <v>30</v>
      </c>
      <c r="U27" s="2">
        <v>3.79723121711418</v>
      </c>
      <c r="V27" s="2" t="s">
        <v>31</v>
      </c>
      <c r="W27" s="2" t="s">
        <v>32</v>
      </c>
      <c r="X27" s="3">
        <v>458.53594573920901</v>
      </c>
      <c r="Y27" s="93">
        <f>SQRT((2*Table1[[#This Row],[Number Of Products Sold]]*Table1[[#This Row],[Costs]])/(0.3*Table1[[#This Row],[Price]]))</f>
        <v>104.65905148162831</v>
      </c>
      <c r="Z27" s="62">
        <f>Table1[[#This Row],[Number Of Products Sold]]/Table1[[#This Row],[EOQ]]</f>
        <v>1.3567866131953858</v>
      </c>
      <c r="AA27" s="94">
        <f>360/Table1[[#This Row],[Optimum No of Orders]]</f>
        <v>265.33280657314219</v>
      </c>
    </row>
    <row r="28" spans="1:27" x14ac:dyDescent="0.3">
      <c r="A28" s="4" t="s">
        <v>155</v>
      </c>
      <c r="B28" s="2" t="s">
        <v>80</v>
      </c>
      <c r="C28" s="3">
        <v>97.446946617892806</v>
      </c>
      <c r="D28" s="2">
        <v>9</v>
      </c>
      <c r="E28" s="2">
        <v>353</v>
      </c>
      <c r="F28" s="3">
        <v>3716.49332589403</v>
      </c>
      <c r="G28" s="2" t="s">
        <v>55</v>
      </c>
      <c r="H28" s="2">
        <v>59</v>
      </c>
      <c r="I28" s="2">
        <v>16</v>
      </c>
      <c r="J28" s="2">
        <v>48</v>
      </c>
      <c r="K28" s="2">
        <v>4</v>
      </c>
      <c r="L28" s="2" t="s">
        <v>27</v>
      </c>
      <c r="M28" s="3">
        <v>6.5075486210785503</v>
      </c>
      <c r="N28" s="2" t="s">
        <v>61</v>
      </c>
      <c r="O28" s="2" t="s">
        <v>53</v>
      </c>
      <c r="P28" s="2">
        <v>26</v>
      </c>
      <c r="Q28" s="2">
        <v>171</v>
      </c>
      <c r="R28" s="2">
        <v>4</v>
      </c>
      <c r="S28" s="3">
        <v>15.972229757181699</v>
      </c>
      <c r="T28" s="2" t="s">
        <v>64</v>
      </c>
      <c r="U28" s="2">
        <v>2.1193197367249201</v>
      </c>
      <c r="V28" s="2" t="s">
        <v>47</v>
      </c>
      <c r="W28" s="2" t="s">
        <v>48</v>
      </c>
      <c r="X28" s="3">
        <v>617.86691645837698</v>
      </c>
      <c r="Y28" s="93">
        <f>SQRT((2*Table1[[#This Row],[Number Of Products Sold]]*Table1[[#This Row],[Costs]])/(0.3*Table1[[#This Row],[Price]]))</f>
        <v>122.15326404353743</v>
      </c>
      <c r="Z28" s="62">
        <f>Table1[[#This Row],[Number Of Products Sold]]/Table1[[#This Row],[EOQ]]</f>
        <v>2.8898122597377749</v>
      </c>
      <c r="AA28" s="94">
        <f>360/Table1[[#This Row],[Optimum No of Orders]]</f>
        <v>124.5755667299532</v>
      </c>
    </row>
    <row r="29" spans="1:27" x14ac:dyDescent="0.3">
      <c r="A29" s="4" t="s">
        <v>157</v>
      </c>
      <c r="B29" s="2" t="s">
        <v>81</v>
      </c>
      <c r="C29" s="3">
        <v>92.557360812401996</v>
      </c>
      <c r="D29" s="2">
        <v>42</v>
      </c>
      <c r="E29" s="2">
        <v>352</v>
      </c>
      <c r="F29" s="3">
        <v>2686.4572235759802</v>
      </c>
      <c r="G29" s="2" t="s">
        <v>38</v>
      </c>
      <c r="H29" s="2">
        <v>47</v>
      </c>
      <c r="I29" s="2">
        <v>9</v>
      </c>
      <c r="J29" s="2">
        <v>62</v>
      </c>
      <c r="K29" s="2">
        <v>8</v>
      </c>
      <c r="L29" s="2" t="s">
        <v>43</v>
      </c>
      <c r="M29" s="3">
        <v>7.4067509529980704</v>
      </c>
      <c r="N29" s="2" t="s">
        <v>44</v>
      </c>
      <c r="O29" s="2" t="s">
        <v>29</v>
      </c>
      <c r="P29" s="2">
        <v>25</v>
      </c>
      <c r="Q29" s="2">
        <v>291</v>
      </c>
      <c r="R29" s="2">
        <v>4</v>
      </c>
      <c r="S29" s="3">
        <v>10.5282450700421</v>
      </c>
      <c r="T29" s="2" t="s">
        <v>46</v>
      </c>
      <c r="U29" s="2">
        <v>2.8646678378833701</v>
      </c>
      <c r="V29" s="2" t="s">
        <v>56</v>
      </c>
      <c r="W29" s="2" t="s">
        <v>32</v>
      </c>
      <c r="X29" s="3">
        <v>762.45918215568304</v>
      </c>
      <c r="Y29" s="93">
        <f>SQRT((2*Table1[[#This Row],[Number Of Products Sold]]*Table1[[#This Row],[Costs]])/(0.3*Table1[[#This Row],[Price]]))</f>
        <v>139.03640194741359</v>
      </c>
      <c r="Z29" s="62">
        <f>Table1[[#This Row],[Number Of Products Sold]]/Table1[[#This Row],[EOQ]]</f>
        <v>2.5317110847929851</v>
      </c>
      <c r="AA29" s="94">
        <f>360/Table1[[#This Row],[Optimum No of Orders]]</f>
        <v>142.19632017349119</v>
      </c>
    </row>
    <row r="30" spans="1:27" x14ac:dyDescent="0.3">
      <c r="A30" s="4" t="s">
        <v>157</v>
      </c>
      <c r="B30" s="2" t="s">
        <v>82</v>
      </c>
      <c r="C30" s="3">
        <v>2.3972747055971402</v>
      </c>
      <c r="D30" s="2">
        <v>12</v>
      </c>
      <c r="E30" s="2">
        <v>394</v>
      </c>
      <c r="F30" s="3">
        <v>6117.3246150839896</v>
      </c>
      <c r="G30" s="2" t="s">
        <v>35</v>
      </c>
      <c r="H30" s="2">
        <v>48</v>
      </c>
      <c r="I30" s="2">
        <v>15</v>
      </c>
      <c r="J30" s="2">
        <v>24</v>
      </c>
      <c r="K30" s="2">
        <v>4</v>
      </c>
      <c r="L30" s="2" t="s">
        <v>27</v>
      </c>
      <c r="M30" s="3">
        <v>9.8981405080692202</v>
      </c>
      <c r="N30" s="2" t="s">
        <v>39</v>
      </c>
      <c r="O30" s="2" t="s">
        <v>29</v>
      </c>
      <c r="P30" s="2">
        <v>13</v>
      </c>
      <c r="Q30" s="2">
        <v>171</v>
      </c>
      <c r="R30" s="2">
        <v>7</v>
      </c>
      <c r="S30" s="3">
        <v>59.429381810691503</v>
      </c>
      <c r="T30" s="2" t="s">
        <v>46</v>
      </c>
      <c r="U30" s="2">
        <v>0.81575707929567198</v>
      </c>
      <c r="V30" s="2" t="s">
        <v>40</v>
      </c>
      <c r="W30" s="2" t="s">
        <v>48</v>
      </c>
      <c r="X30" s="3">
        <v>123.437027511827</v>
      </c>
      <c r="Y30" s="93">
        <f>SQRT((2*Table1[[#This Row],[Number Of Products Sold]]*Table1[[#This Row],[Costs]])/(0.3*Table1[[#This Row],[Price]]))</f>
        <v>367.76153829136996</v>
      </c>
      <c r="Z30" s="62">
        <f>Table1[[#This Row],[Number Of Products Sold]]/Table1[[#This Row],[EOQ]]</f>
        <v>1.0713463997092645</v>
      </c>
      <c r="AA30" s="94">
        <f>360/Table1[[#This Row],[Optimum No of Orders]]</f>
        <v>336.02577102764764</v>
      </c>
    </row>
    <row r="31" spans="1:27" x14ac:dyDescent="0.3">
      <c r="A31" s="4" t="s">
        <v>157</v>
      </c>
      <c r="B31" s="2" t="s">
        <v>83</v>
      </c>
      <c r="C31" s="3">
        <v>63.447559185207297</v>
      </c>
      <c r="D31" s="2">
        <v>3</v>
      </c>
      <c r="E31" s="2">
        <v>253</v>
      </c>
      <c r="F31" s="3">
        <v>8318.9031946171708</v>
      </c>
      <c r="G31" s="2" t="s">
        <v>35</v>
      </c>
      <c r="H31" s="2">
        <v>45</v>
      </c>
      <c r="I31" s="2">
        <v>5</v>
      </c>
      <c r="J31" s="2">
        <v>67</v>
      </c>
      <c r="K31" s="2">
        <v>7</v>
      </c>
      <c r="L31" s="2" t="s">
        <v>27</v>
      </c>
      <c r="M31" s="3">
        <v>8.1009731453970293</v>
      </c>
      <c r="N31" s="2" t="s">
        <v>39</v>
      </c>
      <c r="O31" s="2" t="s">
        <v>45</v>
      </c>
      <c r="P31" s="2">
        <v>16</v>
      </c>
      <c r="Q31" s="2">
        <v>329</v>
      </c>
      <c r="R31" s="2">
        <v>7</v>
      </c>
      <c r="S31" s="3">
        <v>39.292875586065698</v>
      </c>
      <c r="T31" s="2" t="s">
        <v>64</v>
      </c>
      <c r="U31" s="2">
        <v>3.8780989365884802</v>
      </c>
      <c r="V31" s="2" t="s">
        <v>31</v>
      </c>
      <c r="W31" s="2" t="s">
        <v>32</v>
      </c>
      <c r="X31" s="3">
        <v>764.93537594070801</v>
      </c>
      <c r="Y31" s="93">
        <f>SQRT((2*Table1[[#This Row],[Number Of Products Sold]]*Table1[[#This Row],[Costs]])/(0.3*Table1[[#This Row],[Price]]))</f>
        <v>142.60000619700625</v>
      </c>
      <c r="Z31" s="62">
        <f>Table1[[#This Row],[Number Of Products Sold]]/Table1[[#This Row],[EOQ]]</f>
        <v>1.7741934712854976</v>
      </c>
      <c r="AA31" s="94">
        <f>360/Table1[[#This Row],[Optimum No of Orders]]</f>
        <v>202.90909972696542</v>
      </c>
    </row>
    <row r="32" spans="1:27" x14ac:dyDescent="0.3">
      <c r="A32" s="4" t="s">
        <v>155</v>
      </c>
      <c r="B32" s="2" t="s">
        <v>84</v>
      </c>
      <c r="C32" s="3">
        <v>8.0228592105263896</v>
      </c>
      <c r="D32" s="2">
        <v>10</v>
      </c>
      <c r="E32" s="2">
        <v>327</v>
      </c>
      <c r="F32" s="3">
        <v>2766.3423668660798</v>
      </c>
      <c r="G32" s="2" t="s">
        <v>55</v>
      </c>
      <c r="H32" s="2">
        <v>60</v>
      </c>
      <c r="I32" s="2">
        <v>26</v>
      </c>
      <c r="J32" s="2">
        <v>35</v>
      </c>
      <c r="K32" s="2">
        <v>7</v>
      </c>
      <c r="L32" s="2" t="s">
        <v>27</v>
      </c>
      <c r="M32" s="3">
        <v>8.9545283153180097</v>
      </c>
      <c r="N32" s="2" t="s">
        <v>52</v>
      </c>
      <c r="O32" s="2" t="s">
        <v>45</v>
      </c>
      <c r="P32" s="2">
        <v>27</v>
      </c>
      <c r="Q32" s="2">
        <v>806</v>
      </c>
      <c r="R32" s="2">
        <v>30</v>
      </c>
      <c r="S32" s="3">
        <v>51.634893400109299</v>
      </c>
      <c r="T32" s="2" t="s">
        <v>30</v>
      </c>
      <c r="U32" s="2">
        <v>0.96539470535239302</v>
      </c>
      <c r="V32" s="2" t="s">
        <v>31</v>
      </c>
      <c r="W32" s="2" t="s">
        <v>41</v>
      </c>
      <c r="X32" s="3">
        <v>880.08098824716103</v>
      </c>
      <c r="Y32" s="93">
        <f>SQRT((2*Table1[[#This Row],[Number Of Products Sold]]*Table1[[#This Row],[Costs]])/(0.3*Table1[[#This Row],[Price]]))</f>
        <v>489.01815294248354</v>
      </c>
      <c r="Z32" s="62">
        <f>Table1[[#This Row],[Number Of Products Sold]]/Table1[[#This Row],[EOQ]]</f>
        <v>0.6686868330600817</v>
      </c>
      <c r="AA32" s="94">
        <f>360/Table1[[#This Row],[Optimum No of Orders]]</f>
        <v>538.36860874401862</v>
      </c>
    </row>
    <row r="33" spans="1:27" x14ac:dyDescent="0.3">
      <c r="A33" s="4" t="s">
        <v>156</v>
      </c>
      <c r="B33" s="2" t="s">
        <v>85</v>
      </c>
      <c r="C33" s="3">
        <v>50.847393051718697</v>
      </c>
      <c r="D33" s="2">
        <v>28</v>
      </c>
      <c r="E33" s="2">
        <v>168</v>
      </c>
      <c r="F33" s="3">
        <v>9655.1351027193905</v>
      </c>
      <c r="G33" s="2" t="s">
        <v>55</v>
      </c>
      <c r="H33" s="2">
        <v>6</v>
      </c>
      <c r="I33" s="2">
        <v>17</v>
      </c>
      <c r="J33" s="2">
        <v>44</v>
      </c>
      <c r="K33" s="2">
        <v>4</v>
      </c>
      <c r="L33" s="2" t="s">
        <v>27</v>
      </c>
      <c r="M33" s="3">
        <v>2.6796609649813998</v>
      </c>
      <c r="N33" s="2" t="s">
        <v>28</v>
      </c>
      <c r="O33" s="2" t="s">
        <v>62</v>
      </c>
      <c r="P33" s="2">
        <v>24</v>
      </c>
      <c r="Q33" s="2">
        <v>461</v>
      </c>
      <c r="R33" s="2">
        <v>8</v>
      </c>
      <c r="S33" s="3">
        <v>60.251145661598002</v>
      </c>
      <c r="T33" s="2" t="s">
        <v>30</v>
      </c>
      <c r="U33" s="2">
        <v>2.9890000066550702</v>
      </c>
      <c r="V33" s="2" t="s">
        <v>47</v>
      </c>
      <c r="W33" s="2" t="s">
        <v>41</v>
      </c>
      <c r="X33" s="3">
        <v>609.379206618426</v>
      </c>
      <c r="Y33" s="93">
        <f>SQRT((2*Table1[[#This Row],[Number Of Products Sold]]*Table1[[#This Row],[Costs]])/(0.3*Table1[[#This Row],[Price]]))</f>
        <v>115.85598691593887</v>
      </c>
      <c r="Z33" s="62">
        <f>Table1[[#This Row],[Number Of Products Sold]]/Table1[[#This Row],[EOQ]]</f>
        <v>1.4500761201222603</v>
      </c>
      <c r="AA33" s="94">
        <f>360/Table1[[#This Row],[Optimum No of Orders]]</f>
        <v>248.26282910558331</v>
      </c>
    </row>
    <row r="34" spans="1:27" x14ac:dyDescent="0.3">
      <c r="A34" s="4" t="s">
        <v>156</v>
      </c>
      <c r="B34" s="2" t="s">
        <v>86</v>
      </c>
      <c r="C34" s="3">
        <v>79.209936015656695</v>
      </c>
      <c r="D34" s="2">
        <v>43</v>
      </c>
      <c r="E34" s="2">
        <v>781</v>
      </c>
      <c r="F34" s="3">
        <v>9571.5504873278096</v>
      </c>
      <c r="G34" s="2" t="s">
        <v>38</v>
      </c>
      <c r="H34" s="2">
        <v>89</v>
      </c>
      <c r="I34" s="2">
        <v>13</v>
      </c>
      <c r="J34" s="2">
        <v>64</v>
      </c>
      <c r="K34" s="2">
        <v>4</v>
      </c>
      <c r="L34" s="2" t="s">
        <v>43</v>
      </c>
      <c r="M34" s="3">
        <v>6.5991049012385803</v>
      </c>
      <c r="N34" s="2" t="s">
        <v>28</v>
      </c>
      <c r="O34" s="2" t="s">
        <v>45</v>
      </c>
      <c r="P34" s="2">
        <v>30</v>
      </c>
      <c r="Q34" s="2">
        <v>737</v>
      </c>
      <c r="R34" s="2">
        <v>7</v>
      </c>
      <c r="S34" s="3">
        <v>29.6924671537497</v>
      </c>
      <c r="T34" s="2" t="s">
        <v>64</v>
      </c>
      <c r="U34" s="2">
        <v>1.94603611938611</v>
      </c>
      <c r="V34" s="2" t="s">
        <v>31</v>
      </c>
      <c r="W34" s="2" t="s">
        <v>48</v>
      </c>
      <c r="X34" s="3">
        <v>761.17390951487698</v>
      </c>
      <c r="Y34" s="93">
        <f>SQRT((2*Table1[[#This Row],[Number Of Products Sold]]*Table1[[#This Row],[Costs]])/(0.3*Table1[[#This Row],[Price]]))</f>
        <v>223.68249743558781</v>
      </c>
      <c r="Z34" s="62">
        <f>Table1[[#This Row],[Number Of Products Sold]]/Table1[[#This Row],[EOQ]]</f>
        <v>3.4915561519286897</v>
      </c>
      <c r="AA34" s="94">
        <f>360/Table1[[#This Row],[Optimum No of Orders]]</f>
        <v>103.10588870270374</v>
      </c>
    </row>
    <row r="35" spans="1:27" x14ac:dyDescent="0.3">
      <c r="A35" s="4" t="s">
        <v>157</v>
      </c>
      <c r="B35" s="2" t="s">
        <v>87</v>
      </c>
      <c r="C35" s="3">
        <v>64.795435000155607</v>
      </c>
      <c r="D35" s="2">
        <v>63</v>
      </c>
      <c r="E35" s="2">
        <v>616</v>
      </c>
      <c r="F35" s="3">
        <v>5149.9983504080301</v>
      </c>
      <c r="G35" s="2" t="s">
        <v>160</v>
      </c>
      <c r="H35" s="2">
        <v>4</v>
      </c>
      <c r="I35" s="2">
        <v>17</v>
      </c>
      <c r="J35" s="2">
        <v>95</v>
      </c>
      <c r="K35" s="2">
        <v>9</v>
      </c>
      <c r="L35" s="2" t="s">
        <v>43</v>
      </c>
      <c r="M35" s="3">
        <v>4.85827050343664</v>
      </c>
      <c r="N35" s="2" t="s">
        <v>44</v>
      </c>
      <c r="O35" s="2" t="s">
        <v>62</v>
      </c>
      <c r="P35" s="2">
        <v>1</v>
      </c>
      <c r="Q35" s="2">
        <v>251</v>
      </c>
      <c r="R35" s="2">
        <v>23</v>
      </c>
      <c r="S35" s="3">
        <v>23.853427512896101</v>
      </c>
      <c r="T35" s="2" t="s">
        <v>46</v>
      </c>
      <c r="U35" s="2">
        <v>3.54104601225092</v>
      </c>
      <c r="V35" s="2" t="s">
        <v>56</v>
      </c>
      <c r="W35" s="2" t="s">
        <v>48</v>
      </c>
      <c r="X35" s="3">
        <v>371.25529551987103</v>
      </c>
      <c r="Y35" s="93">
        <f>SQRT((2*Table1[[#This Row],[Number Of Products Sold]]*Table1[[#This Row],[Costs]])/(0.3*Table1[[#This Row],[Price]]))</f>
        <v>153.39416870545409</v>
      </c>
      <c r="Z35" s="62">
        <f>Table1[[#This Row],[Number Of Products Sold]]/Table1[[#This Row],[EOQ]]</f>
        <v>4.0157980267348812</v>
      </c>
      <c r="AA35" s="94">
        <f>360/Table1[[#This Row],[Optimum No of Orders]]</f>
        <v>89.645942749940701</v>
      </c>
    </row>
    <row r="36" spans="1:27" x14ac:dyDescent="0.3">
      <c r="A36" s="4" t="s">
        <v>156</v>
      </c>
      <c r="B36" s="2" t="s">
        <v>88</v>
      </c>
      <c r="C36" s="3">
        <v>37.467592329842397</v>
      </c>
      <c r="D36" s="2">
        <v>96</v>
      </c>
      <c r="E36" s="2">
        <v>602</v>
      </c>
      <c r="F36" s="3">
        <v>9061.7108955077201</v>
      </c>
      <c r="G36" s="2" t="s">
        <v>38</v>
      </c>
      <c r="H36" s="2">
        <v>1</v>
      </c>
      <c r="I36" s="2">
        <v>26</v>
      </c>
      <c r="J36" s="2">
        <v>21</v>
      </c>
      <c r="K36" s="2">
        <v>7</v>
      </c>
      <c r="L36" s="2" t="s">
        <v>36</v>
      </c>
      <c r="M36" s="3">
        <v>1.0194875708221101</v>
      </c>
      <c r="N36" s="2" t="s">
        <v>39</v>
      </c>
      <c r="O36" s="2" t="s">
        <v>62</v>
      </c>
      <c r="P36" s="2">
        <v>4</v>
      </c>
      <c r="Q36" s="2">
        <v>452</v>
      </c>
      <c r="R36" s="2">
        <v>10</v>
      </c>
      <c r="S36" s="3">
        <v>10.754272815029299</v>
      </c>
      <c r="T36" s="2" t="s">
        <v>64</v>
      </c>
      <c r="U36" s="2">
        <v>0.64660455937205397</v>
      </c>
      <c r="V36" s="2" t="s">
        <v>31</v>
      </c>
      <c r="W36" s="2" t="s">
        <v>32</v>
      </c>
      <c r="X36" s="3">
        <v>510.35800043352299</v>
      </c>
      <c r="Y36" s="93">
        <f>SQRT((2*Table1[[#This Row],[Number Of Products Sold]]*Table1[[#This Row],[Costs]])/(0.3*Table1[[#This Row],[Price]]))</f>
        <v>233.80951800619732</v>
      </c>
      <c r="Z36" s="62">
        <f>Table1[[#This Row],[Number Of Products Sold]]/Table1[[#This Row],[EOQ]]</f>
        <v>2.5747454814223749</v>
      </c>
      <c r="AA36" s="94">
        <f>360/Table1[[#This Row],[Optimum No of Orders]]</f>
        <v>139.81964531932067</v>
      </c>
    </row>
    <row r="37" spans="1:27" x14ac:dyDescent="0.3">
      <c r="A37" s="4" t="s">
        <v>157</v>
      </c>
      <c r="B37" s="2" t="s">
        <v>89</v>
      </c>
      <c r="C37" s="3">
        <v>84.957786816350406</v>
      </c>
      <c r="D37" s="2">
        <v>11</v>
      </c>
      <c r="E37" s="2">
        <v>449</v>
      </c>
      <c r="F37" s="3">
        <v>6541.3293448024597</v>
      </c>
      <c r="G37" s="2" t="s">
        <v>35</v>
      </c>
      <c r="H37" s="2">
        <v>42</v>
      </c>
      <c r="I37" s="2">
        <v>27</v>
      </c>
      <c r="J37" s="2">
        <v>85</v>
      </c>
      <c r="K37" s="2">
        <v>8</v>
      </c>
      <c r="L37" s="2" t="s">
        <v>43</v>
      </c>
      <c r="M37" s="3">
        <v>5.2881899903273997</v>
      </c>
      <c r="N37" s="2" t="s">
        <v>39</v>
      </c>
      <c r="O37" s="2" t="s">
        <v>50</v>
      </c>
      <c r="P37" s="2">
        <v>3</v>
      </c>
      <c r="Q37" s="2">
        <v>367</v>
      </c>
      <c r="R37" s="2">
        <v>2</v>
      </c>
      <c r="S37" s="3">
        <v>58.004787044743701</v>
      </c>
      <c r="T37" s="2" t="s">
        <v>64</v>
      </c>
      <c r="U37" s="2">
        <v>0.54115409806058101</v>
      </c>
      <c r="V37" s="2" t="s">
        <v>56</v>
      </c>
      <c r="W37" s="2" t="s">
        <v>41</v>
      </c>
      <c r="X37" s="3">
        <v>553.42047123035502</v>
      </c>
      <c r="Y37" s="93">
        <f>SQRT((2*Table1[[#This Row],[Number Of Products Sold]]*Table1[[#This Row],[Costs]])/(0.3*Table1[[#This Row],[Price]]))</f>
        <v>139.63797936271152</v>
      </c>
      <c r="Z37" s="62">
        <f>Table1[[#This Row],[Number Of Products Sold]]/Table1[[#This Row],[EOQ]]</f>
        <v>3.2154575857454688</v>
      </c>
      <c r="AA37" s="94">
        <f>360/Table1[[#This Row],[Optimum No of Orders]]</f>
        <v>111.9591816716618</v>
      </c>
    </row>
    <row r="38" spans="1:27" x14ac:dyDescent="0.3">
      <c r="A38" s="4" t="s">
        <v>156</v>
      </c>
      <c r="B38" s="2" t="s">
        <v>90</v>
      </c>
      <c r="C38" s="3">
        <v>9.81300257875405</v>
      </c>
      <c r="D38" s="2">
        <v>34</v>
      </c>
      <c r="E38" s="2">
        <v>963</v>
      </c>
      <c r="F38" s="3">
        <v>7573.4024578487297</v>
      </c>
      <c r="G38" s="2" t="s">
        <v>35</v>
      </c>
      <c r="H38" s="2">
        <v>18</v>
      </c>
      <c r="I38" s="2">
        <v>23</v>
      </c>
      <c r="J38" s="2">
        <v>28</v>
      </c>
      <c r="K38" s="2">
        <v>3</v>
      </c>
      <c r="L38" s="2" t="s">
        <v>27</v>
      </c>
      <c r="M38" s="3">
        <v>2.1079512671590801</v>
      </c>
      <c r="N38" s="2" t="s">
        <v>61</v>
      </c>
      <c r="O38" s="2" t="s">
        <v>50</v>
      </c>
      <c r="P38" s="2">
        <v>26</v>
      </c>
      <c r="Q38" s="2">
        <v>671</v>
      </c>
      <c r="R38" s="2">
        <v>19</v>
      </c>
      <c r="S38" s="3">
        <v>45.531364237162101</v>
      </c>
      <c r="T38" s="2" t="s">
        <v>46</v>
      </c>
      <c r="U38" s="2">
        <v>3.8055333792433501</v>
      </c>
      <c r="V38" s="2" t="s">
        <v>40</v>
      </c>
      <c r="W38" s="2" t="s">
        <v>41</v>
      </c>
      <c r="X38" s="3">
        <v>403.80897424817999</v>
      </c>
      <c r="Y38" s="93">
        <f>SQRT((2*Table1[[#This Row],[Number Of Products Sold]]*Table1[[#This Row],[Costs]])/(0.3*Table1[[#This Row],[Price]]))</f>
        <v>513.98984754126627</v>
      </c>
      <c r="Z38" s="62">
        <f>Table1[[#This Row],[Number Of Products Sold]]/Table1[[#This Row],[EOQ]]</f>
        <v>1.8735778626885902</v>
      </c>
      <c r="AA38" s="94">
        <f>360/Table1[[#This Row],[Optimum No of Orders]]</f>
        <v>192.14573739860421</v>
      </c>
    </row>
    <row r="39" spans="1:27" x14ac:dyDescent="0.3">
      <c r="A39" s="4" t="s">
        <v>156</v>
      </c>
      <c r="B39" s="2" t="s">
        <v>91</v>
      </c>
      <c r="C39" s="3">
        <v>23.3998447526143</v>
      </c>
      <c r="D39" s="2">
        <v>5</v>
      </c>
      <c r="E39" s="2">
        <v>963</v>
      </c>
      <c r="F39" s="3">
        <v>2438.3399304700201</v>
      </c>
      <c r="G39" s="2" t="s">
        <v>35</v>
      </c>
      <c r="H39" s="2">
        <v>25</v>
      </c>
      <c r="I39" s="2">
        <v>8</v>
      </c>
      <c r="J39" s="2">
        <v>21</v>
      </c>
      <c r="K39" s="2">
        <v>9</v>
      </c>
      <c r="L39" s="2" t="s">
        <v>36</v>
      </c>
      <c r="M39" s="3">
        <v>1.53265527359043</v>
      </c>
      <c r="N39" s="2" t="s">
        <v>28</v>
      </c>
      <c r="O39" s="2" t="s">
        <v>45</v>
      </c>
      <c r="P39" s="2">
        <v>24</v>
      </c>
      <c r="Q39" s="2">
        <v>867</v>
      </c>
      <c r="R39" s="2">
        <v>15</v>
      </c>
      <c r="S39" s="3">
        <v>34.343277465075303</v>
      </c>
      <c r="T39" s="2" t="s">
        <v>30</v>
      </c>
      <c r="U39" s="2">
        <v>2.61028808484811</v>
      </c>
      <c r="V39" s="2" t="s">
        <v>56</v>
      </c>
      <c r="W39" s="2" t="s">
        <v>48</v>
      </c>
      <c r="X39" s="3">
        <v>183.932968043594</v>
      </c>
      <c r="Y39" s="93">
        <f>SQRT((2*Table1[[#This Row],[Number Of Products Sold]]*Table1[[#This Row],[Costs]])/(0.3*Table1[[#This Row],[Price]]))</f>
        <v>224.64192677860444</v>
      </c>
      <c r="Z39" s="62">
        <f>Table1[[#This Row],[Number Of Products Sold]]/Table1[[#This Row],[EOQ]]</f>
        <v>4.2868222054963203</v>
      </c>
      <c r="AA39" s="94">
        <f>360/Table1[[#This Row],[Optimum No of Orders]]</f>
        <v>83.978290384525025</v>
      </c>
    </row>
    <row r="40" spans="1:27" x14ac:dyDescent="0.3">
      <c r="A40" s="4" t="s">
        <v>157</v>
      </c>
      <c r="B40" s="2" t="s">
        <v>92</v>
      </c>
      <c r="C40" s="3">
        <v>52.075930682707799</v>
      </c>
      <c r="D40" s="2">
        <v>75</v>
      </c>
      <c r="E40" s="2">
        <v>705</v>
      </c>
      <c r="F40" s="3">
        <v>9692.3180402184298</v>
      </c>
      <c r="G40" s="2" t="s">
        <v>160</v>
      </c>
      <c r="H40" s="2">
        <v>69</v>
      </c>
      <c r="I40" s="2">
        <v>1</v>
      </c>
      <c r="J40" s="2">
        <v>88</v>
      </c>
      <c r="K40" s="2">
        <v>5</v>
      </c>
      <c r="L40" s="2" t="s">
        <v>27</v>
      </c>
      <c r="M40" s="3">
        <v>9.2359314372492207</v>
      </c>
      <c r="N40" s="2" t="s">
        <v>44</v>
      </c>
      <c r="O40" s="2" t="s">
        <v>29</v>
      </c>
      <c r="P40" s="2">
        <v>10</v>
      </c>
      <c r="Q40" s="2">
        <v>841</v>
      </c>
      <c r="R40" s="2">
        <v>12</v>
      </c>
      <c r="S40" s="3">
        <v>5.9306936455283097</v>
      </c>
      <c r="T40" s="2" t="s">
        <v>30</v>
      </c>
      <c r="U40" s="2">
        <v>0.613326899164507</v>
      </c>
      <c r="V40" s="2" t="s">
        <v>40</v>
      </c>
      <c r="W40" s="2" t="s">
        <v>32</v>
      </c>
      <c r="X40" s="3">
        <v>339.67286994860598</v>
      </c>
      <c r="Y40" s="93">
        <f>SQRT((2*Table1[[#This Row],[Number Of Products Sold]]*Table1[[#This Row],[Costs]])/(0.3*Table1[[#This Row],[Price]]))</f>
        <v>175.08979699257299</v>
      </c>
      <c r="Z40" s="62">
        <f>Table1[[#This Row],[Number Of Products Sold]]/Table1[[#This Row],[EOQ]]</f>
        <v>4.0265053253211835</v>
      </c>
      <c r="AA40" s="94">
        <f>360/Table1[[#This Row],[Optimum No of Orders]]</f>
        <v>89.407555911101085</v>
      </c>
    </row>
    <row r="41" spans="1:27" x14ac:dyDescent="0.3">
      <c r="A41" s="4" t="s">
        <v>156</v>
      </c>
      <c r="B41" s="2" t="s">
        <v>93</v>
      </c>
      <c r="C41" s="3">
        <v>19.127477265823199</v>
      </c>
      <c r="D41" s="2">
        <v>26</v>
      </c>
      <c r="E41" s="2">
        <v>176</v>
      </c>
      <c r="F41" s="3">
        <v>1912.4656631007599</v>
      </c>
      <c r="G41" s="2" t="s">
        <v>35</v>
      </c>
      <c r="H41" s="2">
        <v>78</v>
      </c>
      <c r="I41" s="2">
        <v>29</v>
      </c>
      <c r="J41" s="2">
        <v>34</v>
      </c>
      <c r="K41" s="2">
        <v>3</v>
      </c>
      <c r="L41" s="2" t="s">
        <v>36</v>
      </c>
      <c r="M41" s="3">
        <v>5.5625037788303802</v>
      </c>
      <c r="N41" s="2" t="s">
        <v>61</v>
      </c>
      <c r="O41" s="2" t="s">
        <v>45</v>
      </c>
      <c r="P41" s="2">
        <v>30</v>
      </c>
      <c r="Q41" s="2">
        <v>791</v>
      </c>
      <c r="R41" s="2">
        <v>6</v>
      </c>
      <c r="S41" s="3">
        <v>9.0058074287816403</v>
      </c>
      <c r="T41" s="2" t="s">
        <v>46</v>
      </c>
      <c r="U41" s="2">
        <v>1.4519722039968099</v>
      </c>
      <c r="V41" s="2" t="s">
        <v>40</v>
      </c>
      <c r="W41" s="2" t="s">
        <v>32</v>
      </c>
      <c r="X41" s="3">
        <v>653.67299455203295</v>
      </c>
      <c r="Y41" s="93">
        <f>SQRT((2*Table1[[#This Row],[Number Of Products Sold]]*Table1[[#This Row],[Costs]])/(0.3*Table1[[#This Row],[Price]]))</f>
        <v>200.2452065274224</v>
      </c>
      <c r="Z41" s="62">
        <f>Table1[[#This Row],[Number Of Products Sold]]/Table1[[#This Row],[EOQ]]</f>
        <v>0.8789224124368632</v>
      </c>
      <c r="AA41" s="94">
        <f>360/Table1[[#This Row],[Optimum No of Orders]]</f>
        <v>409.59246789700035</v>
      </c>
    </row>
    <row r="42" spans="1:27" x14ac:dyDescent="0.3">
      <c r="A42" s="4" t="s">
        <v>156</v>
      </c>
      <c r="B42" s="2" t="s">
        <v>94</v>
      </c>
      <c r="C42" s="3">
        <v>80.541424170940303</v>
      </c>
      <c r="D42" s="2">
        <v>97</v>
      </c>
      <c r="E42" s="2">
        <v>933</v>
      </c>
      <c r="F42" s="3">
        <v>5724.9593504562599</v>
      </c>
      <c r="G42" s="2" t="s">
        <v>35</v>
      </c>
      <c r="H42" s="2">
        <v>90</v>
      </c>
      <c r="I42" s="2">
        <v>20</v>
      </c>
      <c r="J42" s="2">
        <v>39</v>
      </c>
      <c r="K42" s="2">
        <v>8</v>
      </c>
      <c r="L42" s="2" t="s">
        <v>43</v>
      </c>
      <c r="M42" s="3">
        <v>7.2295951397364702</v>
      </c>
      <c r="N42" s="2" t="s">
        <v>39</v>
      </c>
      <c r="O42" s="2" t="s">
        <v>45</v>
      </c>
      <c r="P42" s="2">
        <v>18</v>
      </c>
      <c r="Q42" s="2">
        <v>793</v>
      </c>
      <c r="R42" s="2">
        <v>1</v>
      </c>
      <c r="S42" s="3">
        <v>88.179407104217404</v>
      </c>
      <c r="T42" s="2" t="s">
        <v>30</v>
      </c>
      <c r="U42" s="2">
        <v>4.2132694305865597</v>
      </c>
      <c r="V42" s="2" t="s">
        <v>31</v>
      </c>
      <c r="W42" s="2" t="s">
        <v>48</v>
      </c>
      <c r="X42" s="3">
        <v>529.80872398069096</v>
      </c>
      <c r="Y42" s="93">
        <f>SQRT((2*Table1[[#This Row],[Number Of Products Sold]]*Table1[[#This Row],[Costs]])/(0.3*Table1[[#This Row],[Price]]))</f>
        <v>202.2763426611593</v>
      </c>
      <c r="Z42" s="62">
        <f>Table1[[#This Row],[Number Of Products Sold]]/Table1[[#This Row],[EOQ]]</f>
        <v>4.6125018265873203</v>
      </c>
      <c r="AA42" s="94">
        <f>360/Table1[[#This Row],[Optimum No of Orders]]</f>
        <v>78.048749579868542</v>
      </c>
    </row>
    <row r="43" spans="1:27" x14ac:dyDescent="0.3">
      <c r="A43" s="4" t="s">
        <v>156</v>
      </c>
      <c r="B43" s="2" t="s">
        <v>95</v>
      </c>
      <c r="C43" s="3">
        <v>99.113291615317095</v>
      </c>
      <c r="D43" s="2">
        <v>35</v>
      </c>
      <c r="E43" s="2">
        <v>556</v>
      </c>
      <c r="F43" s="3">
        <v>5521.2052590109697</v>
      </c>
      <c r="G43" s="2" t="s">
        <v>35</v>
      </c>
      <c r="H43" s="2">
        <v>64</v>
      </c>
      <c r="I43" s="2">
        <v>19</v>
      </c>
      <c r="J43" s="2">
        <v>38</v>
      </c>
      <c r="K43" s="2">
        <v>8</v>
      </c>
      <c r="L43" s="2" t="s">
        <v>27</v>
      </c>
      <c r="M43" s="3">
        <v>5.7732637437666501</v>
      </c>
      <c r="N43" s="2" t="s">
        <v>52</v>
      </c>
      <c r="O43" s="2" t="s">
        <v>62</v>
      </c>
      <c r="P43" s="2">
        <v>18</v>
      </c>
      <c r="Q43" s="2">
        <v>892</v>
      </c>
      <c r="R43" s="2">
        <v>7</v>
      </c>
      <c r="S43" s="3">
        <v>95.332064548772493</v>
      </c>
      <c r="T43" s="2" t="s">
        <v>46</v>
      </c>
      <c r="U43" s="2">
        <v>4.5302262398259602E-2</v>
      </c>
      <c r="V43" s="2" t="s">
        <v>56</v>
      </c>
      <c r="W43" s="2" t="s">
        <v>48</v>
      </c>
      <c r="X43" s="3">
        <v>275.52437113130901</v>
      </c>
      <c r="Y43" s="93">
        <f>SQRT((2*Table1[[#This Row],[Number Of Products Sold]]*Table1[[#This Row],[Costs]])/(0.3*Table1[[#This Row],[Price]]))</f>
        <v>101.50929847068019</v>
      </c>
      <c r="Z43" s="62">
        <f>Table1[[#This Row],[Number Of Products Sold]]/Table1[[#This Row],[EOQ]]</f>
        <v>5.477330731042283</v>
      </c>
      <c r="AA43" s="94">
        <f>360/Table1[[#This Row],[Optimum No of Orders]]</f>
        <v>65.725445052958392</v>
      </c>
    </row>
    <row r="44" spans="1:27" x14ac:dyDescent="0.3">
      <c r="A44" s="4" t="s">
        <v>156</v>
      </c>
      <c r="B44" s="2" t="s">
        <v>96</v>
      </c>
      <c r="C44" s="3">
        <v>46.529167614516702</v>
      </c>
      <c r="D44" s="2">
        <v>98</v>
      </c>
      <c r="E44" s="2">
        <v>155</v>
      </c>
      <c r="F44" s="3">
        <v>1839.60942585676</v>
      </c>
      <c r="G44" s="2" t="s">
        <v>35</v>
      </c>
      <c r="H44" s="2">
        <v>22</v>
      </c>
      <c r="I44" s="2">
        <v>27</v>
      </c>
      <c r="J44" s="2">
        <v>57</v>
      </c>
      <c r="K44" s="2">
        <v>4</v>
      </c>
      <c r="L44" s="2" t="s">
        <v>43</v>
      </c>
      <c r="M44" s="3">
        <v>7.5262483268515004</v>
      </c>
      <c r="N44" s="2" t="s">
        <v>44</v>
      </c>
      <c r="O44" s="2" t="s">
        <v>53</v>
      </c>
      <c r="P44" s="2">
        <v>26</v>
      </c>
      <c r="Q44" s="2">
        <v>179</v>
      </c>
      <c r="R44" s="2">
        <v>7</v>
      </c>
      <c r="S44" s="3">
        <v>96.422820639571796</v>
      </c>
      <c r="T44" s="2" t="s">
        <v>46</v>
      </c>
      <c r="U44" s="2">
        <v>4.9392552886209398</v>
      </c>
      <c r="V44" s="2" t="s">
        <v>31</v>
      </c>
      <c r="W44" s="2" t="s">
        <v>48</v>
      </c>
      <c r="X44" s="3">
        <v>635.65712050199102</v>
      </c>
      <c r="Y44" s="93">
        <f>SQRT((2*Table1[[#This Row],[Number Of Products Sold]]*Table1[[#This Row],[Costs]])/(0.3*Table1[[#This Row],[Price]]))</f>
        <v>118.81438818852617</v>
      </c>
      <c r="Z44" s="62">
        <f>Table1[[#This Row],[Number Of Products Sold]]/Table1[[#This Row],[EOQ]]</f>
        <v>1.3045558064403537</v>
      </c>
      <c r="AA44" s="94">
        <f>360/Table1[[#This Row],[Optimum No of Orders]]</f>
        <v>275.95599837335112</v>
      </c>
    </row>
    <row r="45" spans="1:27" x14ac:dyDescent="0.3">
      <c r="A45" s="4" t="s">
        <v>155</v>
      </c>
      <c r="B45" s="2" t="s">
        <v>97</v>
      </c>
      <c r="C45" s="3">
        <v>11.7432717763092</v>
      </c>
      <c r="D45" s="2">
        <v>6</v>
      </c>
      <c r="E45" s="2">
        <v>598</v>
      </c>
      <c r="F45" s="3">
        <v>5737.4255991190203</v>
      </c>
      <c r="G45" s="2" t="s">
        <v>38</v>
      </c>
      <c r="H45" s="2">
        <v>36</v>
      </c>
      <c r="I45" s="2">
        <v>29</v>
      </c>
      <c r="J45" s="2">
        <v>85</v>
      </c>
      <c r="K45" s="2">
        <v>9</v>
      </c>
      <c r="L45" s="2" t="s">
        <v>27</v>
      </c>
      <c r="M45" s="3">
        <v>3.6940212683884499</v>
      </c>
      <c r="N45" s="2" t="s">
        <v>44</v>
      </c>
      <c r="O45" s="2" t="s">
        <v>29</v>
      </c>
      <c r="P45" s="2">
        <v>1</v>
      </c>
      <c r="Q45" s="2">
        <v>206</v>
      </c>
      <c r="R45" s="2">
        <v>23</v>
      </c>
      <c r="S45" s="3">
        <v>26.2773659573324</v>
      </c>
      <c r="T45" s="2" t="s">
        <v>30</v>
      </c>
      <c r="U45" s="2">
        <v>0.37230476798509698</v>
      </c>
      <c r="V45" s="2" t="s">
        <v>40</v>
      </c>
      <c r="W45" s="2" t="s">
        <v>48</v>
      </c>
      <c r="X45" s="3">
        <v>716.04411975933999</v>
      </c>
      <c r="Y45" s="93">
        <f>SQRT((2*Table1[[#This Row],[Number Of Products Sold]]*Table1[[#This Row],[Costs]])/(0.3*Table1[[#This Row],[Price]]))</f>
        <v>493.03789190471633</v>
      </c>
      <c r="Z45" s="62">
        <f>Table1[[#This Row],[Number Of Products Sold]]/Table1[[#This Row],[EOQ]]</f>
        <v>1.2128885219953205</v>
      </c>
      <c r="AA45" s="94">
        <f>360/Table1[[#This Row],[Optimum No of Orders]]</f>
        <v>296.81210883895966</v>
      </c>
    </row>
    <row r="46" spans="1:27" x14ac:dyDescent="0.3">
      <c r="A46" s="4" t="s">
        <v>157</v>
      </c>
      <c r="B46" s="2" t="s">
        <v>98</v>
      </c>
      <c r="C46" s="3">
        <v>51.355790913110297</v>
      </c>
      <c r="D46" s="2">
        <v>34</v>
      </c>
      <c r="E46" s="2">
        <v>919</v>
      </c>
      <c r="F46" s="3">
        <v>7152.28604943551</v>
      </c>
      <c r="G46" s="2" t="s">
        <v>35</v>
      </c>
      <c r="H46" s="2">
        <v>13</v>
      </c>
      <c r="I46" s="2">
        <v>19</v>
      </c>
      <c r="J46" s="2">
        <v>72</v>
      </c>
      <c r="K46" s="2">
        <v>6</v>
      </c>
      <c r="L46" s="2" t="s">
        <v>43</v>
      </c>
      <c r="M46" s="3">
        <v>7.5774496573766896</v>
      </c>
      <c r="N46" s="2" t="s">
        <v>61</v>
      </c>
      <c r="O46" s="2" t="s">
        <v>50</v>
      </c>
      <c r="P46" s="2">
        <v>7</v>
      </c>
      <c r="Q46" s="2">
        <v>834</v>
      </c>
      <c r="R46" s="2">
        <v>18</v>
      </c>
      <c r="S46" s="3">
        <v>22.554106620887701</v>
      </c>
      <c r="T46" s="2" t="s">
        <v>46</v>
      </c>
      <c r="U46" s="2">
        <v>2.9626263204548802</v>
      </c>
      <c r="V46" s="2" t="s">
        <v>47</v>
      </c>
      <c r="W46" s="2" t="s">
        <v>48</v>
      </c>
      <c r="X46" s="3">
        <v>610.45326961922694</v>
      </c>
      <c r="Y46" s="93">
        <f>SQRT((2*Table1[[#This Row],[Number Of Products Sold]]*Table1[[#This Row],[Costs]])/(0.3*Table1[[#This Row],[Price]]))</f>
        <v>269.86317600373729</v>
      </c>
      <c r="Z46" s="62">
        <f>Table1[[#This Row],[Number Of Products Sold]]/Table1[[#This Row],[EOQ]]</f>
        <v>3.4054294239361984</v>
      </c>
      <c r="AA46" s="94">
        <f>360/Table1[[#This Row],[Optimum No of Orders]]</f>
        <v>105.71354011027793</v>
      </c>
    </row>
    <row r="47" spans="1:27" x14ac:dyDescent="0.3">
      <c r="A47" s="4" t="s">
        <v>155</v>
      </c>
      <c r="B47" s="2" t="s">
        <v>99</v>
      </c>
      <c r="C47" s="3">
        <v>33.784138033065503</v>
      </c>
      <c r="D47" s="2">
        <v>1</v>
      </c>
      <c r="E47" s="2">
        <v>24</v>
      </c>
      <c r="F47" s="3">
        <v>5267.9568075105199</v>
      </c>
      <c r="G47" s="2" t="s">
        <v>55</v>
      </c>
      <c r="H47" s="2">
        <v>93</v>
      </c>
      <c r="I47" s="2">
        <v>7</v>
      </c>
      <c r="J47" s="2">
        <v>52</v>
      </c>
      <c r="K47" s="2">
        <v>6</v>
      </c>
      <c r="L47" s="2" t="s">
        <v>27</v>
      </c>
      <c r="M47" s="3">
        <v>5.2151550087119096</v>
      </c>
      <c r="N47" s="2" t="s">
        <v>61</v>
      </c>
      <c r="O47" s="2" t="s">
        <v>62</v>
      </c>
      <c r="P47" s="2">
        <v>25</v>
      </c>
      <c r="Q47" s="2">
        <v>794</v>
      </c>
      <c r="R47" s="2">
        <v>25</v>
      </c>
      <c r="S47" s="3">
        <v>66.312544439991598</v>
      </c>
      <c r="T47" s="2" t="s">
        <v>64</v>
      </c>
      <c r="U47" s="2">
        <v>3.2196046120841002</v>
      </c>
      <c r="V47" s="2" t="s">
        <v>47</v>
      </c>
      <c r="W47" s="2" t="s">
        <v>48</v>
      </c>
      <c r="X47" s="3">
        <v>495.30569702847299</v>
      </c>
      <c r="Y47" s="93">
        <f>SQRT((2*Table1[[#This Row],[Number Of Products Sold]]*Table1[[#This Row],[Costs]])/(0.3*Table1[[#This Row],[Price]]))</f>
        <v>48.432872970564532</v>
      </c>
      <c r="Z47" s="62">
        <f>Table1[[#This Row],[Number Of Products Sold]]/Table1[[#This Row],[EOQ]]</f>
        <v>0.4955312069673462</v>
      </c>
      <c r="AA47" s="94">
        <f>360/Table1[[#This Row],[Optimum No of Orders]]</f>
        <v>726.49309455846799</v>
      </c>
    </row>
    <row r="48" spans="1:27" x14ac:dyDescent="0.3">
      <c r="A48" s="4" t="s">
        <v>155</v>
      </c>
      <c r="B48" s="2" t="s">
        <v>100</v>
      </c>
      <c r="C48" s="3">
        <v>27.082207199888899</v>
      </c>
      <c r="D48" s="2">
        <v>75</v>
      </c>
      <c r="E48" s="2">
        <v>859</v>
      </c>
      <c r="F48" s="3">
        <v>2556.7673606335902</v>
      </c>
      <c r="G48" s="2" t="s">
        <v>160</v>
      </c>
      <c r="H48" s="2">
        <v>92</v>
      </c>
      <c r="I48" s="2">
        <v>29</v>
      </c>
      <c r="J48" s="2">
        <v>6</v>
      </c>
      <c r="K48" s="2">
        <v>8</v>
      </c>
      <c r="L48" s="2" t="s">
        <v>27</v>
      </c>
      <c r="M48" s="3">
        <v>4.0709558370840799</v>
      </c>
      <c r="N48" s="2" t="s">
        <v>28</v>
      </c>
      <c r="O48" s="2" t="s">
        <v>62</v>
      </c>
      <c r="P48" s="2">
        <v>18</v>
      </c>
      <c r="Q48" s="2">
        <v>870</v>
      </c>
      <c r="R48" s="2">
        <v>23</v>
      </c>
      <c r="S48" s="3">
        <v>77.322353211051606</v>
      </c>
      <c r="T48" s="2" t="s">
        <v>30</v>
      </c>
      <c r="U48" s="2">
        <v>3.6486105925361998</v>
      </c>
      <c r="V48" s="2" t="s">
        <v>31</v>
      </c>
      <c r="W48" s="2" t="s">
        <v>32</v>
      </c>
      <c r="X48" s="3">
        <v>380.43593711196399</v>
      </c>
      <c r="Y48" s="93">
        <f>SQRT((2*Table1[[#This Row],[Number Of Products Sold]]*Table1[[#This Row],[Costs]])/(0.3*Table1[[#This Row],[Price]]))</f>
        <v>283.62838471825216</v>
      </c>
      <c r="Z48" s="62">
        <f>Table1[[#This Row],[Number Of Products Sold]]/Table1[[#This Row],[EOQ]]</f>
        <v>3.0286108382745422</v>
      </c>
      <c r="AA48" s="94">
        <f>360/Table1[[#This Row],[Optimum No of Orders]]</f>
        <v>118.86637776317902</v>
      </c>
    </row>
    <row r="49" spans="1:27" x14ac:dyDescent="0.3">
      <c r="A49" s="4" t="s">
        <v>156</v>
      </c>
      <c r="B49" s="2" t="s">
        <v>101</v>
      </c>
      <c r="C49" s="3">
        <v>95.712135880936003</v>
      </c>
      <c r="D49" s="2">
        <v>93</v>
      </c>
      <c r="E49" s="2">
        <v>910</v>
      </c>
      <c r="F49" s="3">
        <v>7089.4742499341801</v>
      </c>
      <c r="G49" s="2" t="s">
        <v>55</v>
      </c>
      <c r="H49" s="2">
        <v>4</v>
      </c>
      <c r="I49" s="2">
        <v>15</v>
      </c>
      <c r="J49" s="2">
        <v>51</v>
      </c>
      <c r="K49" s="2">
        <v>9</v>
      </c>
      <c r="L49" s="2" t="s">
        <v>27</v>
      </c>
      <c r="M49" s="3">
        <v>8.9787507559499709</v>
      </c>
      <c r="N49" s="2" t="s">
        <v>39</v>
      </c>
      <c r="O49" s="2" t="s">
        <v>45</v>
      </c>
      <c r="P49" s="2">
        <v>10</v>
      </c>
      <c r="Q49" s="2">
        <v>964</v>
      </c>
      <c r="R49" s="2">
        <v>20</v>
      </c>
      <c r="S49" s="3">
        <v>19.7129929112936</v>
      </c>
      <c r="T49" s="2" t="s">
        <v>30</v>
      </c>
      <c r="U49" s="2">
        <v>0.38057358671321301</v>
      </c>
      <c r="V49" s="2" t="s">
        <v>47</v>
      </c>
      <c r="W49" s="2" t="s">
        <v>48</v>
      </c>
      <c r="X49" s="3">
        <v>581.60235505058597</v>
      </c>
      <c r="Y49" s="93">
        <f>SQRT((2*Table1[[#This Row],[Number Of Products Sold]]*Table1[[#This Row],[Costs]])/(0.3*Table1[[#This Row],[Price]]))</f>
        <v>192.00150851939713</v>
      </c>
      <c r="Z49" s="62">
        <f>Table1[[#This Row],[Number Of Products Sold]]/Table1[[#This Row],[EOQ]]</f>
        <v>4.739546095326987</v>
      </c>
      <c r="AA49" s="94">
        <f>360/Table1[[#This Row],[Optimum No of Orders]]</f>
        <v>75.95664073294833</v>
      </c>
    </row>
    <row r="50" spans="1:27" x14ac:dyDescent="0.3">
      <c r="A50" s="4" t="s">
        <v>155</v>
      </c>
      <c r="B50" s="2" t="s">
        <v>102</v>
      </c>
      <c r="C50" s="3">
        <v>76.035544426891704</v>
      </c>
      <c r="D50" s="2">
        <v>28</v>
      </c>
      <c r="E50" s="2">
        <v>29</v>
      </c>
      <c r="F50" s="3">
        <v>7397.0710045871801</v>
      </c>
      <c r="G50" s="2" t="s">
        <v>160</v>
      </c>
      <c r="H50" s="2">
        <v>30</v>
      </c>
      <c r="I50" s="2">
        <v>16</v>
      </c>
      <c r="J50" s="2">
        <v>9</v>
      </c>
      <c r="K50" s="2">
        <v>3</v>
      </c>
      <c r="L50" s="2" t="s">
        <v>43</v>
      </c>
      <c r="M50" s="3">
        <v>7.0958331565551296</v>
      </c>
      <c r="N50" s="2" t="s">
        <v>61</v>
      </c>
      <c r="O50" s="2" t="s">
        <v>29</v>
      </c>
      <c r="P50" s="2">
        <v>9</v>
      </c>
      <c r="Q50" s="2">
        <v>109</v>
      </c>
      <c r="R50" s="2">
        <v>18</v>
      </c>
      <c r="S50" s="3">
        <v>23.126363582464698</v>
      </c>
      <c r="T50" s="2" t="s">
        <v>46</v>
      </c>
      <c r="U50" s="2">
        <v>1.6981125407144</v>
      </c>
      <c r="V50" s="2" t="s">
        <v>47</v>
      </c>
      <c r="W50" s="2" t="s">
        <v>32</v>
      </c>
      <c r="X50" s="3">
        <v>768.65191395437</v>
      </c>
      <c r="Y50" s="93">
        <f>SQRT((2*Table1[[#This Row],[Number Of Products Sold]]*Table1[[#This Row],[Costs]])/(0.3*Table1[[#This Row],[Price]]))</f>
        <v>44.208919029888939</v>
      </c>
      <c r="Z50" s="62">
        <f>Table1[[#This Row],[Number Of Products Sold]]/Table1[[#This Row],[EOQ]]</f>
        <v>0.65597622914945208</v>
      </c>
      <c r="AA50" s="94">
        <f>360/Table1[[#This Row],[Optimum No of Orders]]</f>
        <v>548.80037416413859</v>
      </c>
    </row>
    <row r="51" spans="1:27" x14ac:dyDescent="0.3">
      <c r="A51" s="4" t="s">
        <v>157</v>
      </c>
      <c r="B51" s="2" t="s">
        <v>103</v>
      </c>
      <c r="C51" s="3">
        <v>78.897913205639995</v>
      </c>
      <c r="D51" s="2">
        <v>19</v>
      </c>
      <c r="E51" s="2">
        <v>99</v>
      </c>
      <c r="F51" s="3">
        <v>8001.6132065190004</v>
      </c>
      <c r="G51" s="2" t="s">
        <v>38</v>
      </c>
      <c r="H51" s="2">
        <v>97</v>
      </c>
      <c r="I51" s="2">
        <v>24</v>
      </c>
      <c r="J51" s="2">
        <v>9</v>
      </c>
      <c r="K51" s="2">
        <v>6</v>
      </c>
      <c r="L51" s="2" t="s">
        <v>43</v>
      </c>
      <c r="M51" s="3">
        <v>2.5056210329009101</v>
      </c>
      <c r="N51" s="2" t="s">
        <v>44</v>
      </c>
      <c r="O51" s="2" t="s">
        <v>50</v>
      </c>
      <c r="P51" s="2">
        <v>28</v>
      </c>
      <c r="Q51" s="2">
        <v>177</v>
      </c>
      <c r="R51" s="2">
        <v>28</v>
      </c>
      <c r="S51" s="3">
        <v>14.1478154439792</v>
      </c>
      <c r="T51" s="2" t="s">
        <v>64</v>
      </c>
      <c r="U51" s="2">
        <v>2.8258139854001301</v>
      </c>
      <c r="V51" s="2" t="s">
        <v>47</v>
      </c>
      <c r="W51" s="2" t="s">
        <v>48</v>
      </c>
      <c r="X51" s="3">
        <v>336.89016851997701</v>
      </c>
      <c r="Y51" s="93">
        <f>SQRT((2*Table1[[#This Row],[Number Of Products Sold]]*Table1[[#This Row],[Costs]])/(0.3*Table1[[#This Row],[Price]]))</f>
        <v>53.086412583600584</v>
      </c>
      <c r="Z51" s="62">
        <f>Table1[[#This Row],[Number Of Products Sold]]/Table1[[#This Row],[EOQ]]</f>
        <v>1.864883972788604</v>
      </c>
      <c r="AA51" s="94">
        <f>360/Table1[[#This Row],[Optimum No of Orders]]</f>
        <v>193.04150030400214</v>
      </c>
    </row>
    <row r="52" spans="1:27" x14ac:dyDescent="0.3">
      <c r="A52" s="4" t="s">
        <v>157</v>
      </c>
      <c r="B52" s="2" t="s">
        <v>104</v>
      </c>
      <c r="C52" s="3">
        <v>14.203484264803</v>
      </c>
      <c r="D52" s="2">
        <v>91</v>
      </c>
      <c r="E52" s="2">
        <v>633</v>
      </c>
      <c r="F52" s="3">
        <v>5910.8853896688897</v>
      </c>
      <c r="G52" s="2" t="s">
        <v>35</v>
      </c>
      <c r="H52" s="2">
        <v>31</v>
      </c>
      <c r="I52" s="2">
        <v>23</v>
      </c>
      <c r="J52" s="2">
        <v>82</v>
      </c>
      <c r="K52" s="2">
        <v>10</v>
      </c>
      <c r="L52" s="2" t="s">
        <v>36</v>
      </c>
      <c r="M52" s="3">
        <v>6.2478609149759903</v>
      </c>
      <c r="N52" s="2" t="s">
        <v>61</v>
      </c>
      <c r="O52" s="2" t="s">
        <v>50</v>
      </c>
      <c r="P52" s="2">
        <v>20</v>
      </c>
      <c r="Q52" s="2">
        <v>306</v>
      </c>
      <c r="R52" s="2">
        <v>21</v>
      </c>
      <c r="S52" s="3">
        <v>45.178757924634503</v>
      </c>
      <c r="T52" s="2" t="s">
        <v>46</v>
      </c>
      <c r="U52" s="2">
        <v>4.7548008046711798</v>
      </c>
      <c r="V52" s="2" t="s">
        <v>47</v>
      </c>
      <c r="W52" s="2" t="s">
        <v>32</v>
      </c>
      <c r="X52" s="3">
        <v>496.24865029194001</v>
      </c>
      <c r="Y52" s="93">
        <f>SQRT((2*Table1[[#This Row],[Number Of Products Sold]]*Table1[[#This Row],[Costs]])/(0.3*Table1[[#This Row],[Price]]))</f>
        <v>383.97986141156377</v>
      </c>
      <c r="Z52" s="62">
        <f>Table1[[#This Row],[Number Of Products Sold]]/Table1[[#This Row],[EOQ]]</f>
        <v>1.6485239555871585</v>
      </c>
      <c r="AA52" s="94">
        <f>360/Table1[[#This Row],[Optimum No of Orders]]</f>
        <v>218.37717236676613</v>
      </c>
    </row>
    <row r="53" spans="1:27" x14ac:dyDescent="0.3">
      <c r="A53" s="4" t="s">
        <v>155</v>
      </c>
      <c r="B53" s="2" t="s">
        <v>105</v>
      </c>
      <c r="C53" s="3">
        <v>26.700760972461701</v>
      </c>
      <c r="D53" s="2">
        <v>61</v>
      </c>
      <c r="E53" s="2">
        <v>154</v>
      </c>
      <c r="F53" s="3">
        <v>9866.4654579796897</v>
      </c>
      <c r="G53" s="2" t="s">
        <v>55</v>
      </c>
      <c r="H53" s="2">
        <v>100</v>
      </c>
      <c r="I53" s="2">
        <v>4</v>
      </c>
      <c r="J53" s="2">
        <v>52</v>
      </c>
      <c r="K53" s="2">
        <v>1</v>
      </c>
      <c r="L53" s="2" t="s">
        <v>36</v>
      </c>
      <c r="M53" s="3">
        <v>4.78300055794766</v>
      </c>
      <c r="N53" s="2" t="s">
        <v>44</v>
      </c>
      <c r="O53" s="2" t="s">
        <v>53</v>
      </c>
      <c r="P53" s="2">
        <v>18</v>
      </c>
      <c r="Q53" s="2">
        <v>673</v>
      </c>
      <c r="R53" s="2">
        <v>28</v>
      </c>
      <c r="S53" s="3">
        <v>14.190328344569901</v>
      </c>
      <c r="T53" s="2" t="s">
        <v>30</v>
      </c>
      <c r="U53" s="2">
        <v>1.77295117208355</v>
      </c>
      <c r="V53" s="2" t="s">
        <v>31</v>
      </c>
      <c r="W53" s="2" t="s">
        <v>48</v>
      </c>
      <c r="X53" s="3">
        <v>694.98231757944495</v>
      </c>
      <c r="Y53" s="93">
        <f>SQRT((2*Table1[[#This Row],[Number Of Products Sold]]*Table1[[#This Row],[Costs]])/(0.3*Table1[[#This Row],[Price]]))</f>
        <v>163.47064978157408</v>
      </c>
      <c r="Z53" s="62">
        <f>Table1[[#This Row],[Number Of Products Sold]]/Table1[[#This Row],[EOQ]]</f>
        <v>0.94206513649864021</v>
      </c>
      <c r="AA53" s="94">
        <f>360/Table1[[#This Row],[Optimum No of Orders]]</f>
        <v>382.13918130757577</v>
      </c>
    </row>
    <row r="54" spans="1:27" x14ac:dyDescent="0.3">
      <c r="A54" s="4" t="s">
        <v>156</v>
      </c>
      <c r="B54" s="2" t="s">
        <v>106</v>
      </c>
      <c r="C54" s="3">
        <v>98.031829656465007</v>
      </c>
      <c r="D54" s="2">
        <v>1</v>
      </c>
      <c r="E54" s="2">
        <v>820</v>
      </c>
      <c r="F54" s="3">
        <v>9435.7626089121295</v>
      </c>
      <c r="G54" s="2" t="s">
        <v>55</v>
      </c>
      <c r="H54" s="2">
        <v>64</v>
      </c>
      <c r="I54" s="2">
        <v>11</v>
      </c>
      <c r="J54" s="2">
        <v>11</v>
      </c>
      <c r="K54" s="2">
        <v>1</v>
      </c>
      <c r="L54" s="2" t="s">
        <v>27</v>
      </c>
      <c r="M54" s="3">
        <v>8.6310521797689397</v>
      </c>
      <c r="N54" s="2" t="s">
        <v>39</v>
      </c>
      <c r="O54" s="2" t="s">
        <v>29</v>
      </c>
      <c r="P54" s="2">
        <v>10</v>
      </c>
      <c r="Q54" s="2">
        <v>727</v>
      </c>
      <c r="R54" s="2">
        <v>27</v>
      </c>
      <c r="S54" s="3">
        <v>9.1668491485971497</v>
      </c>
      <c r="T54" s="2" t="s">
        <v>30</v>
      </c>
      <c r="U54" s="2">
        <v>2.1224716191438202</v>
      </c>
      <c r="V54" s="2" t="s">
        <v>40</v>
      </c>
      <c r="W54" s="2" t="s">
        <v>41</v>
      </c>
      <c r="X54" s="3">
        <v>602.89849883838303</v>
      </c>
      <c r="Y54" s="93">
        <f>SQRT((2*Table1[[#This Row],[Number Of Products Sold]]*Table1[[#This Row],[Costs]])/(0.3*Table1[[#This Row],[Price]]))</f>
        <v>183.35799179106661</v>
      </c>
      <c r="Z54" s="62">
        <f>Table1[[#This Row],[Number Of Products Sold]]/Table1[[#This Row],[EOQ]]</f>
        <v>4.4721257687768334</v>
      </c>
      <c r="AA54" s="94">
        <f>360/Table1[[#This Row],[Optimum No of Orders]]</f>
        <v>80.498630542419477</v>
      </c>
    </row>
    <row r="55" spans="1:27" x14ac:dyDescent="0.3">
      <c r="A55" s="4" t="s">
        <v>156</v>
      </c>
      <c r="B55" s="2" t="s">
        <v>107</v>
      </c>
      <c r="C55" s="3">
        <v>30.3414707112142</v>
      </c>
      <c r="D55" s="2">
        <v>93</v>
      </c>
      <c r="E55" s="2">
        <v>242</v>
      </c>
      <c r="F55" s="3">
        <v>8232.3348294258194</v>
      </c>
      <c r="G55" s="2" t="s">
        <v>55</v>
      </c>
      <c r="H55" s="2">
        <v>96</v>
      </c>
      <c r="I55" s="2">
        <v>25</v>
      </c>
      <c r="J55" s="2">
        <v>54</v>
      </c>
      <c r="K55" s="2">
        <v>3</v>
      </c>
      <c r="L55" s="2" t="s">
        <v>27</v>
      </c>
      <c r="M55" s="3">
        <v>1.0134865660958901</v>
      </c>
      <c r="N55" s="2" t="s">
        <v>39</v>
      </c>
      <c r="O55" s="2" t="s">
        <v>50</v>
      </c>
      <c r="P55" s="2">
        <v>1</v>
      </c>
      <c r="Q55" s="2">
        <v>631</v>
      </c>
      <c r="R55" s="2">
        <v>17</v>
      </c>
      <c r="S55" s="3">
        <v>83.344058991677898</v>
      </c>
      <c r="T55" s="2" t="s">
        <v>30</v>
      </c>
      <c r="U55" s="2">
        <v>1.41034757607602</v>
      </c>
      <c r="V55" s="2" t="s">
        <v>40</v>
      </c>
      <c r="W55" s="2" t="s">
        <v>32</v>
      </c>
      <c r="X55" s="3">
        <v>750.73784066827</v>
      </c>
      <c r="Y55" s="93">
        <f>SQRT((2*Table1[[#This Row],[Number Of Products Sold]]*Table1[[#This Row],[Costs]])/(0.3*Table1[[#This Row],[Price]]))</f>
        <v>199.79650772861365</v>
      </c>
      <c r="Z55" s="62">
        <f>Table1[[#This Row],[Number Of Products Sold]]/Table1[[#This Row],[EOQ]]</f>
        <v>1.211232382143095</v>
      </c>
      <c r="AA55" s="94">
        <f>360/Table1[[#This Row],[Optimum No of Orders]]</f>
        <v>297.2179453814087</v>
      </c>
    </row>
    <row r="56" spans="1:27" x14ac:dyDescent="0.3">
      <c r="A56" s="4" t="s">
        <v>155</v>
      </c>
      <c r="B56" s="2" t="s">
        <v>108</v>
      </c>
      <c r="C56" s="3">
        <v>31.1462431602408</v>
      </c>
      <c r="D56" s="2">
        <v>11</v>
      </c>
      <c r="E56" s="2">
        <v>622</v>
      </c>
      <c r="F56" s="3">
        <v>6088.0214799408504</v>
      </c>
      <c r="G56" s="2" t="s">
        <v>160</v>
      </c>
      <c r="H56" s="2">
        <v>33</v>
      </c>
      <c r="I56" s="2">
        <v>22</v>
      </c>
      <c r="J56" s="2">
        <v>61</v>
      </c>
      <c r="K56" s="2">
        <v>3</v>
      </c>
      <c r="L56" s="2" t="s">
        <v>27</v>
      </c>
      <c r="M56" s="3">
        <v>4.3051034712876302</v>
      </c>
      <c r="N56" s="2" t="s">
        <v>39</v>
      </c>
      <c r="O56" s="2" t="s">
        <v>45</v>
      </c>
      <c r="P56" s="2">
        <v>26</v>
      </c>
      <c r="Q56" s="2">
        <v>497</v>
      </c>
      <c r="R56" s="2">
        <v>29</v>
      </c>
      <c r="S56" s="3">
        <v>30.186023375822501</v>
      </c>
      <c r="T56" s="2" t="s">
        <v>64</v>
      </c>
      <c r="U56" s="2">
        <v>2.4787719755397402</v>
      </c>
      <c r="V56" s="2" t="s">
        <v>31</v>
      </c>
      <c r="W56" s="2" t="s">
        <v>32</v>
      </c>
      <c r="X56" s="3">
        <v>814.06999658218695</v>
      </c>
      <c r="Y56" s="93">
        <f>SQRT((2*Table1[[#This Row],[Number Of Products Sold]]*Table1[[#This Row],[Costs]])/(0.3*Table1[[#This Row],[Price]]))</f>
        <v>329.21347444155242</v>
      </c>
      <c r="Z56" s="62">
        <f>Table1[[#This Row],[Number Of Products Sold]]/Table1[[#This Row],[EOQ]]</f>
        <v>1.8893515857912675</v>
      </c>
      <c r="AA56" s="94">
        <f>360/Table1[[#This Row],[Optimum No of Orders]]</f>
        <v>190.54156077003034</v>
      </c>
    </row>
    <row r="57" spans="1:27" x14ac:dyDescent="0.3">
      <c r="A57" s="4" t="s">
        <v>155</v>
      </c>
      <c r="B57" s="2" t="s">
        <v>109</v>
      </c>
      <c r="C57" s="3">
        <v>79.855058340789398</v>
      </c>
      <c r="D57" s="2">
        <v>16</v>
      </c>
      <c r="E57" s="2">
        <v>701</v>
      </c>
      <c r="F57" s="3">
        <v>2925.6751703038099</v>
      </c>
      <c r="G57" s="2" t="s">
        <v>55</v>
      </c>
      <c r="H57" s="2">
        <v>97</v>
      </c>
      <c r="I57" s="2">
        <v>11</v>
      </c>
      <c r="J57" s="2">
        <v>11</v>
      </c>
      <c r="K57" s="2">
        <v>5</v>
      </c>
      <c r="L57" s="2" t="s">
        <v>36</v>
      </c>
      <c r="M57" s="3">
        <v>5.0143649550309002</v>
      </c>
      <c r="N57" s="2" t="s">
        <v>61</v>
      </c>
      <c r="O57" s="2" t="s">
        <v>50</v>
      </c>
      <c r="P57" s="2">
        <v>27</v>
      </c>
      <c r="Q57" s="2">
        <v>918</v>
      </c>
      <c r="R57" s="2">
        <v>5</v>
      </c>
      <c r="S57" s="3">
        <v>30.323545256616502</v>
      </c>
      <c r="T57" s="2" t="s">
        <v>46</v>
      </c>
      <c r="U57" s="2">
        <v>4.5489196593963799</v>
      </c>
      <c r="V57" s="2" t="s">
        <v>56</v>
      </c>
      <c r="W57" s="2" t="s">
        <v>32</v>
      </c>
      <c r="X57" s="3">
        <v>323.01292795247798</v>
      </c>
      <c r="Y57" s="93">
        <f>SQRT((2*Table1[[#This Row],[Number Of Products Sold]]*Table1[[#This Row],[Costs]])/(0.3*Table1[[#This Row],[Price]]))</f>
        <v>137.49031786985719</v>
      </c>
      <c r="Z57" s="62">
        <f>Table1[[#This Row],[Number Of Products Sold]]/Table1[[#This Row],[EOQ]]</f>
        <v>5.0985408344428906</v>
      </c>
      <c r="AA57" s="94">
        <f>360/Table1[[#This Row],[Optimum No of Orders]]</f>
        <v>70.608437137159186</v>
      </c>
    </row>
    <row r="58" spans="1:27" x14ac:dyDescent="0.3">
      <c r="A58" s="4" t="s">
        <v>156</v>
      </c>
      <c r="B58" s="2" t="s">
        <v>110</v>
      </c>
      <c r="C58" s="3">
        <v>20.9863860370433</v>
      </c>
      <c r="D58" s="2">
        <v>90</v>
      </c>
      <c r="E58" s="2">
        <v>93</v>
      </c>
      <c r="F58" s="3">
        <v>4767.0204843441297</v>
      </c>
      <c r="G58" s="2" t="s">
        <v>160</v>
      </c>
      <c r="H58" s="2">
        <v>25</v>
      </c>
      <c r="I58" s="2">
        <v>23</v>
      </c>
      <c r="J58" s="2">
        <v>83</v>
      </c>
      <c r="K58" s="2">
        <v>5</v>
      </c>
      <c r="L58" s="2" t="s">
        <v>43</v>
      </c>
      <c r="M58" s="3">
        <v>1.77442971407173</v>
      </c>
      <c r="N58" s="2" t="s">
        <v>39</v>
      </c>
      <c r="O58" s="2" t="s">
        <v>29</v>
      </c>
      <c r="P58" s="2">
        <v>24</v>
      </c>
      <c r="Q58" s="2">
        <v>826</v>
      </c>
      <c r="R58" s="2">
        <v>28</v>
      </c>
      <c r="S58" s="3">
        <v>12.8362845728327</v>
      </c>
      <c r="T58" s="2" t="s">
        <v>64</v>
      </c>
      <c r="U58" s="2">
        <v>1.1737554953874501</v>
      </c>
      <c r="V58" s="2" t="s">
        <v>40</v>
      </c>
      <c r="W58" s="2" t="s">
        <v>32</v>
      </c>
      <c r="X58" s="3">
        <v>832.210808706021</v>
      </c>
      <c r="Y58" s="93">
        <f>SQRT((2*Table1[[#This Row],[Number Of Products Sold]]*Table1[[#This Row],[Costs]])/(0.3*Table1[[#This Row],[Price]]))</f>
        <v>156.79914569601979</v>
      </c>
      <c r="Z58" s="62">
        <f>Table1[[#This Row],[Number Of Products Sold]]/Table1[[#This Row],[EOQ]]</f>
        <v>0.59311547640887896</v>
      </c>
      <c r="AA58" s="94">
        <f>360/Table1[[#This Row],[Optimum No of Orders]]</f>
        <v>606.96443495233461</v>
      </c>
    </row>
    <row r="59" spans="1:27" x14ac:dyDescent="0.3">
      <c r="A59" s="4" t="s">
        <v>155</v>
      </c>
      <c r="B59" s="2" t="s">
        <v>111</v>
      </c>
      <c r="C59" s="3">
        <v>49.263205350734097</v>
      </c>
      <c r="D59" s="2">
        <v>65</v>
      </c>
      <c r="E59" s="2">
        <v>227</v>
      </c>
      <c r="F59" s="3">
        <v>1605.8669003924001</v>
      </c>
      <c r="G59" s="2" t="s">
        <v>38</v>
      </c>
      <c r="H59" s="2">
        <v>5</v>
      </c>
      <c r="I59" s="2">
        <v>18</v>
      </c>
      <c r="J59" s="2">
        <v>51</v>
      </c>
      <c r="K59" s="2">
        <v>1</v>
      </c>
      <c r="L59" s="2" t="s">
        <v>27</v>
      </c>
      <c r="M59" s="3">
        <v>9.1605585353818704</v>
      </c>
      <c r="N59" s="2" t="s">
        <v>61</v>
      </c>
      <c r="O59" s="2" t="s">
        <v>50</v>
      </c>
      <c r="P59" s="2">
        <v>21</v>
      </c>
      <c r="Q59" s="2">
        <v>588</v>
      </c>
      <c r="R59" s="2">
        <v>25</v>
      </c>
      <c r="S59" s="3">
        <v>67.779622987078099</v>
      </c>
      <c r="T59" s="2" t="s">
        <v>30</v>
      </c>
      <c r="U59" s="2">
        <v>2.5111748302126999</v>
      </c>
      <c r="V59" s="2" t="s">
        <v>47</v>
      </c>
      <c r="W59" s="2" t="s">
        <v>48</v>
      </c>
      <c r="X59" s="3">
        <v>482.19123860252802</v>
      </c>
      <c r="Y59" s="93">
        <f>SQRT((2*Table1[[#This Row],[Number Of Products Sold]]*Table1[[#This Row],[Costs]])/(0.3*Table1[[#This Row],[Price]]))</f>
        <v>121.70701850151119</v>
      </c>
      <c r="Z59" s="62">
        <f>Table1[[#This Row],[Number Of Products Sold]]/Table1[[#This Row],[EOQ]]</f>
        <v>1.8651348360586242</v>
      </c>
      <c r="AA59" s="94">
        <f>360/Table1[[#This Row],[Optimum No of Orders]]</f>
        <v>193.01553594953316</v>
      </c>
    </row>
    <row r="60" spans="1:27" x14ac:dyDescent="0.3">
      <c r="A60" s="4" t="s">
        <v>156</v>
      </c>
      <c r="B60" s="2" t="s">
        <v>112</v>
      </c>
      <c r="C60" s="3">
        <v>59.841561377289302</v>
      </c>
      <c r="D60" s="2">
        <v>81</v>
      </c>
      <c r="E60" s="2">
        <v>896</v>
      </c>
      <c r="F60" s="3">
        <v>2021.1498103371</v>
      </c>
      <c r="G60" s="2" t="s">
        <v>160</v>
      </c>
      <c r="H60" s="2">
        <v>10</v>
      </c>
      <c r="I60" s="2">
        <v>5</v>
      </c>
      <c r="J60" s="2">
        <v>44</v>
      </c>
      <c r="K60" s="2">
        <v>7</v>
      </c>
      <c r="L60" s="2" t="s">
        <v>36</v>
      </c>
      <c r="M60" s="3">
        <v>4.9384385647120901</v>
      </c>
      <c r="N60" s="2" t="s">
        <v>28</v>
      </c>
      <c r="O60" s="2" t="s">
        <v>50</v>
      </c>
      <c r="P60" s="2">
        <v>18</v>
      </c>
      <c r="Q60" s="2">
        <v>396</v>
      </c>
      <c r="R60" s="2">
        <v>7</v>
      </c>
      <c r="S60" s="3">
        <v>65.047415094691402</v>
      </c>
      <c r="T60" s="2" t="s">
        <v>46</v>
      </c>
      <c r="U60" s="2">
        <v>1.7303747198591899</v>
      </c>
      <c r="V60" s="2" t="s">
        <v>31</v>
      </c>
      <c r="W60" s="2" t="s">
        <v>32</v>
      </c>
      <c r="X60" s="3">
        <v>110.364335231364</v>
      </c>
      <c r="Y60" s="93">
        <f>SQRT((2*Table1[[#This Row],[Number Of Products Sold]]*Table1[[#This Row],[Costs]])/(0.3*Table1[[#This Row],[Price]]))</f>
        <v>104.95938875771772</v>
      </c>
      <c r="Z60" s="62">
        <f>Table1[[#This Row],[Number Of Products Sold]]/Table1[[#This Row],[EOQ]]</f>
        <v>8.536635079576115</v>
      </c>
      <c r="AA60" s="94">
        <f>360/Table1[[#This Row],[Optimum No of Orders]]</f>
        <v>42.171182983011583</v>
      </c>
    </row>
    <row r="61" spans="1:27" x14ac:dyDescent="0.3">
      <c r="A61" s="4" t="s">
        <v>157</v>
      </c>
      <c r="B61" s="2" t="s">
        <v>113</v>
      </c>
      <c r="C61" s="3">
        <v>63.828398347710902</v>
      </c>
      <c r="D61" s="2">
        <v>30</v>
      </c>
      <c r="E61" s="2">
        <v>484</v>
      </c>
      <c r="F61" s="3">
        <v>1061.6185230132801</v>
      </c>
      <c r="G61" s="2" t="s">
        <v>160</v>
      </c>
      <c r="H61" s="2">
        <v>100</v>
      </c>
      <c r="I61" s="2">
        <v>16</v>
      </c>
      <c r="J61" s="2">
        <v>26</v>
      </c>
      <c r="K61" s="2">
        <v>7</v>
      </c>
      <c r="L61" s="2" t="s">
        <v>27</v>
      </c>
      <c r="M61" s="3">
        <v>7.2937225968677204</v>
      </c>
      <c r="N61" s="2" t="s">
        <v>39</v>
      </c>
      <c r="O61" s="2" t="s">
        <v>45</v>
      </c>
      <c r="P61" s="2">
        <v>11</v>
      </c>
      <c r="Q61" s="2">
        <v>176</v>
      </c>
      <c r="R61" s="2">
        <v>4</v>
      </c>
      <c r="S61" s="3">
        <v>1.90076224351945</v>
      </c>
      <c r="T61" s="2" t="s">
        <v>46</v>
      </c>
      <c r="U61" s="2">
        <v>0.44719401546382298</v>
      </c>
      <c r="V61" s="2" t="s">
        <v>40</v>
      </c>
      <c r="W61" s="2" t="s">
        <v>48</v>
      </c>
      <c r="X61" s="3">
        <v>312.57427361009297</v>
      </c>
      <c r="Y61" s="93">
        <f>SQRT((2*Table1[[#This Row],[Number Of Products Sold]]*Table1[[#This Row],[Costs]])/(0.3*Table1[[#This Row],[Price]]))</f>
        <v>125.70330409395962</v>
      </c>
      <c r="Z61" s="62">
        <f>Table1[[#This Row],[Number Of Products Sold]]/Table1[[#This Row],[EOQ]]</f>
        <v>3.8503363415031946</v>
      </c>
      <c r="AA61" s="94">
        <f>360/Table1[[#This Row],[Optimum No of Orders]]</f>
        <v>93.498325359143507</v>
      </c>
    </row>
    <row r="62" spans="1:27" x14ac:dyDescent="0.3">
      <c r="A62" s="4" t="s">
        <v>156</v>
      </c>
      <c r="B62" s="2" t="s">
        <v>114</v>
      </c>
      <c r="C62" s="3">
        <v>17.028027920188698</v>
      </c>
      <c r="D62" s="2">
        <v>16</v>
      </c>
      <c r="E62" s="2">
        <v>380</v>
      </c>
      <c r="F62" s="3">
        <v>8864.0843495864301</v>
      </c>
      <c r="G62" s="2" t="s">
        <v>35</v>
      </c>
      <c r="H62" s="2">
        <v>41</v>
      </c>
      <c r="I62" s="2">
        <v>27</v>
      </c>
      <c r="J62" s="2">
        <v>72</v>
      </c>
      <c r="K62" s="2">
        <v>8</v>
      </c>
      <c r="L62" s="2" t="s">
        <v>43</v>
      </c>
      <c r="M62" s="3">
        <v>4.3813681581023101</v>
      </c>
      <c r="N62" s="2" t="s">
        <v>52</v>
      </c>
      <c r="O62" s="2" t="s">
        <v>29</v>
      </c>
      <c r="P62" s="2">
        <v>29</v>
      </c>
      <c r="Q62" s="2">
        <v>929</v>
      </c>
      <c r="R62" s="2">
        <v>24</v>
      </c>
      <c r="S62" s="3">
        <v>87.213057815135599</v>
      </c>
      <c r="T62" s="2" t="s">
        <v>46</v>
      </c>
      <c r="U62" s="2">
        <v>2.8530906166490499</v>
      </c>
      <c r="V62" s="2" t="s">
        <v>47</v>
      </c>
      <c r="W62" s="2" t="s">
        <v>48</v>
      </c>
      <c r="X62" s="3">
        <v>430.16909697513597</v>
      </c>
      <c r="Y62" s="93">
        <f>SQRT((2*Table1[[#This Row],[Number Of Products Sold]]*Table1[[#This Row],[Costs]])/(0.3*Table1[[#This Row],[Price]]))</f>
        <v>252.97848992950898</v>
      </c>
      <c r="Z62" s="62">
        <f>Table1[[#This Row],[Number Of Products Sold]]/Table1[[#This Row],[EOQ]]</f>
        <v>1.502103993528797</v>
      </c>
      <c r="AA62" s="94">
        <f>360/Table1[[#This Row],[Optimum No of Orders]]</f>
        <v>239.66383256479799</v>
      </c>
    </row>
    <row r="63" spans="1:27" x14ac:dyDescent="0.3">
      <c r="A63" s="4" t="s">
        <v>155</v>
      </c>
      <c r="B63" s="2" t="s">
        <v>115</v>
      </c>
      <c r="C63" s="3">
        <v>52.028749903294901</v>
      </c>
      <c r="D63" s="2">
        <v>23</v>
      </c>
      <c r="E63" s="2">
        <v>117</v>
      </c>
      <c r="F63" s="3">
        <v>6885.5893508962499</v>
      </c>
      <c r="G63" s="2" t="s">
        <v>38</v>
      </c>
      <c r="H63" s="2">
        <v>32</v>
      </c>
      <c r="I63" s="2">
        <v>23</v>
      </c>
      <c r="J63" s="2">
        <v>36</v>
      </c>
      <c r="K63" s="2">
        <v>7</v>
      </c>
      <c r="L63" s="2" t="s">
        <v>43</v>
      </c>
      <c r="M63" s="3">
        <v>9.0303404225219399</v>
      </c>
      <c r="N63" s="2" t="s">
        <v>52</v>
      </c>
      <c r="O63" s="2" t="s">
        <v>45</v>
      </c>
      <c r="P63" s="2">
        <v>14</v>
      </c>
      <c r="Q63" s="2">
        <v>480</v>
      </c>
      <c r="R63" s="2">
        <v>12</v>
      </c>
      <c r="S63" s="3">
        <v>78.702393968878894</v>
      </c>
      <c r="T63" s="2" t="s">
        <v>46</v>
      </c>
      <c r="U63" s="2">
        <v>4.3674705382050503</v>
      </c>
      <c r="V63" s="2" t="s">
        <v>40</v>
      </c>
      <c r="W63" s="2" t="s">
        <v>48</v>
      </c>
      <c r="X63" s="3">
        <v>164.366528243419</v>
      </c>
      <c r="Y63" s="93">
        <f>SQRT((2*Table1[[#This Row],[Number Of Products Sold]]*Table1[[#This Row],[Costs]])/(0.3*Table1[[#This Row],[Price]]))</f>
        <v>49.640059887156525</v>
      </c>
      <c r="Z63" s="62">
        <f>Table1[[#This Row],[Number Of Products Sold]]/Table1[[#This Row],[EOQ]]</f>
        <v>2.3569673418196593</v>
      </c>
      <c r="AA63" s="94">
        <f>360/Table1[[#This Row],[Optimum No of Orders]]</f>
        <v>152.73864580663545</v>
      </c>
    </row>
    <row r="64" spans="1:27" x14ac:dyDescent="0.3">
      <c r="A64" s="4" t="s">
        <v>157</v>
      </c>
      <c r="B64" s="2" t="s">
        <v>116</v>
      </c>
      <c r="C64" s="3">
        <v>72.796353955587307</v>
      </c>
      <c r="D64" s="2">
        <v>89</v>
      </c>
      <c r="E64" s="2">
        <v>270</v>
      </c>
      <c r="F64" s="3">
        <v>3899.7468337292198</v>
      </c>
      <c r="G64" s="2" t="s">
        <v>38</v>
      </c>
      <c r="H64" s="2">
        <v>86</v>
      </c>
      <c r="I64" s="2">
        <v>2</v>
      </c>
      <c r="J64" s="2">
        <v>40</v>
      </c>
      <c r="K64" s="2">
        <v>7</v>
      </c>
      <c r="L64" s="2" t="s">
        <v>43</v>
      </c>
      <c r="M64" s="3">
        <v>7.2917013887767697</v>
      </c>
      <c r="N64" s="2" t="s">
        <v>61</v>
      </c>
      <c r="O64" s="2" t="s">
        <v>29</v>
      </c>
      <c r="P64" s="2">
        <v>13</v>
      </c>
      <c r="Q64" s="2">
        <v>751</v>
      </c>
      <c r="R64" s="2">
        <v>14</v>
      </c>
      <c r="S64" s="3">
        <v>21.048642725168602</v>
      </c>
      <c r="T64" s="2" t="s">
        <v>64</v>
      </c>
      <c r="U64" s="2">
        <v>1.87400140404437</v>
      </c>
      <c r="V64" s="2" t="s">
        <v>56</v>
      </c>
      <c r="W64" s="2" t="s">
        <v>41</v>
      </c>
      <c r="X64" s="3">
        <v>320.84651575911101</v>
      </c>
      <c r="Y64" s="93">
        <f>SQRT((2*Table1[[#This Row],[Number Of Products Sold]]*Table1[[#This Row],[Costs]])/(0.3*Table1[[#This Row],[Price]]))</f>
        <v>89.069723117694977</v>
      </c>
      <c r="Z64" s="62">
        <f>Table1[[#This Row],[Number Of Products Sold]]/Table1[[#This Row],[EOQ]]</f>
        <v>3.0313331011844205</v>
      </c>
      <c r="AA64" s="94">
        <f>360/Table1[[#This Row],[Optimum No of Orders]]</f>
        <v>118.75963082359331</v>
      </c>
    </row>
    <row r="65" spans="1:27" x14ac:dyDescent="0.3">
      <c r="A65" s="4" t="s">
        <v>156</v>
      </c>
      <c r="B65" s="2" t="s">
        <v>117</v>
      </c>
      <c r="C65" s="3">
        <v>13.0173767852878</v>
      </c>
      <c r="D65" s="2">
        <v>55</v>
      </c>
      <c r="E65" s="2">
        <v>246</v>
      </c>
      <c r="F65" s="3">
        <v>4256.9491408502199</v>
      </c>
      <c r="G65" s="2" t="s">
        <v>160</v>
      </c>
      <c r="H65" s="2">
        <v>54</v>
      </c>
      <c r="I65" s="2">
        <v>19</v>
      </c>
      <c r="J65" s="2">
        <v>10</v>
      </c>
      <c r="K65" s="2">
        <v>4</v>
      </c>
      <c r="L65" s="2" t="s">
        <v>36</v>
      </c>
      <c r="M65" s="3">
        <v>2.45793352798733</v>
      </c>
      <c r="N65" s="2" t="s">
        <v>28</v>
      </c>
      <c r="O65" s="2" t="s">
        <v>53</v>
      </c>
      <c r="P65" s="2">
        <v>18</v>
      </c>
      <c r="Q65" s="2">
        <v>736</v>
      </c>
      <c r="R65" s="2">
        <v>10</v>
      </c>
      <c r="S65" s="3">
        <v>20.075003975630398</v>
      </c>
      <c r="T65" s="2" t="s">
        <v>30</v>
      </c>
      <c r="U65" s="2">
        <v>3.6328432903821302</v>
      </c>
      <c r="V65" s="2" t="s">
        <v>56</v>
      </c>
      <c r="W65" s="2" t="s">
        <v>48</v>
      </c>
      <c r="X65" s="3">
        <v>687.28617786641701</v>
      </c>
      <c r="Y65" s="93">
        <f>SQRT((2*Table1[[#This Row],[Number Of Products Sold]]*Table1[[#This Row],[Costs]])/(0.3*Table1[[#This Row],[Price]]))</f>
        <v>294.25848261321698</v>
      </c>
      <c r="Z65" s="62">
        <f>Table1[[#This Row],[Number Of Products Sold]]/Table1[[#This Row],[EOQ]]</f>
        <v>0.83599968916903067</v>
      </c>
      <c r="AA65" s="94">
        <f>360/Table1[[#This Row],[Optimum No of Orders]]</f>
        <v>430.6221696778785</v>
      </c>
    </row>
    <row r="66" spans="1:27" x14ac:dyDescent="0.3">
      <c r="A66" s="4" t="s">
        <v>156</v>
      </c>
      <c r="B66" s="2" t="s">
        <v>118</v>
      </c>
      <c r="C66" s="3">
        <v>89.634095608135297</v>
      </c>
      <c r="D66" s="2">
        <v>11</v>
      </c>
      <c r="E66" s="2">
        <v>134</v>
      </c>
      <c r="F66" s="3">
        <v>8458.7308783671706</v>
      </c>
      <c r="G66" s="2" t="s">
        <v>35</v>
      </c>
      <c r="H66" s="2">
        <v>73</v>
      </c>
      <c r="I66" s="2">
        <v>27</v>
      </c>
      <c r="J66" s="2">
        <v>75</v>
      </c>
      <c r="K66" s="2">
        <v>6</v>
      </c>
      <c r="L66" s="2" t="s">
        <v>43</v>
      </c>
      <c r="M66" s="3">
        <v>4.5853534681946497</v>
      </c>
      <c r="N66" s="2" t="s">
        <v>39</v>
      </c>
      <c r="O66" s="2" t="s">
        <v>50</v>
      </c>
      <c r="P66" s="2">
        <v>17</v>
      </c>
      <c r="Q66" s="2">
        <v>328</v>
      </c>
      <c r="R66" s="2">
        <v>6</v>
      </c>
      <c r="S66" s="3">
        <v>8.6930424258772803</v>
      </c>
      <c r="T66" s="2" t="s">
        <v>46</v>
      </c>
      <c r="U66" s="2">
        <v>0.15948631471751401</v>
      </c>
      <c r="V66" s="2" t="s">
        <v>40</v>
      </c>
      <c r="W66" s="2" t="s">
        <v>41</v>
      </c>
      <c r="X66" s="3">
        <v>771.225084681157</v>
      </c>
      <c r="Y66" s="93">
        <f>SQRT((2*Table1[[#This Row],[Number Of Products Sold]]*Table1[[#This Row],[Costs]])/(0.3*Table1[[#This Row],[Price]]))</f>
        <v>87.671961387542282</v>
      </c>
      <c r="Z66" s="62">
        <f>Table1[[#This Row],[Number Of Products Sold]]/Table1[[#This Row],[EOQ]]</f>
        <v>1.5284247994369691</v>
      </c>
      <c r="AA66" s="94">
        <f>360/Table1[[#This Row],[Optimum No of Orders]]</f>
        <v>235.5366126829494</v>
      </c>
    </row>
    <row r="67" spans="1:27" x14ac:dyDescent="0.3">
      <c r="A67" s="4" t="s">
        <v>156</v>
      </c>
      <c r="B67" s="2" t="s">
        <v>119</v>
      </c>
      <c r="C67" s="3">
        <v>33.697717206643098</v>
      </c>
      <c r="D67" s="2">
        <v>72</v>
      </c>
      <c r="E67" s="2">
        <v>457</v>
      </c>
      <c r="F67" s="3">
        <v>8354.5796864819895</v>
      </c>
      <c r="G67" s="2" t="s">
        <v>55</v>
      </c>
      <c r="H67" s="2">
        <v>57</v>
      </c>
      <c r="I67" s="2">
        <v>24</v>
      </c>
      <c r="J67" s="2">
        <v>54</v>
      </c>
      <c r="K67" s="2">
        <v>8</v>
      </c>
      <c r="L67" s="2" t="s">
        <v>43</v>
      </c>
      <c r="M67" s="3">
        <v>6.5805413478845898</v>
      </c>
      <c r="N67" s="2" t="s">
        <v>44</v>
      </c>
      <c r="O67" s="2" t="s">
        <v>45</v>
      </c>
      <c r="P67" s="2">
        <v>16</v>
      </c>
      <c r="Q67" s="2">
        <v>358</v>
      </c>
      <c r="R67" s="2">
        <v>21</v>
      </c>
      <c r="S67" s="3">
        <v>1.59722274305067</v>
      </c>
      <c r="T67" s="2" t="s">
        <v>46</v>
      </c>
      <c r="U67" s="2">
        <v>4.9110959548423301</v>
      </c>
      <c r="V67" s="2" t="s">
        <v>47</v>
      </c>
      <c r="W67" s="2" t="s">
        <v>41</v>
      </c>
      <c r="X67" s="3">
        <v>555.85910367174301</v>
      </c>
      <c r="Y67" s="93">
        <f>SQRT((2*Table1[[#This Row],[Number Of Products Sold]]*Table1[[#This Row],[Costs]])/(0.3*Table1[[#This Row],[Price]]))</f>
        <v>224.1788263848876</v>
      </c>
      <c r="Z67" s="62">
        <f>Table1[[#This Row],[Number Of Products Sold]]/Table1[[#This Row],[EOQ]]</f>
        <v>2.0385511306736301</v>
      </c>
      <c r="AA67" s="94">
        <f>360/Table1[[#This Row],[Optimum No of Orders]]</f>
        <v>176.59601203185892</v>
      </c>
    </row>
    <row r="68" spans="1:27" x14ac:dyDescent="0.3">
      <c r="A68" s="4" t="s">
        <v>156</v>
      </c>
      <c r="B68" s="2" t="s">
        <v>120</v>
      </c>
      <c r="C68" s="3">
        <v>26.034869773962001</v>
      </c>
      <c r="D68" s="2">
        <v>52</v>
      </c>
      <c r="E68" s="2">
        <v>704</v>
      </c>
      <c r="F68" s="3">
        <v>8367.7216180201503</v>
      </c>
      <c r="G68" s="2" t="s">
        <v>35</v>
      </c>
      <c r="H68" s="2">
        <v>13</v>
      </c>
      <c r="I68" s="2">
        <v>17</v>
      </c>
      <c r="J68" s="2">
        <v>19</v>
      </c>
      <c r="K68" s="2">
        <v>8</v>
      </c>
      <c r="L68" s="2" t="s">
        <v>36</v>
      </c>
      <c r="M68" s="3">
        <v>2.2161427287713602</v>
      </c>
      <c r="N68" s="2" t="s">
        <v>44</v>
      </c>
      <c r="O68" s="2" t="s">
        <v>45</v>
      </c>
      <c r="P68" s="2">
        <v>24</v>
      </c>
      <c r="Q68" s="2">
        <v>867</v>
      </c>
      <c r="R68" s="2">
        <v>28</v>
      </c>
      <c r="S68" s="3">
        <v>42.084436738309897</v>
      </c>
      <c r="T68" s="2" t="s">
        <v>46</v>
      </c>
      <c r="U68" s="2">
        <v>3.44806328834026</v>
      </c>
      <c r="V68" s="2" t="s">
        <v>31</v>
      </c>
      <c r="W68" s="2" t="s">
        <v>48</v>
      </c>
      <c r="X68" s="3">
        <v>393.84334857842703</v>
      </c>
      <c r="Y68" s="93">
        <f>SQRT((2*Table1[[#This Row],[Number Of Products Sold]]*Table1[[#This Row],[Costs]])/(0.3*Table1[[#This Row],[Price]]))</f>
        <v>266.45553911515208</v>
      </c>
      <c r="Z68" s="62">
        <f>Table1[[#This Row],[Number Of Products Sold]]/Table1[[#This Row],[EOQ]]</f>
        <v>2.642091818912264</v>
      </c>
      <c r="AA68" s="94">
        <f>360/Table1[[#This Row],[Optimum No of Orders]]</f>
        <v>136.25567341115729</v>
      </c>
    </row>
    <row r="69" spans="1:27" x14ac:dyDescent="0.3">
      <c r="A69" s="4" t="s">
        <v>156</v>
      </c>
      <c r="B69" s="2" t="s">
        <v>121</v>
      </c>
      <c r="C69" s="3">
        <v>87.755432354001002</v>
      </c>
      <c r="D69" s="2">
        <v>16</v>
      </c>
      <c r="E69" s="2">
        <v>513</v>
      </c>
      <c r="F69" s="3">
        <v>9473.7980325083299</v>
      </c>
      <c r="G69" s="2" t="s">
        <v>38</v>
      </c>
      <c r="H69" s="2">
        <v>12</v>
      </c>
      <c r="I69" s="2">
        <v>9</v>
      </c>
      <c r="J69" s="2">
        <v>71</v>
      </c>
      <c r="K69" s="2">
        <v>9</v>
      </c>
      <c r="L69" s="2" t="s">
        <v>43</v>
      </c>
      <c r="M69" s="3">
        <v>9.1478115447106294</v>
      </c>
      <c r="N69" s="2" t="s">
        <v>39</v>
      </c>
      <c r="O69" s="2" t="s">
        <v>29</v>
      </c>
      <c r="P69" s="2">
        <v>10</v>
      </c>
      <c r="Q69" s="2">
        <v>198</v>
      </c>
      <c r="R69" s="2">
        <v>11</v>
      </c>
      <c r="S69" s="3">
        <v>7.0578761469782298</v>
      </c>
      <c r="T69" s="2" t="s">
        <v>64</v>
      </c>
      <c r="U69" s="2">
        <v>0.131955444311814</v>
      </c>
      <c r="V69" s="2" t="s">
        <v>56</v>
      </c>
      <c r="W69" s="2" t="s">
        <v>41</v>
      </c>
      <c r="X69" s="3">
        <v>169.27180138478599</v>
      </c>
      <c r="Y69" s="93">
        <f>SQRT((2*Table1[[#This Row],[Number Of Products Sold]]*Table1[[#This Row],[Costs]])/(0.3*Table1[[#This Row],[Price]]))</f>
        <v>81.221004420092171</v>
      </c>
      <c r="Z69" s="62">
        <f>Table1[[#This Row],[Number Of Products Sold]]/Table1[[#This Row],[EOQ]]</f>
        <v>6.3161001721507377</v>
      </c>
      <c r="AA69" s="94">
        <f>360/Table1[[#This Row],[Optimum No of Orders]]</f>
        <v>56.99719608427521</v>
      </c>
    </row>
    <row r="70" spans="1:27" x14ac:dyDescent="0.3">
      <c r="A70" s="4" t="s">
        <v>155</v>
      </c>
      <c r="B70" s="2" t="s">
        <v>122</v>
      </c>
      <c r="C70" s="3">
        <v>37.931812382790298</v>
      </c>
      <c r="D70" s="2">
        <v>29</v>
      </c>
      <c r="E70" s="2">
        <v>163</v>
      </c>
      <c r="F70" s="3">
        <v>3550.21843278099</v>
      </c>
      <c r="G70" s="2" t="s">
        <v>160</v>
      </c>
      <c r="H70" s="2">
        <v>0</v>
      </c>
      <c r="I70" s="2">
        <v>8</v>
      </c>
      <c r="J70" s="2">
        <v>58</v>
      </c>
      <c r="K70" s="2">
        <v>8</v>
      </c>
      <c r="L70" s="2" t="s">
        <v>27</v>
      </c>
      <c r="M70" s="3">
        <v>1.19425186488499</v>
      </c>
      <c r="N70" s="2" t="s">
        <v>61</v>
      </c>
      <c r="O70" s="2" t="s">
        <v>53</v>
      </c>
      <c r="P70" s="2">
        <v>2</v>
      </c>
      <c r="Q70" s="2">
        <v>375</v>
      </c>
      <c r="R70" s="2">
        <v>18</v>
      </c>
      <c r="S70" s="3">
        <v>97.113581563462205</v>
      </c>
      <c r="T70" s="2" t="s">
        <v>46</v>
      </c>
      <c r="U70" s="2">
        <v>1.9834678721741801</v>
      </c>
      <c r="V70" s="2" t="s">
        <v>47</v>
      </c>
      <c r="W70" s="2" t="s">
        <v>48</v>
      </c>
      <c r="X70" s="3">
        <v>299.70630311810299</v>
      </c>
      <c r="Y70" s="93">
        <f>SQRT((2*Table1[[#This Row],[Number Of Products Sold]]*Table1[[#This Row],[Costs]])/(0.3*Table1[[#This Row],[Price]]))</f>
        <v>92.660430609576963</v>
      </c>
      <c r="Z70" s="62">
        <f>Table1[[#This Row],[Number Of Products Sold]]/Table1[[#This Row],[EOQ]]</f>
        <v>1.7591111861631372</v>
      </c>
      <c r="AA70" s="94">
        <f>360/Table1[[#This Row],[Optimum No of Orders]]</f>
        <v>204.64880380029268</v>
      </c>
    </row>
    <row r="71" spans="1:27" x14ac:dyDescent="0.3">
      <c r="A71" s="4" t="s">
        <v>156</v>
      </c>
      <c r="B71" s="2" t="s">
        <v>123</v>
      </c>
      <c r="C71" s="3">
        <v>54.865528517069698</v>
      </c>
      <c r="D71" s="2">
        <v>62</v>
      </c>
      <c r="E71" s="2">
        <v>511</v>
      </c>
      <c r="F71" s="3">
        <v>1752.3810874841199</v>
      </c>
      <c r="G71" s="2" t="s">
        <v>160</v>
      </c>
      <c r="H71" s="2">
        <v>95</v>
      </c>
      <c r="I71" s="2">
        <v>1</v>
      </c>
      <c r="J71" s="2">
        <v>27</v>
      </c>
      <c r="K71" s="2">
        <v>3</v>
      </c>
      <c r="L71" s="2" t="s">
        <v>27</v>
      </c>
      <c r="M71" s="3">
        <v>9.7052867901203399</v>
      </c>
      <c r="N71" s="2" t="s">
        <v>52</v>
      </c>
      <c r="O71" s="2" t="s">
        <v>45</v>
      </c>
      <c r="P71" s="2">
        <v>9</v>
      </c>
      <c r="Q71" s="2">
        <v>862</v>
      </c>
      <c r="R71" s="2">
        <v>7</v>
      </c>
      <c r="S71" s="3">
        <v>77.627765812748095</v>
      </c>
      <c r="T71" s="2" t="s">
        <v>30</v>
      </c>
      <c r="U71" s="2">
        <v>1.3623879886490999</v>
      </c>
      <c r="V71" s="2" t="s">
        <v>40</v>
      </c>
      <c r="W71" s="2" t="s">
        <v>48</v>
      </c>
      <c r="X71" s="3">
        <v>207.66320620857499</v>
      </c>
      <c r="Y71" s="93">
        <f>SQRT((2*Table1[[#This Row],[Number Of Products Sold]]*Table1[[#This Row],[Costs]])/(0.3*Table1[[#This Row],[Price]]))</f>
        <v>113.55200695735081</v>
      </c>
      <c r="Z71" s="62">
        <f>Table1[[#This Row],[Number Of Products Sold]]/Table1[[#This Row],[EOQ]]</f>
        <v>4.5001406288831811</v>
      </c>
      <c r="AA71" s="94">
        <f>360/Table1[[#This Row],[Optimum No of Orders]]</f>
        <v>79.997500009092548</v>
      </c>
    </row>
    <row r="72" spans="1:27" x14ac:dyDescent="0.3">
      <c r="A72" s="4" t="s">
        <v>155</v>
      </c>
      <c r="B72" s="2" t="s">
        <v>124</v>
      </c>
      <c r="C72" s="3">
        <v>47.914541824058702</v>
      </c>
      <c r="D72" s="2">
        <v>90</v>
      </c>
      <c r="E72" s="2">
        <v>32</v>
      </c>
      <c r="F72" s="3">
        <v>7014.8879872033804</v>
      </c>
      <c r="G72" s="2" t="s">
        <v>35</v>
      </c>
      <c r="H72" s="2">
        <v>10</v>
      </c>
      <c r="I72" s="2">
        <v>12</v>
      </c>
      <c r="J72" s="2">
        <v>22</v>
      </c>
      <c r="K72" s="2">
        <v>4</v>
      </c>
      <c r="L72" s="2" t="s">
        <v>27</v>
      </c>
      <c r="M72" s="3">
        <v>6.3157177546007199</v>
      </c>
      <c r="N72" s="2" t="s">
        <v>39</v>
      </c>
      <c r="O72" s="2" t="s">
        <v>53</v>
      </c>
      <c r="P72" s="2">
        <v>22</v>
      </c>
      <c r="Q72" s="2">
        <v>775</v>
      </c>
      <c r="R72" s="2">
        <v>16</v>
      </c>
      <c r="S72" s="3">
        <v>11.440781823761199</v>
      </c>
      <c r="T72" s="2" t="s">
        <v>64</v>
      </c>
      <c r="U72" s="2">
        <v>1.8305755986122301</v>
      </c>
      <c r="V72" s="2" t="s">
        <v>31</v>
      </c>
      <c r="W72" s="2" t="s">
        <v>41</v>
      </c>
      <c r="X72" s="3">
        <v>183.27289874871099</v>
      </c>
      <c r="Y72" s="93">
        <f>SQRT((2*Table1[[#This Row],[Number Of Products Sold]]*Table1[[#This Row],[Costs]])/(0.3*Table1[[#This Row],[Price]]))</f>
        <v>28.565696278551766</v>
      </c>
      <c r="Z72" s="62">
        <f>Table1[[#This Row],[Number Of Products Sold]]/Table1[[#This Row],[EOQ]]</f>
        <v>1.1202247509726149</v>
      </c>
      <c r="AA72" s="94">
        <f>360/Table1[[#This Row],[Optimum No of Orders]]</f>
        <v>321.36408313370731</v>
      </c>
    </row>
    <row r="73" spans="1:27" x14ac:dyDescent="0.3">
      <c r="A73" s="4" t="s">
        <v>157</v>
      </c>
      <c r="B73" s="2" t="s">
        <v>125</v>
      </c>
      <c r="C73" s="3">
        <v>6.3815331627479601</v>
      </c>
      <c r="D73" s="2">
        <v>14</v>
      </c>
      <c r="E73" s="2">
        <v>637</v>
      </c>
      <c r="F73" s="3">
        <v>8180.3370854254399</v>
      </c>
      <c r="G73" s="2" t="s">
        <v>35</v>
      </c>
      <c r="H73" s="2">
        <v>76</v>
      </c>
      <c r="I73" s="2">
        <v>2</v>
      </c>
      <c r="J73" s="2">
        <v>26</v>
      </c>
      <c r="K73" s="2">
        <v>6</v>
      </c>
      <c r="L73" s="2" t="s">
        <v>36</v>
      </c>
      <c r="M73" s="3">
        <v>9.2281903170525101</v>
      </c>
      <c r="N73" s="2" t="s">
        <v>61</v>
      </c>
      <c r="O73" s="2" t="s">
        <v>53</v>
      </c>
      <c r="P73" s="2">
        <v>2</v>
      </c>
      <c r="Q73" s="2">
        <v>258</v>
      </c>
      <c r="R73" s="2">
        <v>10</v>
      </c>
      <c r="S73" s="3">
        <v>30.661677477859499</v>
      </c>
      <c r="T73" s="2" t="s">
        <v>30</v>
      </c>
      <c r="U73" s="2">
        <v>2.07875060787496</v>
      </c>
      <c r="V73" s="2" t="s">
        <v>31</v>
      </c>
      <c r="W73" s="2" t="s">
        <v>48</v>
      </c>
      <c r="X73" s="3">
        <v>405.167067888855</v>
      </c>
      <c r="Y73" s="93">
        <f>SQRT((2*Table1[[#This Row],[Number Of Products Sold]]*Table1[[#This Row],[Costs]])/(0.3*Table1[[#This Row],[Price]]))</f>
        <v>519.25255320254519</v>
      </c>
      <c r="Z73" s="62">
        <f>Table1[[#This Row],[Number Of Products Sold]]/Table1[[#This Row],[EOQ]]</f>
        <v>1.2267633467976902</v>
      </c>
      <c r="AA73" s="94">
        <f>360/Table1[[#This Row],[Optimum No of Orders]]</f>
        <v>293.45513210818882</v>
      </c>
    </row>
    <row r="74" spans="1:27" x14ac:dyDescent="0.3">
      <c r="A74" s="4" t="s">
        <v>157</v>
      </c>
      <c r="B74" s="2" t="s">
        <v>126</v>
      </c>
      <c r="C74" s="3">
        <v>90.204427520528</v>
      </c>
      <c r="D74" s="2">
        <v>88</v>
      </c>
      <c r="E74" s="2">
        <v>478</v>
      </c>
      <c r="F74" s="3">
        <v>2633.1219813122498</v>
      </c>
      <c r="G74" s="2" t="s">
        <v>160</v>
      </c>
      <c r="H74" s="2">
        <v>57</v>
      </c>
      <c r="I74" s="2">
        <v>29</v>
      </c>
      <c r="J74" s="2">
        <v>77</v>
      </c>
      <c r="K74" s="2">
        <v>9</v>
      </c>
      <c r="L74" s="2" t="s">
        <v>36</v>
      </c>
      <c r="M74" s="3">
        <v>6.5996141596895397</v>
      </c>
      <c r="N74" s="2" t="s">
        <v>39</v>
      </c>
      <c r="O74" s="2" t="s">
        <v>53</v>
      </c>
      <c r="P74" s="2">
        <v>21</v>
      </c>
      <c r="Q74" s="2">
        <v>152</v>
      </c>
      <c r="R74" s="2">
        <v>11</v>
      </c>
      <c r="S74" s="3">
        <v>55.760492895244198</v>
      </c>
      <c r="T74" s="2" t="s">
        <v>30</v>
      </c>
      <c r="U74" s="2">
        <v>3.2133296074383</v>
      </c>
      <c r="V74" s="2" t="s">
        <v>47</v>
      </c>
      <c r="W74" s="2" t="s">
        <v>32</v>
      </c>
      <c r="X74" s="3">
        <v>677.94456984618296</v>
      </c>
      <c r="Y74" s="93">
        <f>SQRT((2*Table1[[#This Row],[Number Of Products Sold]]*Table1[[#This Row],[Costs]])/(0.3*Table1[[#This Row],[Price]]))</f>
        <v>154.75742136892501</v>
      </c>
      <c r="Z74" s="62">
        <f>Table1[[#This Row],[Number Of Products Sold]]/Table1[[#This Row],[EOQ]]</f>
        <v>3.0887048632097556</v>
      </c>
      <c r="AA74" s="94">
        <f>360/Table1[[#This Row],[Optimum No of Orders]]</f>
        <v>116.55370647032008</v>
      </c>
    </row>
    <row r="75" spans="1:27" x14ac:dyDescent="0.3">
      <c r="A75" s="4" t="s">
        <v>157</v>
      </c>
      <c r="B75" s="2" t="s">
        <v>127</v>
      </c>
      <c r="C75" s="3">
        <v>83.851017681304597</v>
      </c>
      <c r="D75" s="2">
        <v>41</v>
      </c>
      <c r="E75" s="2">
        <v>375</v>
      </c>
      <c r="F75" s="3">
        <v>7910.8869161406801</v>
      </c>
      <c r="G75" s="2" t="s">
        <v>55</v>
      </c>
      <c r="H75" s="2">
        <v>17</v>
      </c>
      <c r="I75" s="2">
        <v>25</v>
      </c>
      <c r="J75" s="2">
        <v>66</v>
      </c>
      <c r="K75" s="2">
        <v>5</v>
      </c>
      <c r="L75" s="2" t="s">
        <v>27</v>
      </c>
      <c r="M75" s="3">
        <v>1.5129368369160701</v>
      </c>
      <c r="N75" s="2" t="s">
        <v>52</v>
      </c>
      <c r="O75" s="2" t="s">
        <v>62</v>
      </c>
      <c r="P75" s="2">
        <v>13</v>
      </c>
      <c r="Q75" s="2">
        <v>444</v>
      </c>
      <c r="R75" s="2">
        <v>4</v>
      </c>
      <c r="S75" s="3">
        <v>46.870238797617098</v>
      </c>
      <c r="T75" s="2" t="s">
        <v>46</v>
      </c>
      <c r="U75" s="2">
        <v>4.6205460645137002</v>
      </c>
      <c r="V75" s="2" t="s">
        <v>31</v>
      </c>
      <c r="W75" s="2" t="s">
        <v>48</v>
      </c>
      <c r="X75" s="3">
        <v>866.472800129657</v>
      </c>
      <c r="Y75" s="93">
        <f>SQRT((2*Table1[[#This Row],[Number Of Products Sold]]*Table1[[#This Row],[Costs]])/(0.3*Table1[[#This Row],[Price]]))</f>
        <v>160.72865202200751</v>
      </c>
      <c r="Z75" s="62">
        <f>Table1[[#This Row],[Number Of Products Sold]]/Table1[[#This Row],[EOQ]]</f>
        <v>2.3331247744717833</v>
      </c>
      <c r="AA75" s="94">
        <f>360/Table1[[#This Row],[Optimum No of Orders]]</f>
        <v>154.29950594112719</v>
      </c>
    </row>
    <row r="76" spans="1:27" x14ac:dyDescent="0.3">
      <c r="A76" s="4" t="s">
        <v>155</v>
      </c>
      <c r="B76" s="2" t="s">
        <v>128</v>
      </c>
      <c r="C76" s="3">
        <v>3.1700114135661499</v>
      </c>
      <c r="D76" s="2">
        <v>64</v>
      </c>
      <c r="E76" s="2">
        <v>904</v>
      </c>
      <c r="F76" s="3">
        <v>5709.9452959692799</v>
      </c>
      <c r="G76" s="2" t="s">
        <v>35</v>
      </c>
      <c r="H76" s="2">
        <v>41</v>
      </c>
      <c r="I76" s="2">
        <v>6</v>
      </c>
      <c r="J76" s="2">
        <v>1</v>
      </c>
      <c r="K76" s="2">
        <v>5</v>
      </c>
      <c r="L76" s="2" t="s">
        <v>36</v>
      </c>
      <c r="M76" s="3">
        <v>5.2376546500374399</v>
      </c>
      <c r="N76" s="2" t="s">
        <v>52</v>
      </c>
      <c r="O76" s="2" t="s">
        <v>50</v>
      </c>
      <c r="P76" s="2">
        <v>1</v>
      </c>
      <c r="Q76" s="2">
        <v>919</v>
      </c>
      <c r="R76" s="2">
        <v>9</v>
      </c>
      <c r="S76" s="3">
        <v>80.580852156447804</v>
      </c>
      <c r="T76" s="2" t="s">
        <v>46</v>
      </c>
      <c r="U76" s="2">
        <v>0.39661272410993498</v>
      </c>
      <c r="V76" s="2" t="s">
        <v>47</v>
      </c>
      <c r="W76" s="2" t="s">
        <v>48</v>
      </c>
      <c r="X76" s="3">
        <v>341.55265678322297</v>
      </c>
      <c r="Y76" s="93">
        <f>SQRT((2*Table1[[#This Row],[Number Of Products Sold]]*Table1[[#This Row],[Costs]])/(0.3*Table1[[#This Row],[Price]]))</f>
        <v>805.81807878567895</v>
      </c>
      <c r="Z76" s="62">
        <f>Table1[[#This Row],[Number Of Products Sold]]/Table1[[#This Row],[EOQ]]</f>
        <v>1.1218412986741071</v>
      </c>
      <c r="AA76" s="94">
        <f>360/Table1[[#This Row],[Optimum No of Orders]]</f>
        <v>320.90100482615532</v>
      </c>
    </row>
    <row r="77" spans="1:27" x14ac:dyDescent="0.3">
      <c r="A77" s="4" t="s">
        <v>156</v>
      </c>
      <c r="B77" s="2" t="s">
        <v>129</v>
      </c>
      <c r="C77" s="3">
        <v>92.996884233970604</v>
      </c>
      <c r="D77" s="2">
        <v>29</v>
      </c>
      <c r="E77" s="2">
        <v>106</v>
      </c>
      <c r="F77" s="3">
        <v>1889.07358977933</v>
      </c>
      <c r="G77" s="2" t="s">
        <v>160</v>
      </c>
      <c r="H77" s="2">
        <v>16</v>
      </c>
      <c r="I77" s="2">
        <v>20</v>
      </c>
      <c r="J77" s="2">
        <v>56</v>
      </c>
      <c r="K77" s="2">
        <v>10</v>
      </c>
      <c r="L77" s="2" t="s">
        <v>43</v>
      </c>
      <c r="M77" s="3">
        <v>2.47389776104546</v>
      </c>
      <c r="N77" s="2" t="s">
        <v>39</v>
      </c>
      <c r="O77" s="2" t="s">
        <v>62</v>
      </c>
      <c r="P77" s="2">
        <v>25</v>
      </c>
      <c r="Q77" s="2">
        <v>759</v>
      </c>
      <c r="R77" s="2">
        <v>11</v>
      </c>
      <c r="S77" s="3">
        <v>48.064782640006499</v>
      </c>
      <c r="T77" s="2" t="s">
        <v>64</v>
      </c>
      <c r="U77" s="2">
        <v>2.0300690886687498</v>
      </c>
      <c r="V77" s="2" t="s">
        <v>40</v>
      </c>
      <c r="W77" s="2" t="s">
        <v>41</v>
      </c>
      <c r="X77" s="3">
        <v>873.12964801765099</v>
      </c>
      <c r="Y77" s="93">
        <f>SQRT((2*Table1[[#This Row],[Number Of Products Sold]]*Table1[[#This Row],[Costs]])/(0.3*Table1[[#This Row],[Price]]))</f>
        <v>81.454010395155933</v>
      </c>
      <c r="Z77" s="62">
        <f>Table1[[#This Row],[Number Of Products Sold]]/Table1[[#This Row],[EOQ]]</f>
        <v>1.3013478340202611</v>
      </c>
      <c r="AA77" s="94">
        <f>360/Table1[[#This Row],[Optimum No of Orders]]</f>
        <v>276.63626171939751</v>
      </c>
    </row>
    <row r="78" spans="1:27" x14ac:dyDescent="0.3">
      <c r="A78" s="4" t="s">
        <v>155</v>
      </c>
      <c r="B78" s="2" t="s">
        <v>130</v>
      </c>
      <c r="C78" s="3">
        <v>69.108799547430294</v>
      </c>
      <c r="D78" s="2">
        <v>23</v>
      </c>
      <c r="E78" s="2">
        <v>241</v>
      </c>
      <c r="F78" s="3">
        <v>5328.3759842977497</v>
      </c>
      <c r="G78" s="2" t="s">
        <v>55</v>
      </c>
      <c r="H78" s="2">
        <v>38</v>
      </c>
      <c r="I78" s="2">
        <v>1</v>
      </c>
      <c r="J78" s="2">
        <v>22</v>
      </c>
      <c r="K78" s="2">
        <v>10</v>
      </c>
      <c r="L78" s="2" t="s">
        <v>36</v>
      </c>
      <c r="M78" s="3">
        <v>7.0545383368369201</v>
      </c>
      <c r="N78" s="2" t="s">
        <v>61</v>
      </c>
      <c r="O78" s="2" t="s">
        <v>53</v>
      </c>
      <c r="P78" s="2">
        <v>25</v>
      </c>
      <c r="Q78" s="2">
        <v>985</v>
      </c>
      <c r="R78" s="2">
        <v>24</v>
      </c>
      <c r="S78" s="3">
        <v>64.323597795600193</v>
      </c>
      <c r="T78" s="2" t="s">
        <v>30</v>
      </c>
      <c r="U78" s="2">
        <v>2.1800374515822099</v>
      </c>
      <c r="V78" s="2" t="s">
        <v>47</v>
      </c>
      <c r="W78" s="2" t="s">
        <v>48</v>
      </c>
      <c r="X78" s="3">
        <v>997.41345013319403</v>
      </c>
      <c r="Y78" s="93">
        <f>SQRT((2*Table1[[#This Row],[Number Of Products Sold]]*Table1[[#This Row],[Costs]])/(0.3*Table1[[#This Row],[Price]]))</f>
        <v>152.27683000371678</v>
      </c>
      <c r="Z78" s="62">
        <f>Table1[[#This Row],[Number Of Products Sold]]/Table1[[#This Row],[EOQ]]</f>
        <v>1.5826439255014546</v>
      </c>
      <c r="AA78" s="94">
        <f>360/Table1[[#This Row],[Optimum No of Orders]]</f>
        <v>227.46746390596698</v>
      </c>
    </row>
    <row r="79" spans="1:27" x14ac:dyDescent="0.3">
      <c r="A79" s="4" t="s">
        <v>155</v>
      </c>
      <c r="B79" s="2" t="s">
        <v>131</v>
      </c>
      <c r="C79" s="3">
        <v>57.449742958971399</v>
      </c>
      <c r="D79" s="2">
        <v>14</v>
      </c>
      <c r="E79" s="2">
        <v>359</v>
      </c>
      <c r="F79" s="3">
        <v>2483.7601775427902</v>
      </c>
      <c r="G79" s="2" t="s">
        <v>38</v>
      </c>
      <c r="H79" s="2">
        <v>96</v>
      </c>
      <c r="I79" s="2">
        <v>28</v>
      </c>
      <c r="J79" s="2">
        <v>57</v>
      </c>
      <c r="K79" s="2">
        <v>4</v>
      </c>
      <c r="L79" s="2" t="s">
        <v>27</v>
      </c>
      <c r="M79" s="3">
        <v>6.7809466256178901</v>
      </c>
      <c r="N79" s="2" t="s">
        <v>39</v>
      </c>
      <c r="O79" s="2" t="s">
        <v>45</v>
      </c>
      <c r="P79" s="2">
        <v>26</v>
      </c>
      <c r="Q79" s="2">
        <v>334</v>
      </c>
      <c r="R79" s="2">
        <v>5</v>
      </c>
      <c r="S79" s="3">
        <v>42.952444748991802</v>
      </c>
      <c r="T79" s="2" t="s">
        <v>64</v>
      </c>
      <c r="U79" s="2">
        <v>3.0551418183075398</v>
      </c>
      <c r="V79" s="2" t="s">
        <v>31</v>
      </c>
      <c r="W79" s="2" t="s">
        <v>32</v>
      </c>
      <c r="X79" s="3">
        <v>852.56809891984994</v>
      </c>
      <c r="Y79" s="93">
        <f>SQRT((2*Table1[[#This Row],[Number Of Products Sold]]*Table1[[#This Row],[Costs]])/(0.3*Table1[[#This Row],[Price]]))</f>
        <v>188.4612593975578</v>
      </c>
      <c r="Z79" s="62">
        <f>Table1[[#This Row],[Number Of Products Sold]]/Table1[[#This Row],[EOQ]]</f>
        <v>1.9049007798610316</v>
      </c>
      <c r="AA79" s="94">
        <f>360/Table1[[#This Row],[Optimum No of Orders]]</f>
        <v>188.98622112289917</v>
      </c>
    </row>
    <row r="80" spans="1:27" x14ac:dyDescent="0.3">
      <c r="A80" s="4" t="s">
        <v>155</v>
      </c>
      <c r="B80" s="2" t="s">
        <v>132</v>
      </c>
      <c r="C80" s="3">
        <v>6.30688317611191</v>
      </c>
      <c r="D80" s="2">
        <v>50</v>
      </c>
      <c r="E80" s="2">
        <v>946</v>
      </c>
      <c r="F80" s="3">
        <v>1292.45841793775</v>
      </c>
      <c r="G80" s="2" t="s">
        <v>38</v>
      </c>
      <c r="H80" s="2">
        <v>5</v>
      </c>
      <c r="I80" s="2">
        <v>4</v>
      </c>
      <c r="J80" s="2">
        <v>51</v>
      </c>
      <c r="K80" s="2">
        <v>5</v>
      </c>
      <c r="L80" s="2" t="s">
        <v>27</v>
      </c>
      <c r="M80" s="3">
        <v>8.4670497708619905</v>
      </c>
      <c r="N80" s="2" t="s">
        <v>44</v>
      </c>
      <c r="O80" s="2" t="s">
        <v>29</v>
      </c>
      <c r="P80" s="2">
        <v>25</v>
      </c>
      <c r="Q80" s="2">
        <v>858</v>
      </c>
      <c r="R80" s="2">
        <v>21</v>
      </c>
      <c r="S80" s="3">
        <v>71.126514720403307</v>
      </c>
      <c r="T80" s="2" t="s">
        <v>30</v>
      </c>
      <c r="U80" s="2">
        <v>4.0968813324704501</v>
      </c>
      <c r="V80" s="2" t="s">
        <v>56</v>
      </c>
      <c r="W80" s="2" t="s">
        <v>41</v>
      </c>
      <c r="X80" s="3">
        <v>323.59220343132199</v>
      </c>
      <c r="Y80" s="93">
        <f>SQRT((2*Table1[[#This Row],[Number Of Products Sold]]*Table1[[#This Row],[Costs]])/(0.3*Table1[[#This Row],[Price]]))</f>
        <v>568.84188911449189</v>
      </c>
      <c r="Z80" s="62">
        <f>Table1[[#This Row],[Number Of Products Sold]]/Table1[[#This Row],[EOQ]]</f>
        <v>1.6630280190381632</v>
      </c>
      <c r="AA80" s="94">
        <f>360/Table1[[#This Row],[Optimum No of Orders]]</f>
        <v>216.47260050868616</v>
      </c>
    </row>
    <row r="81" spans="1:27" x14ac:dyDescent="0.3">
      <c r="A81" s="4" t="s">
        <v>155</v>
      </c>
      <c r="B81" s="2" t="s">
        <v>133</v>
      </c>
      <c r="C81" s="3">
        <v>57.057031221103202</v>
      </c>
      <c r="D81" s="2">
        <v>56</v>
      </c>
      <c r="E81" s="2">
        <v>198</v>
      </c>
      <c r="F81" s="3">
        <v>7888.7232684270803</v>
      </c>
      <c r="G81" s="2" t="s">
        <v>160</v>
      </c>
      <c r="H81" s="2">
        <v>31</v>
      </c>
      <c r="I81" s="2">
        <v>25</v>
      </c>
      <c r="J81" s="2">
        <v>20</v>
      </c>
      <c r="K81" s="2">
        <v>1</v>
      </c>
      <c r="L81" s="2" t="s">
        <v>27</v>
      </c>
      <c r="M81" s="3">
        <v>6.49632536429504</v>
      </c>
      <c r="N81" s="2" t="s">
        <v>28</v>
      </c>
      <c r="O81" s="2" t="s">
        <v>53</v>
      </c>
      <c r="P81" s="2">
        <v>5</v>
      </c>
      <c r="Q81" s="2">
        <v>228</v>
      </c>
      <c r="R81" s="2">
        <v>12</v>
      </c>
      <c r="S81" s="3">
        <v>57.870902924036201</v>
      </c>
      <c r="T81" s="2" t="s">
        <v>30</v>
      </c>
      <c r="U81" s="2">
        <v>0.16587162748060799</v>
      </c>
      <c r="V81" s="2" t="s">
        <v>40</v>
      </c>
      <c r="W81" s="2" t="s">
        <v>41</v>
      </c>
      <c r="X81" s="3">
        <v>351.50421933503799</v>
      </c>
      <c r="Y81" s="93">
        <f>SQRT((2*Table1[[#This Row],[Number Of Products Sold]]*Table1[[#This Row],[Costs]])/(0.3*Table1[[#This Row],[Price]]))</f>
        <v>90.177387938616377</v>
      </c>
      <c r="Z81" s="62">
        <f>Table1[[#This Row],[Number Of Products Sold]]/Table1[[#This Row],[EOQ]]</f>
        <v>2.1956723800292188</v>
      </c>
      <c r="AA81" s="94">
        <f>360/Table1[[#This Row],[Optimum No of Orders]]</f>
        <v>163.95888716112069</v>
      </c>
    </row>
    <row r="82" spans="1:27" x14ac:dyDescent="0.3">
      <c r="A82" s="4" t="s">
        <v>156</v>
      </c>
      <c r="B82" s="2" t="s">
        <v>134</v>
      </c>
      <c r="C82" s="3">
        <v>91.128318350444303</v>
      </c>
      <c r="D82" s="2">
        <v>75</v>
      </c>
      <c r="E82" s="2">
        <v>872</v>
      </c>
      <c r="F82" s="3">
        <v>8651.67268298206</v>
      </c>
      <c r="G82" s="2" t="s">
        <v>38</v>
      </c>
      <c r="H82" s="2">
        <v>39</v>
      </c>
      <c r="I82" s="2">
        <v>14</v>
      </c>
      <c r="J82" s="2">
        <v>41</v>
      </c>
      <c r="K82" s="2">
        <v>2</v>
      </c>
      <c r="L82" s="2" t="s">
        <v>43</v>
      </c>
      <c r="M82" s="3">
        <v>2.8331846794189701</v>
      </c>
      <c r="N82" s="2" t="s">
        <v>28</v>
      </c>
      <c r="O82" s="2" t="s">
        <v>62</v>
      </c>
      <c r="P82" s="2">
        <v>8</v>
      </c>
      <c r="Q82" s="2">
        <v>202</v>
      </c>
      <c r="R82" s="2">
        <v>5</v>
      </c>
      <c r="S82" s="3">
        <v>76.961228023819999</v>
      </c>
      <c r="T82" s="2" t="s">
        <v>46</v>
      </c>
      <c r="U82" s="2">
        <v>2.8496621985053299</v>
      </c>
      <c r="V82" s="2" t="s">
        <v>56</v>
      </c>
      <c r="W82" s="2" t="s">
        <v>32</v>
      </c>
      <c r="X82" s="3">
        <v>787.77985049434403</v>
      </c>
      <c r="Y82" s="93">
        <f>SQRT((2*Table1[[#This Row],[Number Of Products Sold]]*Table1[[#This Row],[Costs]])/(0.3*Table1[[#This Row],[Price]]))</f>
        <v>224.17561461739436</v>
      </c>
      <c r="Z82" s="62">
        <f>Table1[[#This Row],[Number Of Products Sold]]/Table1[[#This Row],[EOQ]]</f>
        <v>3.8898075577411144</v>
      </c>
      <c r="AA82" s="94">
        <f>360/Table1[[#This Row],[Optimum No of Orders]]</f>
        <v>92.549565667731613</v>
      </c>
    </row>
    <row r="83" spans="1:27" x14ac:dyDescent="0.3">
      <c r="A83" s="4" t="s">
        <v>155</v>
      </c>
      <c r="B83" s="2" t="s">
        <v>135</v>
      </c>
      <c r="C83" s="3">
        <v>72.819206930318202</v>
      </c>
      <c r="D83" s="2">
        <v>9</v>
      </c>
      <c r="E83" s="2">
        <v>774</v>
      </c>
      <c r="F83" s="3">
        <v>4384.4134000458598</v>
      </c>
      <c r="G83" s="2" t="s">
        <v>38</v>
      </c>
      <c r="H83" s="2">
        <v>48</v>
      </c>
      <c r="I83" s="2">
        <v>6</v>
      </c>
      <c r="J83" s="2">
        <v>8</v>
      </c>
      <c r="K83" s="2">
        <v>5</v>
      </c>
      <c r="L83" s="2" t="s">
        <v>27</v>
      </c>
      <c r="M83" s="3">
        <v>4.0662775015120403</v>
      </c>
      <c r="N83" s="2" t="s">
        <v>28</v>
      </c>
      <c r="O83" s="2" t="s">
        <v>50</v>
      </c>
      <c r="P83" s="2">
        <v>28</v>
      </c>
      <c r="Q83" s="2">
        <v>698</v>
      </c>
      <c r="R83" s="2">
        <v>1</v>
      </c>
      <c r="S83" s="3">
        <v>19.789592941903599</v>
      </c>
      <c r="T83" s="2" t="s">
        <v>30</v>
      </c>
      <c r="U83" s="2">
        <v>2.54754712154871</v>
      </c>
      <c r="V83" s="2" t="s">
        <v>47</v>
      </c>
      <c r="W83" s="2" t="s">
        <v>32</v>
      </c>
      <c r="X83" s="3">
        <v>276.77833594679799</v>
      </c>
      <c r="Y83" s="93">
        <f>SQRT((2*Table1[[#This Row],[Number Of Products Sold]]*Table1[[#This Row],[Costs]])/(0.3*Table1[[#This Row],[Price]]))</f>
        <v>140.04510238239152</v>
      </c>
      <c r="Z83" s="62">
        <f>Table1[[#This Row],[Number Of Products Sold]]/Table1[[#This Row],[EOQ]]</f>
        <v>5.5267909183043189</v>
      </c>
      <c r="AA83" s="94">
        <f>360/Table1[[#This Row],[Optimum No of Orders]]</f>
        <v>65.137256922042567</v>
      </c>
    </row>
    <row r="84" spans="1:27" x14ac:dyDescent="0.3">
      <c r="A84" s="4" t="s">
        <v>156</v>
      </c>
      <c r="B84" s="2" t="s">
        <v>136</v>
      </c>
      <c r="C84" s="3">
        <v>17.034930739467899</v>
      </c>
      <c r="D84" s="2">
        <v>13</v>
      </c>
      <c r="E84" s="2">
        <v>336</v>
      </c>
      <c r="F84" s="3">
        <v>2943.3818676094502</v>
      </c>
      <c r="G84" s="2" t="s">
        <v>38</v>
      </c>
      <c r="H84" s="2">
        <v>42</v>
      </c>
      <c r="I84" s="2">
        <v>19</v>
      </c>
      <c r="J84" s="2">
        <v>72</v>
      </c>
      <c r="K84" s="2">
        <v>1</v>
      </c>
      <c r="L84" s="2" t="s">
        <v>36</v>
      </c>
      <c r="M84" s="3">
        <v>4.7081818735419301</v>
      </c>
      <c r="N84" s="2" t="s">
        <v>61</v>
      </c>
      <c r="O84" s="2" t="s">
        <v>29</v>
      </c>
      <c r="P84" s="2">
        <v>6</v>
      </c>
      <c r="Q84" s="2">
        <v>955</v>
      </c>
      <c r="R84" s="2">
        <v>26</v>
      </c>
      <c r="S84" s="3">
        <v>4.4652784349432402</v>
      </c>
      <c r="T84" s="2" t="s">
        <v>30</v>
      </c>
      <c r="U84" s="2">
        <v>4.1378770486223502</v>
      </c>
      <c r="V84" s="2" t="s">
        <v>31</v>
      </c>
      <c r="W84" s="2" t="s">
        <v>41</v>
      </c>
      <c r="X84" s="3">
        <v>589.97855562804</v>
      </c>
      <c r="Y84" s="93">
        <f>SQRT((2*Table1[[#This Row],[Number Of Products Sold]]*Table1[[#This Row],[Costs]])/(0.3*Table1[[#This Row],[Price]]))</f>
        <v>278.52997247850965</v>
      </c>
      <c r="Z84" s="62">
        <f>Table1[[#This Row],[Number Of Products Sold]]/Table1[[#This Row],[EOQ]]</f>
        <v>1.2063333687577358</v>
      </c>
      <c r="AA84" s="94">
        <f>360/Table1[[#This Row],[Optimum No of Orders]]</f>
        <v>298.4249705126889</v>
      </c>
    </row>
    <row r="85" spans="1:27" x14ac:dyDescent="0.3">
      <c r="A85" s="4" t="s">
        <v>155</v>
      </c>
      <c r="B85" s="2" t="s">
        <v>137</v>
      </c>
      <c r="C85" s="3">
        <v>68.911246211606297</v>
      </c>
      <c r="D85" s="2">
        <v>82</v>
      </c>
      <c r="E85" s="2">
        <v>663</v>
      </c>
      <c r="F85" s="3">
        <v>2411.7546321104901</v>
      </c>
      <c r="G85" s="2" t="s">
        <v>38</v>
      </c>
      <c r="H85" s="2">
        <v>65</v>
      </c>
      <c r="I85" s="2">
        <v>24</v>
      </c>
      <c r="J85" s="2">
        <v>7</v>
      </c>
      <c r="K85" s="2">
        <v>8</v>
      </c>
      <c r="L85" s="2" t="s">
        <v>27</v>
      </c>
      <c r="M85" s="3">
        <v>4.94983957799694</v>
      </c>
      <c r="N85" s="2" t="s">
        <v>39</v>
      </c>
      <c r="O85" s="2" t="s">
        <v>53</v>
      </c>
      <c r="P85" s="2">
        <v>20</v>
      </c>
      <c r="Q85" s="2">
        <v>443</v>
      </c>
      <c r="R85" s="2">
        <v>5</v>
      </c>
      <c r="S85" s="3">
        <v>97.730593800533001</v>
      </c>
      <c r="T85" s="2" t="s">
        <v>46</v>
      </c>
      <c r="U85" s="2">
        <v>0.77300613406724705</v>
      </c>
      <c r="V85" s="2" t="s">
        <v>31</v>
      </c>
      <c r="W85" s="2" t="s">
        <v>48</v>
      </c>
      <c r="X85" s="3">
        <v>682.97101822609295</v>
      </c>
      <c r="Y85" s="93">
        <f>SQRT((2*Table1[[#This Row],[Number Of Products Sold]]*Table1[[#This Row],[Costs]])/(0.3*Table1[[#This Row],[Price]]))</f>
        <v>209.29903219434954</v>
      </c>
      <c r="Z85" s="62">
        <f>Table1[[#This Row],[Number Of Products Sold]]/Table1[[#This Row],[EOQ]]</f>
        <v>3.1677165109122711</v>
      </c>
      <c r="AA85" s="94">
        <f>360/Table1[[#This Row],[Optimum No of Orders]]</f>
        <v>113.64653331819883</v>
      </c>
    </row>
    <row r="86" spans="1:27" x14ac:dyDescent="0.3">
      <c r="A86" s="4" t="s">
        <v>155</v>
      </c>
      <c r="B86" s="2" t="s">
        <v>138</v>
      </c>
      <c r="C86" s="3">
        <v>89.104367292102197</v>
      </c>
      <c r="D86" s="2">
        <v>99</v>
      </c>
      <c r="E86" s="2">
        <v>618</v>
      </c>
      <c r="F86" s="3">
        <v>2048.2900998487098</v>
      </c>
      <c r="G86" s="2" t="s">
        <v>38</v>
      </c>
      <c r="H86" s="2">
        <v>73</v>
      </c>
      <c r="I86" s="2">
        <v>26</v>
      </c>
      <c r="J86" s="2">
        <v>80</v>
      </c>
      <c r="K86" s="2">
        <v>10</v>
      </c>
      <c r="L86" s="2" t="s">
        <v>36</v>
      </c>
      <c r="M86" s="3">
        <v>8.3816156249226292</v>
      </c>
      <c r="N86" s="2" t="s">
        <v>44</v>
      </c>
      <c r="O86" s="2" t="s">
        <v>62</v>
      </c>
      <c r="P86" s="2">
        <v>24</v>
      </c>
      <c r="Q86" s="2">
        <v>589</v>
      </c>
      <c r="R86" s="2">
        <v>22</v>
      </c>
      <c r="S86" s="3">
        <v>33.808636513209002</v>
      </c>
      <c r="T86" s="2" t="s">
        <v>64</v>
      </c>
      <c r="U86" s="2">
        <v>4.8434565771180402</v>
      </c>
      <c r="V86" s="2" t="s">
        <v>40</v>
      </c>
      <c r="W86" s="2" t="s">
        <v>32</v>
      </c>
      <c r="X86" s="3">
        <v>465.45700596368698</v>
      </c>
      <c r="Y86" s="93">
        <f>SQRT((2*Table1[[#This Row],[Number Of Products Sold]]*Table1[[#This Row],[Costs]])/(0.3*Table1[[#This Row],[Price]]))</f>
        <v>146.70296737620012</v>
      </c>
      <c r="Z86" s="62">
        <f>Table1[[#This Row],[Number Of Products Sold]]/Table1[[#This Row],[EOQ]]</f>
        <v>4.2125937263097191</v>
      </c>
      <c r="AA86" s="94">
        <f>360/Table1[[#This Row],[Optimum No of Orders]]</f>
        <v>85.458039248271916</v>
      </c>
    </row>
    <row r="87" spans="1:27" x14ac:dyDescent="0.3">
      <c r="A87" s="4" t="s">
        <v>157</v>
      </c>
      <c r="B87" s="2" t="s">
        <v>139</v>
      </c>
      <c r="C87" s="3">
        <v>76.962994415193805</v>
      </c>
      <c r="D87" s="2">
        <v>83</v>
      </c>
      <c r="E87" s="2">
        <v>25</v>
      </c>
      <c r="F87" s="3">
        <v>8684.6130592538502</v>
      </c>
      <c r="G87" s="2" t="s">
        <v>35</v>
      </c>
      <c r="H87" s="2">
        <v>15</v>
      </c>
      <c r="I87" s="2">
        <v>18</v>
      </c>
      <c r="J87" s="2">
        <v>66</v>
      </c>
      <c r="K87" s="2">
        <v>2</v>
      </c>
      <c r="L87" s="2" t="s">
        <v>43</v>
      </c>
      <c r="M87" s="3">
        <v>8.2491687048717193</v>
      </c>
      <c r="N87" s="2" t="s">
        <v>44</v>
      </c>
      <c r="O87" s="2" t="s">
        <v>62</v>
      </c>
      <c r="P87" s="2">
        <v>4</v>
      </c>
      <c r="Q87" s="2">
        <v>211</v>
      </c>
      <c r="R87" s="2">
        <v>2</v>
      </c>
      <c r="S87" s="3">
        <v>69.929345518672307</v>
      </c>
      <c r="T87" s="2" t="s">
        <v>46</v>
      </c>
      <c r="U87" s="2">
        <v>1.3744289997457499</v>
      </c>
      <c r="V87" s="2" t="s">
        <v>31</v>
      </c>
      <c r="W87" s="2" t="s">
        <v>32</v>
      </c>
      <c r="X87" s="3">
        <v>842.68683000464102</v>
      </c>
      <c r="Y87" s="93">
        <f>SQRT((2*Table1[[#This Row],[Number Of Products Sold]]*Table1[[#This Row],[Costs]])/(0.3*Table1[[#This Row],[Price]]))</f>
        <v>42.718549690285421</v>
      </c>
      <c r="Z87" s="62">
        <f>Table1[[#This Row],[Number Of Products Sold]]/Table1[[#This Row],[EOQ]]</f>
        <v>0.58522586045764613</v>
      </c>
      <c r="AA87" s="94">
        <f>360/Table1[[#This Row],[Optimum No of Orders]]</f>
        <v>615.14711554011012</v>
      </c>
    </row>
    <row r="88" spans="1:27" x14ac:dyDescent="0.3">
      <c r="A88" s="4" t="s">
        <v>156</v>
      </c>
      <c r="B88" s="2" t="s">
        <v>140</v>
      </c>
      <c r="C88" s="3">
        <v>19.9981769404042</v>
      </c>
      <c r="D88" s="2">
        <v>18</v>
      </c>
      <c r="E88" s="2">
        <v>223</v>
      </c>
      <c r="F88" s="3">
        <v>1229.59102856498</v>
      </c>
      <c r="G88" s="2" t="s">
        <v>38</v>
      </c>
      <c r="H88" s="2">
        <v>32</v>
      </c>
      <c r="I88" s="2">
        <v>14</v>
      </c>
      <c r="J88" s="2">
        <v>22</v>
      </c>
      <c r="K88" s="2">
        <v>6</v>
      </c>
      <c r="L88" s="2" t="s">
        <v>27</v>
      </c>
      <c r="M88" s="3">
        <v>1.4543053101535499</v>
      </c>
      <c r="N88" s="2" t="s">
        <v>39</v>
      </c>
      <c r="O88" s="2" t="s">
        <v>29</v>
      </c>
      <c r="P88" s="2">
        <v>4</v>
      </c>
      <c r="Q88" s="2">
        <v>569</v>
      </c>
      <c r="R88" s="2">
        <v>18</v>
      </c>
      <c r="S88" s="3">
        <v>74.608969995194599</v>
      </c>
      <c r="T88" s="2" t="s">
        <v>64</v>
      </c>
      <c r="U88" s="2">
        <v>2.0515129307662399</v>
      </c>
      <c r="V88" s="2" t="s">
        <v>47</v>
      </c>
      <c r="W88" s="2" t="s">
        <v>48</v>
      </c>
      <c r="X88" s="3">
        <v>264.25488983586598</v>
      </c>
      <c r="Y88" s="93">
        <f>SQRT((2*Table1[[#This Row],[Number Of Products Sold]]*Table1[[#This Row],[Costs]])/(0.3*Table1[[#This Row],[Price]]))</f>
        <v>140.15968567135087</v>
      </c>
      <c r="Z88" s="62">
        <f>Table1[[#This Row],[Number Of Products Sold]]/Table1[[#This Row],[EOQ]]</f>
        <v>1.591042380923247</v>
      </c>
      <c r="AA88" s="94">
        <f>360/Table1[[#This Row],[Optimum No of Orders]]</f>
        <v>226.26675713760679</v>
      </c>
    </row>
    <row r="89" spans="1:27" x14ac:dyDescent="0.3">
      <c r="A89" s="4" t="s">
        <v>155</v>
      </c>
      <c r="B89" s="2" t="s">
        <v>141</v>
      </c>
      <c r="C89" s="3">
        <v>80.414036650355698</v>
      </c>
      <c r="D89" s="2">
        <v>24</v>
      </c>
      <c r="E89" s="2">
        <v>79</v>
      </c>
      <c r="F89" s="3">
        <v>5133.8467010866898</v>
      </c>
      <c r="G89" s="2" t="s">
        <v>55</v>
      </c>
      <c r="H89" s="2">
        <v>5</v>
      </c>
      <c r="I89" s="2">
        <v>7</v>
      </c>
      <c r="J89" s="2">
        <v>55</v>
      </c>
      <c r="K89" s="2">
        <v>10</v>
      </c>
      <c r="L89" s="2" t="s">
        <v>36</v>
      </c>
      <c r="M89" s="3">
        <v>6.5758037975485299</v>
      </c>
      <c r="N89" s="2" t="s">
        <v>28</v>
      </c>
      <c r="O89" s="2" t="s">
        <v>62</v>
      </c>
      <c r="P89" s="2">
        <v>27</v>
      </c>
      <c r="Q89" s="2">
        <v>523</v>
      </c>
      <c r="R89" s="2">
        <v>17</v>
      </c>
      <c r="S89" s="3">
        <v>28.696996824143099</v>
      </c>
      <c r="T89" s="2" t="s">
        <v>46</v>
      </c>
      <c r="U89" s="2">
        <v>3.6937377878392699</v>
      </c>
      <c r="V89" s="2" t="s">
        <v>56</v>
      </c>
      <c r="W89" s="2" t="s">
        <v>32</v>
      </c>
      <c r="X89" s="3">
        <v>879.35921773492396</v>
      </c>
      <c r="Y89" s="93">
        <f>SQRT((2*Table1[[#This Row],[Number Of Products Sold]]*Table1[[#This Row],[Costs]])/(0.3*Table1[[#This Row],[Price]]))</f>
        <v>75.890103397920853</v>
      </c>
      <c r="Z89" s="62">
        <f>Table1[[#This Row],[Number Of Products Sold]]/Table1[[#This Row],[EOQ]]</f>
        <v>1.0409789480160907</v>
      </c>
      <c r="AA89" s="94">
        <f>360/Table1[[#This Row],[Optimum No of Orders]]</f>
        <v>345.82831928166462</v>
      </c>
    </row>
    <row r="90" spans="1:27" x14ac:dyDescent="0.3">
      <c r="A90" s="4" t="s">
        <v>157</v>
      </c>
      <c r="B90" s="2" t="s">
        <v>142</v>
      </c>
      <c r="C90" s="3">
        <v>75.270406975724995</v>
      </c>
      <c r="D90" s="2">
        <v>58</v>
      </c>
      <c r="E90" s="2">
        <v>737</v>
      </c>
      <c r="F90" s="3">
        <v>9444.7420330629793</v>
      </c>
      <c r="G90" s="2" t="s">
        <v>55</v>
      </c>
      <c r="H90" s="2">
        <v>60</v>
      </c>
      <c r="I90" s="2">
        <v>18</v>
      </c>
      <c r="J90" s="2">
        <v>85</v>
      </c>
      <c r="K90" s="2">
        <v>7</v>
      </c>
      <c r="L90" s="2" t="s">
        <v>36</v>
      </c>
      <c r="M90" s="3">
        <v>3.8012531329310701</v>
      </c>
      <c r="N90" s="2" t="s">
        <v>61</v>
      </c>
      <c r="O90" s="2" t="s">
        <v>29</v>
      </c>
      <c r="P90" s="2">
        <v>21</v>
      </c>
      <c r="Q90" s="2">
        <v>953</v>
      </c>
      <c r="R90" s="2">
        <v>11</v>
      </c>
      <c r="S90" s="3">
        <v>68.1849190570411</v>
      </c>
      <c r="T90" s="2" t="s">
        <v>30</v>
      </c>
      <c r="U90" s="2">
        <v>0.722204401882931</v>
      </c>
      <c r="V90" s="2" t="s">
        <v>56</v>
      </c>
      <c r="W90" s="2" t="s">
        <v>48</v>
      </c>
      <c r="X90" s="3">
        <v>103.916247960704</v>
      </c>
      <c r="Y90" s="93">
        <f>SQRT((2*Table1[[#This Row],[Number Of Products Sold]]*Table1[[#This Row],[Costs]])/(0.3*Table1[[#This Row],[Price]]))</f>
        <v>82.360260401419453</v>
      </c>
      <c r="Z90" s="62">
        <f>Table1[[#This Row],[Number Of Products Sold]]/Table1[[#This Row],[EOQ]]</f>
        <v>8.9484904055414809</v>
      </c>
      <c r="AA90" s="94">
        <f>360/Table1[[#This Row],[Optimum No of Orders]]</f>
        <v>40.230249314126198</v>
      </c>
    </row>
    <row r="91" spans="1:27" x14ac:dyDescent="0.3">
      <c r="A91" s="4" t="s">
        <v>157</v>
      </c>
      <c r="B91" s="2" t="s">
        <v>143</v>
      </c>
      <c r="C91" s="3">
        <v>97.760085581938597</v>
      </c>
      <c r="D91" s="2">
        <v>10</v>
      </c>
      <c r="E91" s="2">
        <v>134</v>
      </c>
      <c r="F91" s="3">
        <v>5924.6825668532301</v>
      </c>
      <c r="G91" s="2" t="s">
        <v>38</v>
      </c>
      <c r="H91" s="2">
        <v>90</v>
      </c>
      <c r="I91" s="2">
        <v>1</v>
      </c>
      <c r="J91" s="2">
        <v>27</v>
      </c>
      <c r="K91" s="2">
        <v>8</v>
      </c>
      <c r="L91" s="2" t="s">
        <v>27</v>
      </c>
      <c r="M91" s="3">
        <v>9.9298162452772498</v>
      </c>
      <c r="N91" s="2" t="s">
        <v>39</v>
      </c>
      <c r="O91" s="2" t="s">
        <v>45</v>
      </c>
      <c r="P91" s="2">
        <v>23</v>
      </c>
      <c r="Q91" s="2">
        <v>370</v>
      </c>
      <c r="R91" s="2">
        <v>11</v>
      </c>
      <c r="S91" s="3">
        <v>46.603873381644398</v>
      </c>
      <c r="T91" s="2" t="s">
        <v>30</v>
      </c>
      <c r="U91" s="2">
        <v>1.9076657339590699</v>
      </c>
      <c r="V91" s="2" t="s">
        <v>47</v>
      </c>
      <c r="W91" s="2" t="s">
        <v>32</v>
      </c>
      <c r="X91" s="3">
        <v>517.49997392906005</v>
      </c>
      <c r="Y91" s="93">
        <f>SQRT((2*Table1[[#This Row],[Number Of Products Sold]]*Table1[[#This Row],[Costs]])/(0.3*Table1[[#This Row],[Price]]))</f>
        <v>68.767169556649364</v>
      </c>
      <c r="Z91" s="62">
        <f>Table1[[#This Row],[Number Of Products Sold]]/Table1[[#This Row],[EOQ]]</f>
        <v>1.9486042665986536</v>
      </c>
      <c r="AA91" s="94">
        <f>360/Table1[[#This Row],[Optimum No of Orders]]</f>
        <v>184.74761970443114</v>
      </c>
    </row>
    <row r="92" spans="1:27" x14ac:dyDescent="0.3">
      <c r="A92" s="4" t="s">
        <v>156</v>
      </c>
      <c r="B92" s="2" t="s">
        <v>144</v>
      </c>
      <c r="C92" s="3">
        <v>13.881913501359101</v>
      </c>
      <c r="D92" s="2">
        <v>56</v>
      </c>
      <c r="E92" s="2">
        <v>320</v>
      </c>
      <c r="F92" s="3">
        <v>9592.6335702803099</v>
      </c>
      <c r="G92" s="2" t="s">
        <v>160</v>
      </c>
      <c r="H92" s="2">
        <v>66</v>
      </c>
      <c r="I92" s="2">
        <v>18</v>
      </c>
      <c r="J92" s="2">
        <v>96</v>
      </c>
      <c r="K92" s="2">
        <v>7</v>
      </c>
      <c r="L92" s="2" t="s">
        <v>27</v>
      </c>
      <c r="M92" s="3">
        <v>7.6744307081126903</v>
      </c>
      <c r="N92" s="2" t="s">
        <v>28</v>
      </c>
      <c r="O92" s="2" t="s">
        <v>53</v>
      </c>
      <c r="P92" s="2">
        <v>8</v>
      </c>
      <c r="Q92" s="2">
        <v>585</v>
      </c>
      <c r="R92" s="2">
        <v>8</v>
      </c>
      <c r="S92" s="3">
        <v>85.675963335797903</v>
      </c>
      <c r="T92" s="2" t="s">
        <v>64</v>
      </c>
      <c r="U92" s="2">
        <v>1.2193822244013801</v>
      </c>
      <c r="V92" s="2" t="s">
        <v>47</v>
      </c>
      <c r="W92" s="2" t="s">
        <v>32</v>
      </c>
      <c r="X92" s="3">
        <v>990.07847250581096</v>
      </c>
      <c r="Y92" s="93">
        <f>SQRT((2*Table1[[#This Row],[Number Of Products Sold]]*Table1[[#This Row],[Costs]])/(0.3*Table1[[#This Row],[Price]]))</f>
        <v>390.06726162547869</v>
      </c>
      <c r="Z92" s="62">
        <f>Table1[[#This Row],[Number Of Products Sold]]/Table1[[#This Row],[EOQ]]</f>
        <v>0.82037133459112632</v>
      </c>
      <c r="AA92" s="94">
        <f>360/Table1[[#This Row],[Optimum No of Orders]]</f>
        <v>438.82566932866354</v>
      </c>
    </row>
    <row r="93" spans="1:27" x14ac:dyDescent="0.3">
      <c r="A93" s="4" t="s">
        <v>157</v>
      </c>
      <c r="B93" s="2" t="s">
        <v>145</v>
      </c>
      <c r="C93" s="3">
        <v>62.111965463961702</v>
      </c>
      <c r="D93" s="2">
        <v>90</v>
      </c>
      <c r="E93" s="2">
        <v>916</v>
      </c>
      <c r="F93" s="3">
        <v>1935.20679350759</v>
      </c>
      <c r="G93" s="2" t="s">
        <v>55</v>
      </c>
      <c r="H93" s="2">
        <v>98</v>
      </c>
      <c r="I93" s="2">
        <v>22</v>
      </c>
      <c r="J93" s="2">
        <v>85</v>
      </c>
      <c r="K93" s="2">
        <v>7</v>
      </c>
      <c r="L93" s="2" t="s">
        <v>27</v>
      </c>
      <c r="M93" s="3">
        <v>7.4715140844011403</v>
      </c>
      <c r="N93" s="2" t="s">
        <v>52</v>
      </c>
      <c r="O93" s="2" t="s">
        <v>50</v>
      </c>
      <c r="P93" s="2">
        <v>5</v>
      </c>
      <c r="Q93" s="2">
        <v>207</v>
      </c>
      <c r="R93" s="2">
        <v>28</v>
      </c>
      <c r="S93" s="3">
        <v>39.772882502339897</v>
      </c>
      <c r="T93" s="2" t="s">
        <v>30</v>
      </c>
      <c r="U93" s="2">
        <v>0.62600185820939402</v>
      </c>
      <c r="V93" s="2" t="s">
        <v>47</v>
      </c>
      <c r="W93" s="2" t="s">
        <v>32</v>
      </c>
      <c r="X93" s="3">
        <v>996.77831495062298</v>
      </c>
      <c r="Y93" s="93">
        <f>SQRT((2*Table1[[#This Row],[Number Of Products Sold]]*Table1[[#This Row],[Costs]])/(0.3*Table1[[#This Row],[Price]]))</f>
        <v>313.05003871671386</v>
      </c>
      <c r="Z93" s="62">
        <f>Table1[[#This Row],[Number Of Products Sold]]/Table1[[#This Row],[EOQ]]</f>
        <v>2.926049789851358</v>
      </c>
      <c r="AA93" s="94">
        <f>360/Table1[[#This Row],[Optimum No of Orders]]</f>
        <v>123.0327663078788</v>
      </c>
    </row>
    <row r="94" spans="1:27" x14ac:dyDescent="0.3">
      <c r="A94" s="4" t="s">
        <v>157</v>
      </c>
      <c r="B94" s="2" t="s">
        <v>146</v>
      </c>
      <c r="C94" s="3">
        <v>47.714233075820196</v>
      </c>
      <c r="D94" s="2">
        <v>44</v>
      </c>
      <c r="E94" s="2">
        <v>276</v>
      </c>
      <c r="F94" s="3">
        <v>2100.1297546259302</v>
      </c>
      <c r="G94" s="2" t="s">
        <v>55</v>
      </c>
      <c r="H94" s="2">
        <v>90</v>
      </c>
      <c r="I94" s="2">
        <v>25</v>
      </c>
      <c r="J94" s="2">
        <v>10</v>
      </c>
      <c r="K94" s="2">
        <v>8</v>
      </c>
      <c r="L94" s="2" t="s">
        <v>27</v>
      </c>
      <c r="M94" s="3">
        <v>4.4695000261236002</v>
      </c>
      <c r="N94" s="2" t="s">
        <v>61</v>
      </c>
      <c r="O94" s="2" t="s">
        <v>29</v>
      </c>
      <c r="P94" s="2">
        <v>4</v>
      </c>
      <c r="Q94" s="2">
        <v>671</v>
      </c>
      <c r="R94" s="2">
        <v>29</v>
      </c>
      <c r="S94" s="3">
        <v>62.612690395614301</v>
      </c>
      <c r="T94" s="2" t="s">
        <v>64</v>
      </c>
      <c r="U94" s="2">
        <v>0.33343182522473902</v>
      </c>
      <c r="V94" s="2" t="s">
        <v>47</v>
      </c>
      <c r="W94" s="2" t="s">
        <v>32</v>
      </c>
      <c r="X94" s="3">
        <v>230.092782536762</v>
      </c>
      <c r="Y94" s="93">
        <f>SQRT((2*Table1[[#This Row],[Number Of Products Sold]]*Table1[[#This Row],[Costs]])/(0.3*Table1[[#This Row],[Price]]))</f>
        <v>94.196862091589068</v>
      </c>
      <c r="Z94" s="62">
        <f>Table1[[#This Row],[Number Of Products Sold]]/Table1[[#This Row],[EOQ]]</f>
        <v>2.930033908471823</v>
      </c>
      <c r="AA94" s="94">
        <f>360/Table1[[#This Row],[Optimum No of Orders]]</f>
        <v>122.86547229337704</v>
      </c>
    </row>
    <row r="95" spans="1:27" x14ac:dyDescent="0.3">
      <c r="A95" s="4" t="s">
        <v>155</v>
      </c>
      <c r="B95" s="2" t="s">
        <v>147</v>
      </c>
      <c r="C95" s="3">
        <v>69.290831002905406</v>
      </c>
      <c r="D95" s="2">
        <v>88</v>
      </c>
      <c r="E95" s="2">
        <v>114</v>
      </c>
      <c r="F95" s="3">
        <v>4531.4021336919004</v>
      </c>
      <c r="G95" s="2" t="s">
        <v>38</v>
      </c>
      <c r="H95" s="2">
        <v>63</v>
      </c>
      <c r="I95" s="2">
        <v>17</v>
      </c>
      <c r="J95" s="2">
        <v>66</v>
      </c>
      <c r="K95" s="2">
        <v>1</v>
      </c>
      <c r="L95" s="2" t="s">
        <v>43</v>
      </c>
      <c r="M95" s="3">
        <v>7.00643205900439</v>
      </c>
      <c r="N95" s="2" t="s">
        <v>52</v>
      </c>
      <c r="O95" s="2" t="s">
        <v>62</v>
      </c>
      <c r="P95" s="2">
        <v>21</v>
      </c>
      <c r="Q95" s="2">
        <v>824</v>
      </c>
      <c r="R95" s="2">
        <v>20</v>
      </c>
      <c r="S95" s="3">
        <v>35.633652343343797</v>
      </c>
      <c r="T95" s="2" t="s">
        <v>46</v>
      </c>
      <c r="U95" s="2">
        <v>4.1657817954241398</v>
      </c>
      <c r="V95" s="2" t="s">
        <v>40</v>
      </c>
      <c r="W95" s="2" t="s">
        <v>48</v>
      </c>
      <c r="X95" s="3">
        <v>823.52384588815505</v>
      </c>
      <c r="Y95" s="93">
        <f>SQRT((2*Table1[[#This Row],[Number Of Products Sold]]*Table1[[#This Row],[Costs]])/(0.3*Table1[[#This Row],[Price]]))</f>
        <v>95.040125420748154</v>
      </c>
      <c r="Z95" s="62">
        <f>Table1[[#This Row],[Number Of Products Sold]]/Table1[[#This Row],[EOQ]]</f>
        <v>1.1994933665682297</v>
      </c>
      <c r="AA95" s="94">
        <f>360/Table1[[#This Row],[Optimum No of Orders]]</f>
        <v>300.1267118549942</v>
      </c>
    </row>
    <row r="96" spans="1:27" x14ac:dyDescent="0.3">
      <c r="A96" s="4" t="s">
        <v>157</v>
      </c>
      <c r="B96" s="2" t="s">
        <v>148</v>
      </c>
      <c r="C96" s="3">
        <v>3.0376887246314102</v>
      </c>
      <c r="D96" s="2">
        <v>97</v>
      </c>
      <c r="E96" s="2">
        <v>987</v>
      </c>
      <c r="F96" s="3">
        <v>7888.3565466618702</v>
      </c>
      <c r="G96" s="2" t="s">
        <v>38</v>
      </c>
      <c r="H96" s="2">
        <v>77</v>
      </c>
      <c r="I96" s="2">
        <v>26</v>
      </c>
      <c r="J96" s="2">
        <v>72</v>
      </c>
      <c r="K96" s="2">
        <v>9</v>
      </c>
      <c r="L96" s="2" t="s">
        <v>27</v>
      </c>
      <c r="M96" s="3">
        <v>6.9429459420325799</v>
      </c>
      <c r="N96" s="2" t="s">
        <v>61</v>
      </c>
      <c r="O96" s="2" t="s">
        <v>50</v>
      </c>
      <c r="P96" s="2">
        <v>12</v>
      </c>
      <c r="Q96" s="2">
        <v>908</v>
      </c>
      <c r="R96" s="2">
        <v>14</v>
      </c>
      <c r="S96" s="3">
        <v>60.387378614862101</v>
      </c>
      <c r="T96" s="2" t="s">
        <v>64</v>
      </c>
      <c r="U96" s="2">
        <v>1.4636074984727701</v>
      </c>
      <c r="V96" s="2" t="s">
        <v>47</v>
      </c>
      <c r="W96" s="2" t="s">
        <v>32</v>
      </c>
      <c r="X96" s="3">
        <v>846.66525698669398</v>
      </c>
      <c r="Y96" s="93">
        <f>SQRT((2*Table1[[#This Row],[Number Of Products Sold]]*Table1[[#This Row],[Costs]])/(0.3*Table1[[#This Row],[Price]]))</f>
        <v>1354.2448154720894</v>
      </c>
      <c r="Z96" s="62">
        <f>Table1[[#This Row],[Number Of Products Sold]]/Table1[[#This Row],[EOQ]]</f>
        <v>0.72881947837173888</v>
      </c>
      <c r="AA96" s="94">
        <f>360/Table1[[#This Row],[Optimum No of Orders]]</f>
        <v>493.94947676793538</v>
      </c>
    </row>
    <row r="97" spans="1:27" x14ac:dyDescent="0.3">
      <c r="A97" s="4" t="s">
        <v>155</v>
      </c>
      <c r="B97" s="2" t="s">
        <v>149</v>
      </c>
      <c r="C97" s="3">
        <v>77.903927219447695</v>
      </c>
      <c r="D97" s="2">
        <v>65</v>
      </c>
      <c r="E97" s="2">
        <v>672</v>
      </c>
      <c r="F97" s="3">
        <v>7386.3639440486604</v>
      </c>
      <c r="G97" s="2" t="s">
        <v>38</v>
      </c>
      <c r="H97" s="2">
        <v>15</v>
      </c>
      <c r="I97" s="2">
        <v>14</v>
      </c>
      <c r="J97" s="2">
        <v>26</v>
      </c>
      <c r="K97" s="2">
        <v>9</v>
      </c>
      <c r="L97" s="2" t="s">
        <v>27</v>
      </c>
      <c r="M97" s="3">
        <v>8.6303388696027508</v>
      </c>
      <c r="N97" s="2" t="s">
        <v>52</v>
      </c>
      <c r="O97" s="2" t="s">
        <v>29</v>
      </c>
      <c r="P97" s="2">
        <v>18</v>
      </c>
      <c r="Q97" s="2">
        <v>450</v>
      </c>
      <c r="R97" s="2">
        <v>26</v>
      </c>
      <c r="S97" s="3">
        <v>58.890685768589897</v>
      </c>
      <c r="T97" s="2" t="s">
        <v>30</v>
      </c>
      <c r="U97" s="2">
        <v>1.21088212958506</v>
      </c>
      <c r="V97" s="2" t="s">
        <v>40</v>
      </c>
      <c r="W97" s="2" t="s">
        <v>48</v>
      </c>
      <c r="X97" s="3">
        <v>778.86424137664699</v>
      </c>
      <c r="Y97" s="93">
        <f>SQRT((2*Table1[[#This Row],[Number Of Products Sold]]*Table1[[#This Row],[Costs]])/(0.3*Table1[[#This Row],[Price]]))</f>
        <v>211.63632615943146</v>
      </c>
      <c r="Z97" s="62">
        <f>Table1[[#This Row],[Number Of Products Sold]]/Table1[[#This Row],[EOQ]]</f>
        <v>3.1752582942389762</v>
      </c>
      <c r="AA97" s="94">
        <f>360/Table1[[#This Row],[Optimum No of Orders]]</f>
        <v>113.37660329969543</v>
      </c>
    </row>
    <row r="98" spans="1:27" x14ac:dyDescent="0.3">
      <c r="A98" s="4" t="s">
        <v>157</v>
      </c>
      <c r="B98" s="2" t="s">
        <v>150</v>
      </c>
      <c r="C98" s="3">
        <v>24.423131420373299</v>
      </c>
      <c r="D98" s="2">
        <v>29</v>
      </c>
      <c r="E98" s="2">
        <v>324</v>
      </c>
      <c r="F98" s="3">
        <v>7698.4247656321104</v>
      </c>
      <c r="G98" s="2" t="s">
        <v>160</v>
      </c>
      <c r="H98" s="2">
        <v>67</v>
      </c>
      <c r="I98" s="2">
        <v>2</v>
      </c>
      <c r="J98" s="2">
        <v>32</v>
      </c>
      <c r="K98" s="2">
        <v>3</v>
      </c>
      <c r="L98" s="2" t="s">
        <v>43</v>
      </c>
      <c r="M98" s="3">
        <v>5.3528780439967996</v>
      </c>
      <c r="N98" s="2" t="s">
        <v>28</v>
      </c>
      <c r="O98" s="2" t="s">
        <v>29</v>
      </c>
      <c r="P98" s="2">
        <v>28</v>
      </c>
      <c r="Q98" s="2">
        <v>648</v>
      </c>
      <c r="R98" s="2">
        <v>28</v>
      </c>
      <c r="S98" s="3">
        <v>17.803756331391199</v>
      </c>
      <c r="T98" s="2" t="s">
        <v>30</v>
      </c>
      <c r="U98" s="2">
        <v>3.8720476814821301</v>
      </c>
      <c r="V98" s="2" t="s">
        <v>31</v>
      </c>
      <c r="W98" s="2" t="s">
        <v>48</v>
      </c>
      <c r="X98" s="3">
        <v>188.74214114905601</v>
      </c>
      <c r="Y98" s="93">
        <f>SQRT((2*Table1[[#This Row],[Number Of Products Sold]]*Table1[[#This Row],[Costs]])/(0.3*Table1[[#This Row],[Price]]))</f>
        <v>129.19944293557208</v>
      </c>
      <c r="Z98" s="62">
        <f>Table1[[#This Row],[Number Of Products Sold]]/Table1[[#This Row],[EOQ]]</f>
        <v>2.5077507506094214</v>
      </c>
      <c r="AA98" s="94">
        <f>360/Table1[[#This Row],[Optimum No of Orders]]</f>
        <v>143.55493659508008</v>
      </c>
    </row>
    <row r="99" spans="1:27" x14ac:dyDescent="0.3">
      <c r="A99" s="4" t="s">
        <v>155</v>
      </c>
      <c r="B99" s="2" t="s">
        <v>151</v>
      </c>
      <c r="C99" s="3">
        <v>3.5261112591434101</v>
      </c>
      <c r="D99" s="2">
        <v>56</v>
      </c>
      <c r="E99" s="2">
        <v>62</v>
      </c>
      <c r="F99" s="3">
        <v>4370.9165799845296</v>
      </c>
      <c r="G99" s="2" t="s">
        <v>55</v>
      </c>
      <c r="H99" s="2">
        <v>46</v>
      </c>
      <c r="I99" s="2">
        <v>19</v>
      </c>
      <c r="J99" s="2">
        <v>4</v>
      </c>
      <c r="K99" s="2">
        <v>9</v>
      </c>
      <c r="L99" s="2" t="s">
        <v>36</v>
      </c>
      <c r="M99" s="3">
        <v>7.9048456112096703</v>
      </c>
      <c r="N99" s="2" t="s">
        <v>52</v>
      </c>
      <c r="O99" s="2" t="s">
        <v>29</v>
      </c>
      <c r="P99" s="2">
        <v>10</v>
      </c>
      <c r="Q99" s="2">
        <v>535</v>
      </c>
      <c r="R99" s="2">
        <v>13</v>
      </c>
      <c r="S99" s="3">
        <v>65.765155926367399</v>
      </c>
      <c r="T99" s="2" t="s">
        <v>46</v>
      </c>
      <c r="U99" s="2">
        <v>3.3762378347179798</v>
      </c>
      <c r="V99" s="2" t="s">
        <v>31</v>
      </c>
      <c r="W99" s="2" t="s">
        <v>48</v>
      </c>
      <c r="X99" s="3">
        <v>540.13242286796697</v>
      </c>
      <c r="Y99" s="93">
        <f>SQRT((2*Table1[[#This Row],[Number Of Products Sold]]*Table1[[#This Row],[Costs]])/(0.3*Table1[[#This Row],[Price]]))</f>
        <v>251.62415726340731</v>
      </c>
      <c r="Z99" s="62">
        <f>Table1[[#This Row],[Number Of Products Sold]]/Table1[[#This Row],[EOQ]]</f>
        <v>0.24639923556742066</v>
      </c>
      <c r="AA99" s="94">
        <f>360/Table1[[#This Row],[Optimum No of Orders]]</f>
        <v>1461.0434937875264</v>
      </c>
    </row>
    <row r="100" spans="1:27" x14ac:dyDescent="0.3">
      <c r="A100" s="4" t="s">
        <v>156</v>
      </c>
      <c r="B100" s="2" t="s">
        <v>152</v>
      </c>
      <c r="C100" s="3">
        <v>19.754604866878601</v>
      </c>
      <c r="D100" s="2">
        <v>43</v>
      </c>
      <c r="E100" s="2">
        <v>913</v>
      </c>
      <c r="F100" s="3">
        <v>8525.9525596835192</v>
      </c>
      <c r="G100" s="2" t="s">
        <v>35</v>
      </c>
      <c r="H100" s="2">
        <v>53</v>
      </c>
      <c r="I100" s="2">
        <v>1</v>
      </c>
      <c r="J100" s="2">
        <v>27</v>
      </c>
      <c r="K100" s="2">
        <v>7</v>
      </c>
      <c r="L100" s="2" t="s">
        <v>27</v>
      </c>
      <c r="M100" s="3">
        <v>1.4098010951380699</v>
      </c>
      <c r="N100" s="2" t="s">
        <v>44</v>
      </c>
      <c r="O100" s="2" t="s">
        <v>62</v>
      </c>
      <c r="P100" s="2">
        <v>28</v>
      </c>
      <c r="Q100" s="2">
        <v>581</v>
      </c>
      <c r="R100" s="2">
        <v>9</v>
      </c>
      <c r="S100" s="3">
        <v>5.6046908643717801</v>
      </c>
      <c r="T100" s="2" t="s">
        <v>30</v>
      </c>
      <c r="U100" s="2">
        <v>2.9081221693512598</v>
      </c>
      <c r="V100" s="2" t="s">
        <v>47</v>
      </c>
      <c r="W100" s="2" t="s">
        <v>48</v>
      </c>
      <c r="X100" s="3">
        <v>882.19886354704101</v>
      </c>
      <c r="Y100" s="93">
        <f>SQRT((2*Table1[[#This Row],[Number Of Products Sold]]*Table1[[#This Row],[Costs]])/(0.3*Table1[[#This Row],[Price]]))</f>
        <v>521.36135004068217</v>
      </c>
      <c r="Z100" s="62">
        <f>Table1[[#This Row],[Number Of Products Sold]]/Table1[[#This Row],[EOQ]]</f>
        <v>1.7511846628614838</v>
      </c>
      <c r="AA100" s="94">
        <f>360/Table1[[#This Row],[Optimum No of Orders]]</f>
        <v>205.57512159325913</v>
      </c>
    </row>
    <row r="101" spans="1:27" x14ac:dyDescent="0.3">
      <c r="A101" s="7" t="s">
        <v>155</v>
      </c>
      <c r="B101" s="8" t="s">
        <v>153</v>
      </c>
      <c r="C101" s="9">
        <v>68.517832699276596</v>
      </c>
      <c r="D101" s="8">
        <v>17</v>
      </c>
      <c r="E101" s="8">
        <v>627</v>
      </c>
      <c r="F101" s="9">
        <v>9185.1858291817007</v>
      </c>
      <c r="G101" s="8" t="s">
        <v>38</v>
      </c>
      <c r="H101" s="8">
        <v>55</v>
      </c>
      <c r="I101" s="8">
        <v>8</v>
      </c>
      <c r="J101" s="8">
        <v>59</v>
      </c>
      <c r="K101" s="8">
        <v>6</v>
      </c>
      <c r="L101" s="8" t="s">
        <v>27</v>
      </c>
      <c r="M101" s="9">
        <v>1.3110237561206199</v>
      </c>
      <c r="N101" s="8" t="s">
        <v>61</v>
      </c>
      <c r="O101" s="8" t="s">
        <v>62</v>
      </c>
      <c r="P101" s="8">
        <v>29</v>
      </c>
      <c r="Q101" s="8">
        <v>921</v>
      </c>
      <c r="R101" s="8">
        <v>2</v>
      </c>
      <c r="S101" s="9">
        <v>38.072898520625998</v>
      </c>
      <c r="T101" s="8" t="s">
        <v>46</v>
      </c>
      <c r="U101" s="8">
        <v>0.34602729070550298</v>
      </c>
      <c r="V101" s="8" t="s">
        <v>47</v>
      </c>
      <c r="W101" s="8" t="s">
        <v>32</v>
      </c>
      <c r="X101" s="9">
        <v>210.743008964246</v>
      </c>
      <c r="Y101" s="93">
        <f>SQRT((2*Table1[[#This Row],[Number Of Products Sold]]*Table1[[#This Row],[Costs]])/(0.3*Table1[[#This Row],[Price]]))</f>
        <v>113.38691010476025</v>
      </c>
      <c r="Z101" s="64">
        <f>Table1[[#This Row],[Number Of Products Sold]]/Table1[[#This Row],[EOQ]]</f>
        <v>5.5297388333512503</v>
      </c>
      <c r="AA101" s="94">
        <f>360/Table1[[#This Row],[Optimum No of Orders]]</f>
        <v>65.102532117565687</v>
      </c>
    </row>
  </sheetData>
  <conditionalFormatting sqref="D2:D101">
    <cfRule type="cellIs" dxfId="2" priority="3" operator="greaterThan">
      <formula>153</formula>
    </cfRule>
  </conditionalFormatting>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1F72BE-41A4-4CD0-BE34-38D68FF9FDAE}">
  <dimension ref="A13:J13"/>
  <sheetViews>
    <sheetView tabSelected="1" workbookViewId="0"/>
  </sheetViews>
  <sheetFormatPr defaultRowHeight="14.4" x14ac:dyDescent="0.3"/>
  <cols>
    <col min="1" max="4" width="8.88671875" style="89"/>
    <col min="5" max="16384" width="8.88671875" style="32"/>
  </cols>
  <sheetData>
    <row r="13" spans="10:10" x14ac:dyDescent="0.3">
      <c r="J13"/>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9F0E6D-C819-48E6-B704-E719E1BA864C}">
  <dimension ref="A1:W101"/>
  <sheetViews>
    <sheetView topLeftCell="E12" workbookViewId="0">
      <selection activeCell="E70" sqref="E70"/>
    </sheetView>
  </sheetViews>
  <sheetFormatPr defaultRowHeight="14.4" x14ac:dyDescent="0.3"/>
  <cols>
    <col min="1" max="1" width="24.21875" bestFit="1" customWidth="1"/>
    <col min="2" max="2" width="15.5546875" bestFit="1" customWidth="1"/>
    <col min="3" max="3" width="29.21875" bestFit="1" customWidth="1"/>
    <col min="4" max="4" width="12.5546875" bestFit="1" customWidth="1"/>
    <col min="5" max="5" width="19.33203125" bestFit="1" customWidth="1"/>
    <col min="6" max="6" width="20.21875" bestFit="1" customWidth="1"/>
    <col min="7" max="7" width="10.77734375" bestFit="1" customWidth="1"/>
    <col min="8" max="8" width="20.109375" bestFit="1" customWidth="1"/>
    <col min="9" max="9" width="13.33203125" bestFit="1" customWidth="1"/>
    <col min="10" max="10" width="12.88671875" bestFit="1" customWidth="1"/>
    <col min="11" max="11" width="13.88671875" bestFit="1" customWidth="1"/>
    <col min="19" max="19" width="14.88671875" bestFit="1" customWidth="1"/>
    <col min="21" max="21" width="20.33203125" bestFit="1" customWidth="1"/>
    <col min="22" max="22" width="21" bestFit="1" customWidth="1"/>
    <col min="23" max="23" width="12.21875" bestFit="1" customWidth="1"/>
  </cols>
  <sheetData>
    <row r="1" spans="1:23" x14ac:dyDescent="0.3">
      <c r="R1" s="10" t="s">
        <v>1</v>
      </c>
      <c r="S1" s="10" t="s">
        <v>169</v>
      </c>
      <c r="T1" s="10" t="s">
        <v>223</v>
      </c>
      <c r="U1" s="10" t="s">
        <v>238</v>
      </c>
      <c r="V1" s="10" t="s">
        <v>239</v>
      </c>
      <c r="W1" s="10" t="s">
        <v>154</v>
      </c>
    </row>
    <row r="2" spans="1:23" ht="32.4" customHeight="1" x14ac:dyDescent="0.3">
      <c r="A2" s="39" t="s">
        <v>228</v>
      </c>
      <c r="B2" s="86" t="s">
        <v>225</v>
      </c>
      <c r="C2" s="85" t="s">
        <v>226</v>
      </c>
      <c r="D2" t="s">
        <v>227</v>
      </c>
      <c r="G2" s="27" t="s">
        <v>236</v>
      </c>
      <c r="H2" t="s">
        <v>231</v>
      </c>
      <c r="J2" s="29" t="s">
        <v>236</v>
      </c>
      <c r="K2" s="29" t="s">
        <v>231</v>
      </c>
      <c r="R2" s="15" t="s">
        <v>25</v>
      </c>
      <c r="S2" s="15">
        <v>96</v>
      </c>
      <c r="T2" s="95">
        <f>SQRT((2*Table1[[#This Row],[Number Of Products Sold]]*Table1[[#This Row],[Costs]])/(0.3*Table1[[#This Row],[Price]]))</f>
        <v>119.91715399347879</v>
      </c>
      <c r="U2" s="95">
        <f>Table1[[#This Row],[Number Of Products Sold]]/Table1[[#This Row],[EOQ]]</f>
        <v>6.6879505833136559</v>
      </c>
      <c r="V2" s="96">
        <f>360/Table1[[#This Row],[Optimum No of Orders]]</f>
        <v>53.82814892475357</v>
      </c>
      <c r="W2" s="15" t="s">
        <v>155</v>
      </c>
    </row>
    <row r="3" spans="1:23" x14ac:dyDescent="0.3">
      <c r="A3" s="28" t="s">
        <v>35</v>
      </c>
      <c r="B3" s="1">
        <v>161514.48912163053</v>
      </c>
      <c r="C3">
        <v>12801</v>
      </c>
      <c r="D3">
        <f>GETPIVOTDATA("Sum of Revenue Generated",$A$2,"Customer Demographics","Female")/GETPIVOTDATA("Sum of Number Of Products Sold",$A$2,"Customer Demographics","Female")</f>
        <v>12.617333733429462</v>
      </c>
      <c r="G3" s="28" t="s">
        <v>43</v>
      </c>
      <c r="H3" s="88">
        <v>6.0344827586206895</v>
      </c>
      <c r="J3" s="28" t="s">
        <v>36</v>
      </c>
      <c r="K3" s="88">
        <v>6.1428571428571432</v>
      </c>
      <c r="R3" s="2" t="s">
        <v>34</v>
      </c>
      <c r="S3" s="2">
        <v>37</v>
      </c>
      <c r="T3" s="62">
        <f>SQRT((2*Table1[[#This Row],[Number Of Products Sold]]*Table1[[#This Row],[Costs]])/(0.3*Table1[[#This Row],[Price]]))</f>
        <v>407.79047756521732</v>
      </c>
      <c r="U3" s="62">
        <f>Table1[[#This Row],[Number Of Products Sold]]/Table1[[#This Row],[EOQ]]</f>
        <v>1.8048484221466221</v>
      </c>
      <c r="V3" s="97">
        <f>360/Table1[[#This Row],[Optimum No of Orders]]</f>
        <v>199.46273359168239</v>
      </c>
      <c r="W3" s="2" t="s">
        <v>156</v>
      </c>
    </row>
    <row r="4" spans="1:23" x14ac:dyDescent="0.3">
      <c r="A4" s="28" t="s">
        <v>55</v>
      </c>
      <c r="B4" s="1">
        <v>126634.3942597939</v>
      </c>
      <c r="C4">
        <v>7507</v>
      </c>
      <c r="D4">
        <f>GETPIVOTDATA("Sum of Revenue Generated",$A$2,"Customer Demographics","Male")/GETPIVOTDATA("Sum of Number Of Products Sold",$A$2,"Customer Demographics","Male")</f>
        <v>16.868841649100027</v>
      </c>
      <c r="G4" s="28" t="s">
        <v>27</v>
      </c>
      <c r="H4" s="88">
        <v>5.3023255813953485</v>
      </c>
      <c r="J4" s="28" t="s">
        <v>27</v>
      </c>
      <c r="K4" s="88">
        <v>5.3023255813953485</v>
      </c>
      <c r="R4" s="15" t="s">
        <v>37</v>
      </c>
      <c r="S4" s="15">
        <v>88</v>
      </c>
      <c r="T4" s="98">
        <f>SQRT((2*Table1[[#This Row],[Number Of Products Sold]]*Table1[[#This Row],[Costs]])/(0.3*Table1[[#This Row],[Price]]))</f>
        <v>25.858567255027648</v>
      </c>
      <c r="U4" s="98">
        <f>Table1[[#This Row],[Number Of Products Sold]]/Table1[[#This Row],[EOQ]]</f>
        <v>0.30937522257520167</v>
      </c>
      <c r="V4" s="96">
        <f>360/Table1[[#This Row],[Optimum No of Orders]]</f>
        <v>1163.6355264762442</v>
      </c>
      <c r="W4" s="15" t="s">
        <v>155</v>
      </c>
    </row>
    <row r="5" spans="1:23" x14ac:dyDescent="0.3">
      <c r="A5" s="28" t="s">
        <v>160</v>
      </c>
      <c r="B5" s="1">
        <v>116365.80151960922</v>
      </c>
      <c r="C5">
        <v>10580</v>
      </c>
      <c r="D5">
        <f>GETPIVOTDATA("Sum of Revenue Generated",$A$2,"Customer Demographics","Non-Binary")/GETPIVOTDATA("Sum of Number Of Products Sold",$A$2,"Customer Demographics","Non-Binary")</f>
        <v>10.998657988620909</v>
      </c>
      <c r="G5" s="28" t="s">
        <v>36</v>
      </c>
      <c r="H5" s="88">
        <v>6.1428571428571432</v>
      </c>
      <c r="J5" s="28" t="s">
        <v>43</v>
      </c>
      <c r="K5" s="88">
        <v>6.0344827586206895</v>
      </c>
      <c r="R5" s="2" t="s">
        <v>42</v>
      </c>
      <c r="S5" s="2">
        <v>59</v>
      </c>
      <c r="T5" s="62">
        <f>SQRT((2*Table1[[#This Row],[Number Of Products Sold]]*Table1[[#This Row],[Costs]])/(0.3*Table1[[#This Row],[Price]]))</f>
        <v>48.00950215159439</v>
      </c>
      <c r="U5" s="62">
        <f>Table1[[#This Row],[Number Of Products Sold]]/Table1[[#This Row],[EOQ]]</f>
        <v>1.728824426004667</v>
      </c>
      <c r="V5" s="97">
        <f>360/Table1[[#This Row],[Optimum No of Orders]]</f>
        <v>208.23398523583108</v>
      </c>
      <c r="W5" s="2" t="s">
        <v>156</v>
      </c>
    </row>
    <row r="6" spans="1:23" x14ac:dyDescent="0.3">
      <c r="A6" s="28" t="s">
        <v>38</v>
      </c>
      <c r="B6" s="1">
        <v>173090.13383697456</v>
      </c>
      <c r="C6">
        <v>15211</v>
      </c>
      <c r="D6">
        <f>GETPIVOTDATA("Sum of Revenue Generated",$A$2,"Customer Demographics","Unknown")/GETPIVOTDATA("Sum of Number Of Products Sold",$A$2,"Customer Demographics","Unknown")</f>
        <v>11.379273804284699</v>
      </c>
      <c r="G6" s="28" t="s">
        <v>196</v>
      </c>
      <c r="H6" s="88">
        <v>5.75</v>
      </c>
      <c r="R6" s="15" t="s">
        <v>49</v>
      </c>
      <c r="S6" s="15">
        <v>56</v>
      </c>
      <c r="T6" s="98">
        <f>SQRT((2*Table1[[#This Row],[Number Of Products Sold]]*Table1[[#This Row],[Costs]])/(0.3*Table1[[#This Row],[Price]]))</f>
        <v>1056.328083697176</v>
      </c>
      <c r="U6" s="98">
        <f>Table1[[#This Row],[Number Of Products Sold]]/Table1[[#This Row],[EOQ]]</f>
        <v>0.82455442910452326</v>
      </c>
      <c r="V6" s="96">
        <f>360/Table1[[#This Row],[Optimum No of Orders]]</f>
        <v>436.59943757862612</v>
      </c>
      <c r="W6" s="15" t="s">
        <v>156</v>
      </c>
    </row>
    <row r="7" spans="1:23" x14ac:dyDescent="0.3">
      <c r="A7" s="83" t="s">
        <v>196</v>
      </c>
      <c r="B7" s="84">
        <v>577604.81873800815</v>
      </c>
      <c r="C7" s="39">
        <v>46099</v>
      </c>
      <c r="D7">
        <f>GETPIVOTDATA("Sum of Revenue Generated",$A$2)/GETPIVOTDATA("Sum of Number Of Products Sold",$A$2)</f>
        <v>12.529660485867549</v>
      </c>
      <c r="F7" s="91">
        <v>46099</v>
      </c>
      <c r="R7" s="2" t="s">
        <v>51</v>
      </c>
      <c r="S7" s="2">
        <v>66</v>
      </c>
      <c r="T7" s="62">
        <f>SQRT((2*Table1[[#This Row],[Number Of Products Sold]]*Table1[[#This Row],[Costs]])/(0.3*Table1[[#This Row],[Price]]))</f>
        <v>368.42691656165243</v>
      </c>
      <c r="U7" s="62">
        <f>Table1[[#This Row],[Number Of Products Sold]]/Table1[[#This Row],[EOQ]]</f>
        <v>0.39899364946480798</v>
      </c>
      <c r="V7" s="97">
        <f>360/Table1[[#This Row],[Optimum No of Orders]]</f>
        <v>902.26999974282228</v>
      </c>
      <c r="W7" s="2" t="s">
        <v>155</v>
      </c>
    </row>
    <row r="8" spans="1:23" x14ac:dyDescent="0.3">
      <c r="F8" s="90">
        <v>577604.81873800815</v>
      </c>
      <c r="R8" s="15" t="s">
        <v>54</v>
      </c>
      <c r="S8" s="15">
        <v>58</v>
      </c>
      <c r="T8" s="98">
        <f>SQRT((2*Table1[[#This Row],[Number Of Products Sold]]*Table1[[#This Row],[Costs]])/(0.3*Table1[[#This Row],[Price]]))</f>
        <v>119.48665777465961</v>
      </c>
      <c r="U8" s="98">
        <f>Table1[[#This Row],[Number Of Products Sold]]/Table1[[#This Row],[EOQ]]</f>
        <v>0.54399379152929173</v>
      </c>
      <c r="V8" s="96">
        <f>360/Table1[[#This Row],[Optimum No of Orders]]</f>
        <v>661.77225844426857</v>
      </c>
      <c r="W8" s="15" t="s">
        <v>156</v>
      </c>
    </row>
    <row r="9" spans="1:23" x14ac:dyDescent="0.3">
      <c r="R9" s="2" t="s">
        <v>58</v>
      </c>
      <c r="S9" s="2">
        <v>11</v>
      </c>
      <c r="T9" s="62">
        <f>SQRT((2*Table1[[#This Row],[Number Of Products Sold]]*Table1[[#This Row],[Costs]])/(0.3*Table1[[#This Row],[Price]]))</f>
        <v>230.27014297991101</v>
      </c>
      <c r="U9" s="62">
        <f>Table1[[#This Row],[Number Of Products Sold]]/Table1[[#This Row],[EOQ]]</f>
        <v>1.8500010226560923</v>
      </c>
      <c r="V9" s="97">
        <f>360/Table1[[#This Row],[Optimum No of Orders]]</f>
        <v>194.59448702527692</v>
      </c>
      <c r="W9" s="2" t="s">
        <v>157</v>
      </c>
    </row>
    <row r="10" spans="1:23" x14ac:dyDescent="0.3">
      <c r="A10" s="27" t="s">
        <v>195</v>
      </c>
      <c r="B10" t="s">
        <v>229</v>
      </c>
      <c r="C10" t="s">
        <v>226</v>
      </c>
      <c r="D10" t="s">
        <v>225</v>
      </c>
      <c r="E10" t="s">
        <v>227</v>
      </c>
      <c r="G10" s="27" t="s">
        <v>214</v>
      </c>
      <c r="H10" t="s">
        <v>232</v>
      </c>
      <c r="J10" t="s">
        <v>214</v>
      </c>
      <c r="K10" t="s">
        <v>232</v>
      </c>
      <c r="R10" s="15" t="s">
        <v>59</v>
      </c>
      <c r="S10" s="15">
        <v>15</v>
      </c>
      <c r="T10" s="98">
        <f>SQRT((2*Table1[[#This Row],[Number Of Products Sold]]*Table1[[#This Row],[Costs]])/(0.3*Table1[[#This Row],[Price]]))</f>
        <v>85.773106680231308</v>
      </c>
      <c r="U10" s="98">
        <f>Table1[[#This Row],[Number Of Products Sold]]/Table1[[#This Row],[EOQ]]</f>
        <v>1.748799895510506</v>
      </c>
      <c r="V10" s="96">
        <f>360/Table1[[#This Row],[Optimum No of Orders]]</f>
        <v>205.85545603255514</v>
      </c>
      <c r="W10" s="15" t="s">
        <v>157</v>
      </c>
    </row>
    <row r="11" spans="1:23" x14ac:dyDescent="0.3">
      <c r="A11" s="28" t="s">
        <v>157</v>
      </c>
      <c r="B11">
        <v>26</v>
      </c>
      <c r="C11">
        <v>11757</v>
      </c>
      <c r="D11" s="1">
        <v>161521.26599948306</v>
      </c>
      <c r="E11" s="1">
        <f>GETPIVOTDATA("Sum of Revenue Generated",$A$10,"Product Type","Cosmetics")/GETPIVOTDATA("Sum of Number Of Products Sold",$A$10,"Product Type","Cosmetics")</f>
        <v>13.7383062005174</v>
      </c>
      <c r="G11" s="28" t="s">
        <v>44</v>
      </c>
      <c r="H11" s="88">
        <v>14.722222222222221</v>
      </c>
      <c r="J11" t="s">
        <v>44</v>
      </c>
      <c r="K11" s="87">
        <v>14.722222222222221</v>
      </c>
      <c r="R11" s="2" t="s">
        <v>60</v>
      </c>
      <c r="S11" s="2">
        <v>83</v>
      </c>
      <c r="T11" s="62">
        <f>SQRT((2*Table1[[#This Row],[Number Of Products Sold]]*Table1[[#This Row],[Costs]])/(0.3*Table1[[#This Row],[Price]]))</f>
        <v>318.8146995134714</v>
      </c>
      <c r="U11" s="62">
        <f>Table1[[#This Row],[Number Of Products Sold]]/Table1[[#This Row],[EOQ]]</f>
        <v>3.073885870054089</v>
      </c>
      <c r="V11" s="97">
        <f>360/Table1[[#This Row],[Optimum No of Orders]]</f>
        <v>117.11560390290786</v>
      </c>
      <c r="W11" s="2" t="s">
        <v>156</v>
      </c>
    </row>
    <row r="12" spans="1:23" x14ac:dyDescent="0.3">
      <c r="A12" s="28" t="s">
        <v>155</v>
      </c>
      <c r="B12">
        <v>34</v>
      </c>
      <c r="C12">
        <v>13611</v>
      </c>
      <c r="D12" s="1">
        <v>174455.39060546222</v>
      </c>
      <c r="E12" s="1">
        <f>GETPIVOTDATA("Sum of Revenue Generated",$A$10,"Product Type","Haircare")/GETPIVOTDATA("Sum of Number Of Products Sold",$A$10,"Product Type","Haircare")</f>
        <v>12.817235368853297</v>
      </c>
      <c r="G12" s="28" t="s">
        <v>52</v>
      </c>
      <c r="H12" s="88">
        <v>17</v>
      </c>
      <c r="J12" t="s">
        <v>52</v>
      </c>
      <c r="K12" s="87">
        <v>17</v>
      </c>
      <c r="N12" s="29" t="s">
        <v>195</v>
      </c>
      <c r="O12" s="29" t="s">
        <v>230</v>
      </c>
      <c r="R12" s="15" t="s">
        <v>63</v>
      </c>
      <c r="S12" s="15">
        <v>80</v>
      </c>
      <c r="T12" s="98">
        <f>SQRT((2*Table1[[#This Row],[Number Of Products Sold]]*Table1[[#This Row],[Costs]])/(0.3*Table1[[#This Row],[Price]]))</f>
        <v>583.74306552558414</v>
      </c>
      <c r="U12" s="98">
        <f>Table1[[#This Row],[Number Of Products Sold]]/Table1[[#This Row],[EOQ]]</f>
        <v>1.7062301187308024</v>
      </c>
      <c r="V12" s="96">
        <f>360/Table1[[#This Row],[Optimum No of Orders]]</f>
        <v>210.99146946707859</v>
      </c>
      <c r="W12" s="15" t="s">
        <v>156</v>
      </c>
    </row>
    <row r="13" spans="1:23" x14ac:dyDescent="0.3">
      <c r="A13" s="28" t="s">
        <v>156</v>
      </c>
      <c r="B13">
        <v>40</v>
      </c>
      <c r="C13">
        <v>20731</v>
      </c>
      <c r="D13" s="1">
        <v>241628.16213306302</v>
      </c>
      <c r="E13" s="1">
        <f>GETPIVOTDATA("Sum of Revenue Generated",$A$10,"Product Type","Skincare")/GETPIVOTDATA("Sum of Number Of Products Sold",$A$10,"Product Type","Skincare")</f>
        <v>11.655403122524866</v>
      </c>
      <c r="G13" s="28" t="s">
        <v>28</v>
      </c>
      <c r="H13" s="88">
        <v>14.333333333333334</v>
      </c>
      <c r="J13" t="s">
        <v>28</v>
      </c>
      <c r="K13" s="87">
        <v>14.333333333333334</v>
      </c>
      <c r="N13" s="28" t="s">
        <v>31</v>
      </c>
      <c r="O13" s="88">
        <v>18.03448275862069</v>
      </c>
      <c r="R13" s="2" t="s">
        <v>65</v>
      </c>
      <c r="S13" s="2">
        <v>60</v>
      </c>
      <c r="T13" s="62">
        <f>SQRT((2*Table1[[#This Row],[Number Of Products Sold]]*Table1[[#This Row],[Costs]])/(0.3*Table1[[#This Row],[Price]]))</f>
        <v>94.595111950026507</v>
      </c>
      <c r="U13" s="62">
        <f>Table1[[#This Row],[Number Of Products Sold]]/Table1[[#This Row],[EOQ]]</f>
        <v>10.148515924450269</v>
      </c>
      <c r="V13" s="97">
        <f>360/Table1[[#This Row],[Optimum No of Orders]]</f>
        <v>35.473166981259943</v>
      </c>
      <c r="W13" s="2" t="s">
        <v>156</v>
      </c>
    </row>
    <row r="14" spans="1:23" x14ac:dyDescent="0.3">
      <c r="A14" s="28" t="s">
        <v>196</v>
      </c>
      <c r="B14">
        <v>100</v>
      </c>
      <c r="C14">
        <v>46099</v>
      </c>
      <c r="D14" s="1">
        <v>577604.81873800803</v>
      </c>
      <c r="E14" s="1">
        <f>GETPIVOTDATA("Sum of Revenue Generated",$A$10)/GETPIVOTDATA("Sum of Number Of Products Sold",$A$10)</f>
        <v>12.529660485867547</v>
      </c>
      <c r="G14" s="28" t="s">
        <v>61</v>
      </c>
      <c r="H14" s="88">
        <v>16.227272727272727</v>
      </c>
      <c r="J14" t="s">
        <v>61</v>
      </c>
      <c r="K14" s="87">
        <v>16.227272727272727</v>
      </c>
      <c r="N14" s="28" t="s">
        <v>47</v>
      </c>
      <c r="O14" s="88">
        <v>17.535714285714285</v>
      </c>
      <c r="R14" s="15" t="s">
        <v>66</v>
      </c>
      <c r="S14" s="15">
        <v>85</v>
      </c>
      <c r="T14" s="98">
        <f>SQRT((2*Table1[[#This Row],[Number Of Products Sold]]*Table1[[#This Row],[Costs]])/(0.3*Table1[[#This Row],[Price]]))</f>
        <v>112.58457352635722</v>
      </c>
      <c r="U14" s="98">
        <f>Table1[[#This Row],[Number Of Products Sold]]/Table1[[#This Row],[EOQ]]</f>
        <v>2.9844230828066238</v>
      </c>
      <c r="V14" s="96">
        <f>360/Table1[[#This Row],[Optimum No of Orders]]</f>
        <v>120.62632877823987</v>
      </c>
      <c r="W14" s="15" t="s">
        <v>155</v>
      </c>
    </row>
    <row r="15" spans="1:23" x14ac:dyDescent="0.3">
      <c r="G15" s="28" t="s">
        <v>39</v>
      </c>
      <c r="H15" s="88">
        <v>16.777777777777779</v>
      </c>
      <c r="J15" t="s">
        <v>39</v>
      </c>
      <c r="K15" s="87">
        <v>16.777777777777779</v>
      </c>
      <c r="N15" s="28" t="s">
        <v>56</v>
      </c>
      <c r="O15" s="88">
        <v>16.411764705882351</v>
      </c>
      <c r="R15" s="2" t="s">
        <v>67</v>
      </c>
      <c r="S15" s="2">
        <v>48</v>
      </c>
      <c r="T15" s="62">
        <f>SQRT((2*Table1[[#This Row],[Number Of Products Sold]]*Table1[[#This Row],[Costs]])/(0.3*Table1[[#This Row],[Price]]))</f>
        <v>237.09227105686674</v>
      </c>
      <c r="U15" s="62">
        <f>Table1[[#This Row],[Number Of Products Sold]]/Table1[[#This Row],[EOQ]]</f>
        <v>1.0502240283500308</v>
      </c>
      <c r="V15" s="97">
        <f>360/Table1[[#This Row],[Optimum No of Orders]]</f>
        <v>342.78400634727723</v>
      </c>
      <c r="W15" s="2" t="s">
        <v>156</v>
      </c>
    </row>
    <row r="16" spans="1:23" x14ac:dyDescent="0.3">
      <c r="G16" s="28" t="s">
        <v>196</v>
      </c>
      <c r="H16" s="88">
        <v>15.96</v>
      </c>
      <c r="N16" s="28" t="s">
        <v>40</v>
      </c>
      <c r="O16" s="88">
        <v>15.961538461538462</v>
      </c>
      <c r="R16" s="15" t="s">
        <v>68</v>
      </c>
      <c r="S16" s="15">
        <v>78</v>
      </c>
      <c r="T16" s="98">
        <f>SQRT((2*Table1[[#This Row],[Number Of Products Sold]]*Table1[[#This Row],[Costs]])/(0.3*Table1[[#This Row],[Price]]))</f>
        <v>187.36665771473818</v>
      </c>
      <c r="U16" s="98">
        <f>Table1[[#This Row],[Number Of Products Sold]]/Table1[[#This Row],[EOQ]]</f>
        <v>2.9994664304448087</v>
      </c>
      <c r="V16" s="96">
        <f>360/Table1[[#This Row],[Optimum No of Orders]]</f>
        <v>120.02134657883585</v>
      </c>
      <c r="W16" s="15" t="s">
        <v>156</v>
      </c>
    </row>
    <row r="17" spans="1:23" x14ac:dyDescent="0.3">
      <c r="A17" s="27" t="s">
        <v>195</v>
      </c>
      <c r="B17" t="s">
        <v>230</v>
      </c>
      <c r="D17" s="27" t="s">
        <v>195</v>
      </c>
      <c r="E17" t="s">
        <v>230</v>
      </c>
      <c r="R17" s="2" t="s">
        <v>69</v>
      </c>
      <c r="S17" s="2">
        <v>69</v>
      </c>
      <c r="T17" s="62">
        <f>SQRT((2*Table1[[#This Row],[Number Of Products Sold]]*Table1[[#This Row],[Costs]])/(0.3*Table1[[#This Row],[Price]]))</f>
        <v>103.96172232742846</v>
      </c>
      <c r="U17" s="62">
        <f>Table1[[#This Row],[Number Of Products Sold]]/Table1[[#This Row],[EOQ]]</f>
        <v>4.5112757801653185</v>
      </c>
      <c r="V17" s="97">
        <f>360/Table1[[#This Row],[Optimum No of Orders]]</f>
        <v>79.800042724678562</v>
      </c>
      <c r="W17" s="2" t="s">
        <v>156</v>
      </c>
    </row>
    <row r="18" spans="1:23" x14ac:dyDescent="0.3">
      <c r="A18" s="28" t="s">
        <v>31</v>
      </c>
      <c r="B18" s="88">
        <v>18.03448275862069</v>
      </c>
      <c r="D18" s="28" t="s">
        <v>41</v>
      </c>
      <c r="E18" s="88">
        <v>16.55</v>
      </c>
      <c r="G18" s="14"/>
      <c r="H18" s="14" t="s">
        <v>227</v>
      </c>
      <c r="I18" s="14" t="s">
        <v>234</v>
      </c>
      <c r="J18" s="14" t="s">
        <v>224</v>
      </c>
      <c r="K18" s="14" t="s">
        <v>235</v>
      </c>
      <c r="N18" s="29" t="s">
        <v>237</v>
      </c>
      <c r="O18" s="29" t="s">
        <v>230</v>
      </c>
      <c r="R18" s="15" t="s">
        <v>70</v>
      </c>
      <c r="S18" s="15">
        <v>78</v>
      </c>
      <c r="T18" s="98">
        <f>SQRT((2*Table1[[#This Row],[Number Of Products Sold]]*Table1[[#This Row],[Costs]])/(0.3*Table1[[#This Row],[Price]]))</f>
        <v>462.68057123818721</v>
      </c>
      <c r="U18" s="98">
        <f>Table1[[#This Row],[Number Of Products Sold]]/Table1[[#This Row],[EOQ]]</f>
        <v>0.60516913267113703</v>
      </c>
      <c r="V18" s="96">
        <f>360/Table1[[#This Row],[Optimum No of Orders]]</f>
        <v>594.87502016338362</v>
      </c>
      <c r="W18" s="15" t="s">
        <v>156</v>
      </c>
    </row>
    <row r="19" spans="1:23" x14ac:dyDescent="0.3">
      <c r="A19" s="28" t="s">
        <v>47</v>
      </c>
      <c r="B19" s="88">
        <v>17.535714285714285</v>
      </c>
      <c r="D19" s="28" t="s">
        <v>32</v>
      </c>
      <c r="E19" s="88">
        <v>18.162162162162161</v>
      </c>
      <c r="G19" s="40" t="s">
        <v>157</v>
      </c>
      <c r="H19" s="14">
        <f>GETPIVOTDATA("Sum of Revenue Generated",$A$10,"Product Type","Cosmetics")/GETPIVOTDATA("Sum of Number Of Products Sold",$A$10,"Product Type","Cosmetics")</f>
        <v>13.7383062005174</v>
      </c>
      <c r="I19" s="14">
        <f>AVERAGEIF(Table1[Product Type], 'General Analysis'!G19, Table1[Price])</f>
        <v>57.361057599328305</v>
      </c>
      <c r="J19" s="14">
        <f>AVERAGEIF(Table1[Product Type], 'General Analysis'!G19, Table1[Shipping Costs])+AVERAGEIF(Table1[Product Type], 'General Analysis'!G19, Table1[Manufacturing Costs])</f>
        <v>49.112881365407404</v>
      </c>
      <c r="K19" s="14">
        <f>I19+H19-J19</f>
        <v>21.986482434438301</v>
      </c>
      <c r="N19" s="28" t="s">
        <v>48</v>
      </c>
      <c r="O19" s="88">
        <v>16.395348837209301</v>
      </c>
      <c r="R19" s="2" t="s">
        <v>71</v>
      </c>
      <c r="S19" s="2">
        <v>85</v>
      </c>
      <c r="T19" s="62">
        <f>SQRT((2*Table1[[#This Row],[Number Of Products Sold]]*Table1[[#This Row],[Costs]])/(0.3*Table1[[#This Row],[Price]]))</f>
        <v>83.176513316586593</v>
      </c>
      <c r="U19" s="62">
        <f>Table1[[#This Row],[Number Of Products Sold]]/Table1[[#This Row],[EOQ]]</f>
        <v>1.5148507069588091</v>
      </c>
      <c r="V19" s="97">
        <f>360/Table1[[#This Row],[Optimum No of Orders]]</f>
        <v>237.64718090453312</v>
      </c>
      <c r="W19" s="2" t="s">
        <v>157</v>
      </c>
    </row>
    <row r="20" spans="1:23" x14ac:dyDescent="0.3">
      <c r="A20" s="28" t="s">
        <v>56</v>
      </c>
      <c r="B20" s="88">
        <v>16.411764705882351</v>
      </c>
      <c r="D20" s="28" t="s">
        <v>48</v>
      </c>
      <c r="E20" s="88">
        <v>16.395348837209301</v>
      </c>
      <c r="G20" s="40" t="s">
        <v>155</v>
      </c>
      <c r="H20" s="14">
        <f>GETPIVOTDATA("Sum of Revenue Generated",$A$10,"Product Type","Haircare")/GETPIVOTDATA("Sum of Number Of Products Sold",$A$10,"Product Type","Haircare")</f>
        <v>12.817235368853297</v>
      </c>
      <c r="I20" s="14">
        <f>AVERAGEIF(Table1[Product Type], 'General Analysis'!G20, Table1[Price])</f>
        <v>46.014278873737688</v>
      </c>
      <c r="J20" s="14">
        <f>AVERAGEIF(Table1[Product Type], 'General Analysis'!G20, Table1[Shipping Costs])+AVERAGEIF(Table1[Product Type], 'General Analysis'!G20, Table1[Manufacturing Costs])</f>
        <v>54.365750320500403</v>
      </c>
      <c r="K20" s="14">
        <f t="shared" ref="K20:K21" si="0">I20+H20-J20</f>
        <v>4.4657639220905807</v>
      </c>
      <c r="N20" s="28" t="s">
        <v>32</v>
      </c>
      <c r="O20" s="88">
        <v>18.162162162162161</v>
      </c>
      <c r="R20" s="15" t="s">
        <v>72</v>
      </c>
      <c r="S20" s="15">
        <v>46</v>
      </c>
      <c r="T20" s="98">
        <f>SQRT((2*Table1[[#This Row],[Number Of Products Sold]]*Table1[[#This Row],[Costs]])/(0.3*Table1[[#This Row],[Price]]))</f>
        <v>259.44335560415539</v>
      </c>
      <c r="U20" s="98">
        <f>Table1[[#This Row],[Number Of Products Sold]]/Table1[[#This Row],[EOQ]]</f>
        <v>2.3897316566702229</v>
      </c>
      <c r="V20" s="96">
        <f>360/Table1[[#This Row],[Optimum No of Orders]]</f>
        <v>150.64452906047731</v>
      </c>
      <c r="W20" s="15" t="s">
        <v>155</v>
      </c>
    </row>
    <row r="21" spans="1:23" x14ac:dyDescent="0.3">
      <c r="A21" s="28" t="s">
        <v>40</v>
      </c>
      <c r="B21" s="88">
        <v>15.961538461538462</v>
      </c>
      <c r="D21" s="28" t="s">
        <v>196</v>
      </c>
      <c r="E21" s="88">
        <v>17.079999999999998</v>
      </c>
      <c r="G21" s="40" t="s">
        <v>156</v>
      </c>
      <c r="H21" s="14">
        <f>GETPIVOTDATA("Sum of Revenue Generated",$A$10,"Product Type","Skincare")/GETPIVOTDATA("Sum of Number Of Products Sold",$A$10,"Product Type","Skincare")</f>
        <v>11.655403122524866</v>
      </c>
      <c r="I21" s="14">
        <f>AVERAGEIF(Table1[Product Type], 'General Analysis'!G21, Table1[Price])</f>
        <v>47.259328879368724</v>
      </c>
      <c r="J21" s="14">
        <f>AVERAGEIF(Table1[Product Type], 'General Analysis'!G21, Table1[Shipping Costs])+AVERAGEIF(Table1[Product Type], 'General Analysis'!G21, Table1[Manufacturing Costs])</f>
        <v>53.902845123783507</v>
      </c>
      <c r="K21" s="14">
        <f t="shared" si="0"/>
        <v>5.0118868781100829</v>
      </c>
      <c r="N21" s="28" t="s">
        <v>41</v>
      </c>
      <c r="O21" s="88">
        <v>16.55</v>
      </c>
      <c r="R21" s="2" t="s">
        <v>73</v>
      </c>
      <c r="S21" s="2">
        <v>94</v>
      </c>
      <c r="T21" s="62">
        <f>SQRT((2*Table1[[#This Row],[Number Of Products Sold]]*Table1[[#This Row],[Costs]])/(0.3*Table1[[#This Row],[Price]]))</f>
        <v>107.88535658914432</v>
      </c>
      <c r="U21" s="62">
        <f>Table1[[#This Row],[Number Of Products Sold]]/Table1[[#This Row],[EOQ]]</f>
        <v>1.733321424817132</v>
      </c>
      <c r="V21" s="97">
        <f>360/Table1[[#This Row],[Optimum No of Orders]]</f>
        <v>207.69373461011742</v>
      </c>
      <c r="W21" s="2" t="s">
        <v>156</v>
      </c>
    </row>
    <row r="22" spans="1:23" x14ac:dyDescent="0.3">
      <c r="A22" s="28" t="s">
        <v>196</v>
      </c>
      <c r="B22" s="88">
        <v>17.079999999999998</v>
      </c>
      <c r="R22" s="15" t="s">
        <v>74</v>
      </c>
      <c r="S22" s="15">
        <v>68</v>
      </c>
      <c r="T22" s="98">
        <f>SQRT((2*Table1[[#This Row],[Number Of Products Sold]]*Table1[[#This Row],[Costs]])/(0.3*Table1[[#This Row],[Price]]))</f>
        <v>104.57562737441745</v>
      </c>
      <c r="U22" s="98">
        <f>Table1[[#This Row],[Number Of Products Sold]]/Table1[[#This Row],[EOQ]]</f>
        <v>3.0599864235505629</v>
      </c>
      <c r="V22" s="96">
        <f>360/Table1[[#This Row],[Optimum No of Orders]]</f>
        <v>117.64758079621963</v>
      </c>
      <c r="W22" s="15" t="s">
        <v>156</v>
      </c>
    </row>
    <row r="23" spans="1:23" x14ac:dyDescent="0.3">
      <c r="R23" s="2" t="s">
        <v>75</v>
      </c>
      <c r="S23" s="2">
        <v>7</v>
      </c>
      <c r="T23" s="62">
        <f>SQRT((2*Table1[[#This Row],[Number Of Products Sold]]*Table1[[#This Row],[Costs]])/(0.3*Table1[[#This Row],[Price]]))</f>
        <v>157.16436639374501</v>
      </c>
      <c r="U23" s="62">
        <f>Table1[[#This Row],[Number Of Products Sold]]/Table1[[#This Row],[EOQ]]</f>
        <v>3.8240220336861244</v>
      </c>
      <c r="V23" s="97">
        <f>360/Table1[[#This Row],[Optimum No of Orders]]</f>
        <v>94.141716974622639</v>
      </c>
      <c r="W23" s="2" t="s">
        <v>157</v>
      </c>
    </row>
    <row r="24" spans="1:23" x14ac:dyDescent="0.3">
      <c r="R24" s="15" t="s">
        <v>76</v>
      </c>
      <c r="S24" s="15">
        <v>63</v>
      </c>
      <c r="T24" s="98">
        <f>SQRT((2*Table1[[#This Row],[Number Of Products Sold]]*Table1[[#This Row],[Costs]])/(0.3*Table1[[#This Row],[Price]]))</f>
        <v>209.20938132520277</v>
      </c>
      <c r="U24" s="98">
        <f>Table1[[#This Row],[Number Of Products Sold]]/Table1[[#This Row],[EOQ]]</f>
        <v>4.2254319304442562</v>
      </c>
      <c r="V24" s="96">
        <f>360/Table1[[#This Row],[Optimum No of Orders]]</f>
        <v>85.198390584924198</v>
      </c>
      <c r="W24" s="15" t="s">
        <v>155</v>
      </c>
    </row>
    <row r="25" spans="1:23" x14ac:dyDescent="0.3">
      <c r="A25" s="27" t="s">
        <v>233</v>
      </c>
      <c r="B25" s="27" t="s">
        <v>198</v>
      </c>
      <c r="G25" s="27" t="s">
        <v>233</v>
      </c>
      <c r="H25" s="27" t="s">
        <v>198</v>
      </c>
      <c r="R25" s="2" t="s">
        <v>77</v>
      </c>
      <c r="S25" s="2">
        <v>29</v>
      </c>
      <c r="T25" s="62">
        <f>SQRT((2*Table1[[#This Row],[Number Of Products Sold]]*Table1[[#This Row],[Costs]])/(0.3*Table1[[#This Row],[Price]]))</f>
        <v>344.0135063950259</v>
      </c>
      <c r="U25" s="62">
        <f>Table1[[#This Row],[Number Of Products Sold]]/Table1[[#This Row],[EOQ]]</f>
        <v>1.1365832815616843</v>
      </c>
      <c r="V25" s="97">
        <f>360/Table1[[#This Row],[Optimum No of Orders]]</f>
        <v>316.73877826652</v>
      </c>
      <c r="W25" s="2" t="s">
        <v>157</v>
      </c>
    </row>
    <row r="26" spans="1:23" x14ac:dyDescent="0.3">
      <c r="A26" s="27" t="s">
        <v>195</v>
      </c>
      <c r="B26" t="s">
        <v>46</v>
      </c>
      <c r="C26" t="s">
        <v>64</v>
      </c>
      <c r="D26" t="s">
        <v>30</v>
      </c>
      <c r="E26" t="s">
        <v>196</v>
      </c>
      <c r="G26" s="27" t="s">
        <v>214</v>
      </c>
      <c r="H26" t="s">
        <v>46</v>
      </c>
      <c r="I26" t="s">
        <v>64</v>
      </c>
      <c r="J26" t="s">
        <v>30</v>
      </c>
      <c r="K26" t="s">
        <v>196</v>
      </c>
      <c r="M26" t="s">
        <v>214</v>
      </c>
      <c r="N26" t="s">
        <v>46</v>
      </c>
      <c r="O26" t="s">
        <v>64</v>
      </c>
      <c r="P26" t="s">
        <v>30</v>
      </c>
      <c r="R26" s="15" t="s">
        <v>78</v>
      </c>
      <c r="S26" s="15">
        <v>2</v>
      </c>
      <c r="T26" s="98">
        <f>SQRT((2*Table1[[#This Row],[Number Of Products Sold]]*Table1[[#This Row],[Costs]])/(0.3*Table1[[#This Row],[Price]]))</f>
        <v>504.3311175852449</v>
      </c>
      <c r="U26" s="98">
        <f>Table1[[#This Row],[Number Of Products Sold]]/Table1[[#This Row],[EOQ]]</f>
        <v>0.41441028069158087</v>
      </c>
      <c r="V26" s="96">
        <f>360/Table1[[#This Row],[Optimum No of Orders]]</f>
        <v>868.70431737171361</v>
      </c>
      <c r="W26" s="15" t="s">
        <v>155</v>
      </c>
    </row>
    <row r="27" spans="1:23" x14ac:dyDescent="0.3">
      <c r="A27" s="28" t="s">
        <v>157</v>
      </c>
      <c r="B27">
        <v>10</v>
      </c>
      <c r="C27">
        <v>6</v>
      </c>
      <c r="D27">
        <v>10</v>
      </c>
      <c r="E27">
        <v>26</v>
      </c>
      <c r="G27" s="28" t="s">
        <v>39</v>
      </c>
      <c r="H27">
        <v>6</v>
      </c>
      <c r="I27">
        <v>13</v>
      </c>
      <c r="J27">
        <v>8</v>
      </c>
      <c r="K27">
        <v>27</v>
      </c>
      <c r="M27" t="s">
        <v>39</v>
      </c>
      <c r="N27">
        <v>6</v>
      </c>
      <c r="O27">
        <v>13</v>
      </c>
      <c r="P27">
        <v>8</v>
      </c>
      <c r="R27" s="2" t="s">
        <v>79</v>
      </c>
      <c r="S27" s="2">
        <v>52</v>
      </c>
      <c r="T27" s="62">
        <f>SQRT((2*Table1[[#This Row],[Number Of Products Sold]]*Table1[[#This Row],[Costs]])/(0.3*Table1[[#This Row],[Price]]))</f>
        <v>104.65905148162831</v>
      </c>
      <c r="U27" s="62">
        <f>Table1[[#This Row],[Number Of Products Sold]]/Table1[[#This Row],[EOQ]]</f>
        <v>1.3567866131953858</v>
      </c>
      <c r="V27" s="97">
        <f>360/Table1[[#This Row],[Optimum No of Orders]]</f>
        <v>265.33280657314219</v>
      </c>
      <c r="W27" s="2" t="s">
        <v>155</v>
      </c>
    </row>
    <row r="28" spans="1:23" x14ac:dyDescent="0.3">
      <c r="A28" s="28" t="s">
        <v>155</v>
      </c>
      <c r="B28">
        <v>13</v>
      </c>
      <c r="C28">
        <v>6</v>
      </c>
      <c r="D28">
        <v>15</v>
      </c>
      <c r="E28">
        <v>34</v>
      </c>
      <c r="G28" s="28" t="s">
        <v>61</v>
      </c>
      <c r="H28">
        <v>8</v>
      </c>
      <c r="I28">
        <v>5</v>
      </c>
      <c r="J28">
        <v>9</v>
      </c>
      <c r="K28">
        <v>22</v>
      </c>
      <c r="M28" t="s">
        <v>61</v>
      </c>
      <c r="N28">
        <v>8</v>
      </c>
      <c r="O28">
        <v>5</v>
      </c>
      <c r="P28">
        <v>9</v>
      </c>
      <c r="R28" s="15" t="s">
        <v>80</v>
      </c>
      <c r="S28" s="15">
        <v>48</v>
      </c>
      <c r="T28" s="98">
        <f>SQRT((2*Table1[[#This Row],[Number Of Products Sold]]*Table1[[#This Row],[Costs]])/(0.3*Table1[[#This Row],[Price]]))</f>
        <v>122.15326404353743</v>
      </c>
      <c r="U28" s="98">
        <f>Table1[[#This Row],[Number Of Products Sold]]/Table1[[#This Row],[EOQ]]</f>
        <v>2.8898122597377749</v>
      </c>
      <c r="V28" s="96">
        <f>360/Table1[[#This Row],[Optimum No of Orders]]</f>
        <v>124.5755667299532</v>
      </c>
      <c r="W28" s="15" t="s">
        <v>155</v>
      </c>
    </row>
    <row r="29" spans="1:23" x14ac:dyDescent="0.3">
      <c r="A29" s="28" t="s">
        <v>156</v>
      </c>
      <c r="B29">
        <v>13</v>
      </c>
      <c r="C29">
        <v>11</v>
      </c>
      <c r="D29">
        <v>16</v>
      </c>
      <c r="E29">
        <v>40</v>
      </c>
      <c r="G29" s="28" t="s">
        <v>28</v>
      </c>
      <c r="H29">
        <v>3</v>
      </c>
      <c r="I29">
        <v>2</v>
      </c>
      <c r="J29">
        <v>10</v>
      </c>
      <c r="K29">
        <v>15</v>
      </c>
      <c r="M29" t="s">
        <v>28</v>
      </c>
      <c r="N29">
        <v>3</v>
      </c>
      <c r="O29">
        <v>2</v>
      </c>
      <c r="P29">
        <v>10</v>
      </c>
      <c r="R29" s="2" t="s">
        <v>81</v>
      </c>
      <c r="S29" s="2">
        <v>62</v>
      </c>
      <c r="T29" s="62">
        <f>SQRT((2*Table1[[#This Row],[Number Of Products Sold]]*Table1[[#This Row],[Costs]])/(0.3*Table1[[#This Row],[Price]]))</f>
        <v>139.03640194741359</v>
      </c>
      <c r="U29" s="62">
        <f>Table1[[#This Row],[Number Of Products Sold]]/Table1[[#This Row],[EOQ]]</f>
        <v>2.5317110847929851</v>
      </c>
      <c r="V29" s="97">
        <f>360/Table1[[#This Row],[Optimum No of Orders]]</f>
        <v>142.19632017349119</v>
      </c>
      <c r="W29" s="2" t="s">
        <v>157</v>
      </c>
    </row>
    <row r="30" spans="1:23" x14ac:dyDescent="0.3">
      <c r="A30" s="28" t="s">
        <v>196</v>
      </c>
      <c r="B30">
        <v>36</v>
      </c>
      <c r="C30">
        <v>23</v>
      </c>
      <c r="D30">
        <v>41</v>
      </c>
      <c r="E30">
        <v>100</v>
      </c>
      <c r="G30" s="28" t="s">
        <v>52</v>
      </c>
      <c r="H30">
        <v>12</v>
      </c>
      <c r="J30">
        <v>6</v>
      </c>
      <c r="K30">
        <v>18</v>
      </c>
      <c r="M30" t="s">
        <v>52</v>
      </c>
      <c r="N30">
        <v>12</v>
      </c>
      <c r="O30">
        <v>0</v>
      </c>
      <c r="P30">
        <v>6</v>
      </c>
      <c r="R30" s="15" t="s">
        <v>82</v>
      </c>
      <c r="S30" s="15">
        <v>24</v>
      </c>
      <c r="T30" s="98">
        <f>SQRT((2*Table1[[#This Row],[Number Of Products Sold]]*Table1[[#This Row],[Costs]])/(0.3*Table1[[#This Row],[Price]]))</f>
        <v>367.76153829136996</v>
      </c>
      <c r="U30" s="98">
        <f>Table1[[#This Row],[Number Of Products Sold]]/Table1[[#This Row],[EOQ]]</f>
        <v>1.0713463997092645</v>
      </c>
      <c r="V30" s="96">
        <f>360/Table1[[#This Row],[Optimum No of Orders]]</f>
        <v>336.02577102764764</v>
      </c>
      <c r="W30" s="15" t="s">
        <v>157</v>
      </c>
    </row>
    <row r="31" spans="1:23" x14ac:dyDescent="0.3">
      <c r="G31" s="28" t="s">
        <v>44</v>
      </c>
      <c r="H31">
        <v>7</v>
      </c>
      <c r="I31">
        <v>3</v>
      </c>
      <c r="J31">
        <v>8</v>
      </c>
      <c r="K31">
        <v>18</v>
      </c>
      <c r="M31" t="s">
        <v>44</v>
      </c>
      <c r="N31">
        <v>7</v>
      </c>
      <c r="O31">
        <v>3</v>
      </c>
      <c r="P31">
        <v>8</v>
      </c>
      <c r="R31" s="2" t="s">
        <v>83</v>
      </c>
      <c r="S31" s="2">
        <v>67</v>
      </c>
      <c r="T31" s="62">
        <f>SQRT((2*Table1[[#This Row],[Number Of Products Sold]]*Table1[[#This Row],[Costs]])/(0.3*Table1[[#This Row],[Price]]))</f>
        <v>142.60000619700625</v>
      </c>
      <c r="U31" s="62">
        <f>Table1[[#This Row],[Number Of Products Sold]]/Table1[[#This Row],[EOQ]]</f>
        <v>1.7741934712854976</v>
      </c>
      <c r="V31" s="97">
        <f>360/Table1[[#This Row],[Optimum No of Orders]]</f>
        <v>202.90909972696542</v>
      </c>
      <c r="W31" s="2" t="s">
        <v>157</v>
      </c>
    </row>
    <row r="32" spans="1:23" x14ac:dyDescent="0.3">
      <c r="G32" s="28" t="s">
        <v>196</v>
      </c>
      <c r="H32">
        <v>36</v>
      </c>
      <c r="I32">
        <v>23</v>
      </c>
      <c r="J32">
        <v>41</v>
      </c>
      <c r="K32">
        <v>100</v>
      </c>
      <c r="R32" s="15" t="s">
        <v>84</v>
      </c>
      <c r="S32" s="15">
        <v>35</v>
      </c>
      <c r="T32" s="98">
        <f>SQRT((2*Table1[[#This Row],[Number Of Products Sold]]*Table1[[#This Row],[Costs]])/(0.3*Table1[[#This Row],[Price]]))</f>
        <v>489.01815294248354</v>
      </c>
      <c r="U32" s="98">
        <f>Table1[[#This Row],[Number Of Products Sold]]/Table1[[#This Row],[EOQ]]</f>
        <v>0.6686868330600817</v>
      </c>
      <c r="V32" s="96">
        <f>360/Table1[[#This Row],[Optimum No of Orders]]</f>
        <v>538.36860874401862</v>
      </c>
      <c r="W32" s="15" t="s">
        <v>155</v>
      </c>
    </row>
    <row r="33" spans="1:23" x14ac:dyDescent="0.3">
      <c r="R33" s="2" t="s">
        <v>85</v>
      </c>
      <c r="S33" s="2">
        <v>44</v>
      </c>
      <c r="T33" s="62">
        <f>SQRT((2*Table1[[#This Row],[Number Of Products Sold]]*Table1[[#This Row],[Costs]])/(0.3*Table1[[#This Row],[Price]]))</f>
        <v>115.85598691593887</v>
      </c>
      <c r="U33" s="62">
        <f>Table1[[#This Row],[Number Of Products Sold]]/Table1[[#This Row],[EOQ]]</f>
        <v>1.4500761201222603</v>
      </c>
      <c r="V33" s="97">
        <f>360/Table1[[#This Row],[Optimum No of Orders]]</f>
        <v>248.26282910558331</v>
      </c>
      <c r="W33" s="2" t="s">
        <v>156</v>
      </c>
    </row>
    <row r="34" spans="1:23" x14ac:dyDescent="0.3">
      <c r="A34" t="s">
        <v>200</v>
      </c>
      <c r="B34" t="s">
        <v>229</v>
      </c>
      <c r="C34" t="s">
        <v>226</v>
      </c>
      <c r="D34" t="s">
        <v>225</v>
      </c>
      <c r="E34" t="s">
        <v>227</v>
      </c>
      <c r="R34" s="15" t="s">
        <v>86</v>
      </c>
      <c r="S34" s="15">
        <v>64</v>
      </c>
      <c r="T34" s="98">
        <f>SQRT((2*Table1[[#This Row],[Number Of Products Sold]]*Table1[[#This Row],[Costs]])/(0.3*Table1[[#This Row],[Price]]))</f>
        <v>223.68249743558781</v>
      </c>
      <c r="U34" s="98">
        <f>Table1[[#This Row],[Number Of Products Sold]]/Table1[[#This Row],[EOQ]]</f>
        <v>3.4915561519286897</v>
      </c>
      <c r="V34" s="96">
        <f>360/Table1[[#This Row],[Optimum No of Orders]]</f>
        <v>103.10588870270374</v>
      </c>
      <c r="W34" s="15" t="s">
        <v>156</v>
      </c>
    </row>
    <row r="35" spans="1:23" x14ac:dyDescent="0.3">
      <c r="A35" t="s">
        <v>156</v>
      </c>
      <c r="B35">
        <v>40</v>
      </c>
      <c r="C35">
        <v>20731</v>
      </c>
      <c r="D35">
        <v>241628.16213306302</v>
      </c>
      <c r="E35">
        <v>11.655403122524866</v>
      </c>
      <c r="M35" s="29"/>
      <c r="N35" s="29" t="s">
        <v>46</v>
      </c>
      <c r="O35" s="29" t="s">
        <v>64</v>
      </c>
      <c r="P35" s="29" t="s">
        <v>30</v>
      </c>
      <c r="R35" s="2" t="s">
        <v>87</v>
      </c>
      <c r="S35" s="2">
        <v>95</v>
      </c>
      <c r="T35" s="62">
        <f>SQRT((2*Table1[[#This Row],[Number Of Products Sold]]*Table1[[#This Row],[Costs]])/(0.3*Table1[[#This Row],[Price]]))</f>
        <v>153.39416870545409</v>
      </c>
      <c r="U35" s="62">
        <f>Table1[[#This Row],[Number Of Products Sold]]/Table1[[#This Row],[EOQ]]</f>
        <v>4.0157980267348812</v>
      </c>
      <c r="V35" s="97">
        <f>360/Table1[[#This Row],[Optimum No of Orders]]</f>
        <v>89.645942749940701</v>
      </c>
      <c r="W35" s="2" t="s">
        <v>157</v>
      </c>
    </row>
    <row r="36" spans="1:23" x14ac:dyDescent="0.3">
      <c r="A36" t="s">
        <v>155</v>
      </c>
      <c r="B36">
        <v>34</v>
      </c>
      <c r="C36">
        <v>13611</v>
      </c>
      <c r="D36">
        <v>174455.39060546222</v>
      </c>
      <c r="E36">
        <v>12.817235368853297</v>
      </c>
      <c r="N36" s="92">
        <v>36</v>
      </c>
      <c r="O36" s="92">
        <v>23</v>
      </c>
      <c r="P36" s="92">
        <v>41</v>
      </c>
      <c r="R36" s="15" t="s">
        <v>88</v>
      </c>
      <c r="S36" s="15">
        <v>21</v>
      </c>
      <c r="T36" s="98">
        <f>SQRT((2*Table1[[#This Row],[Number Of Products Sold]]*Table1[[#This Row],[Costs]])/(0.3*Table1[[#This Row],[Price]]))</f>
        <v>233.80951800619732</v>
      </c>
      <c r="U36" s="98">
        <f>Table1[[#This Row],[Number Of Products Sold]]/Table1[[#This Row],[EOQ]]</f>
        <v>2.5747454814223749</v>
      </c>
      <c r="V36" s="96">
        <f>360/Table1[[#This Row],[Optimum No of Orders]]</f>
        <v>139.81964531932067</v>
      </c>
      <c r="W36" s="15" t="s">
        <v>156</v>
      </c>
    </row>
    <row r="37" spans="1:23" x14ac:dyDescent="0.3">
      <c r="A37" t="s">
        <v>157</v>
      </c>
      <c r="B37">
        <v>26</v>
      </c>
      <c r="C37">
        <v>11757</v>
      </c>
      <c r="D37">
        <v>161521.26599948306</v>
      </c>
      <c r="E37">
        <v>13.7383062005174</v>
      </c>
      <c r="G37" t="s">
        <v>200</v>
      </c>
      <c r="H37" t="s">
        <v>226</v>
      </c>
      <c r="I37" t="s">
        <v>225</v>
      </c>
      <c r="J37" t="s">
        <v>227</v>
      </c>
      <c r="R37" s="2" t="s">
        <v>89</v>
      </c>
      <c r="S37" s="2">
        <v>85</v>
      </c>
      <c r="T37" s="62">
        <f>SQRT((2*Table1[[#This Row],[Number Of Products Sold]]*Table1[[#This Row],[Costs]])/(0.3*Table1[[#This Row],[Price]]))</f>
        <v>139.63797936271152</v>
      </c>
      <c r="U37" s="62">
        <f>Table1[[#This Row],[Number Of Products Sold]]/Table1[[#This Row],[EOQ]]</f>
        <v>3.2154575857454688</v>
      </c>
      <c r="V37" s="97">
        <f>360/Table1[[#This Row],[Optimum No of Orders]]</f>
        <v>111.9591816716618</v>
      </c>
      <c r="W37" s="2" t="s">
        <v>157</v>
      </c>
    </row>
    <row r="38" spans="1:23" x14ac:dyDescent="0.3">
      <c r="G38" t="s">
        <v>156</v>
      </c>
      <c r="H38">
        <v>20731</v>
      </c>
      <c r="I38">
        <v>241628.16213306302</v>
      </c>
      <c r="J38">
        <v>11.655403122524866</v>
      </c>
      <c r="R38" s="15" t="s">
        <v>90</v>
      </c>
      <c r="S38" s="15">
        <v>28</v>
      </c>
      <c r="T38" s="98">
        <f>SQRT((2*Table1[[#This Row],[Number Of Products Sold]]*Table1[[#This Row],[Costs]])/(0.3*Table1[[#This Row],[Price]]))</f>
        <v>513.98984754126627</v>
      </c>
      <c r="U38" s="98">
        <f>Table1[[#This Row],[Number Of Products Sold]]/Table1[[#This Row],[EOQ]]</f>
        <v>1.8735778626885902</v>
      </c>
      <c r="V38" s="96">
        <f>360/Table1[[#This Row],[Optimum No of Orders]]</f>
        <v>192.14573739860421</v>
      </c>
      <c r="W38" s="15" t="s">
        <v>156</v>
      </c>
    </row>
    <row r="39" spans="1:23" x14ac:dyDescent="0.3">
      <c r="G39" t="s">
        <v>155</v>
      </c>
      <c r="H39">
        <v>13611</v>
      </c>
      <c r="I39">
        <v>174455.39060546222</v>
      </c>
      <c r="J39">
        <v>12.817235368853297</v>
      </c>
      <c r="R39" s="2" t="s">
        <v>91</v>
      </c>
      <c r="S39" s="2">
        <v>21</v>
      </c>
      <c r="T39" s="62">
        <f>SQRT((2*Table1[[#This Row],[Number Of Products Sold]]*Table1[[#This Row],[Costs]])/(0.3*Table1[[#This Row],[Price]]))</f>
        <v>224.64192677860444</v>
      </c>
      <c r="U39" s="62">
        <f>Table1[[#This Row],[Number Of Products Sold]]/Table1[[#This Row],[EOQ]]</f>
        <v>4.2868222054963203</v>
      </c>
      <c r="V39" s="97">
        <f>360/Table1[[#This Row],[Optimum No of Orders]]</f>
        <v>83.978290384525025</v>
      </c>
      <c r="W39" s="2" t="s">
        <v>156</v>
      </c>
    </row>
    <row r="40" spans="1:23" x14ac:dyDescent="0.3">
      <c r="G40" t="s">
        <v>157</v>
      </c>
      <c r="H40">
        <v>11757</v>
      </c>
      <c r="I40">
        <v>161521.26599948306</v>
      </c>
      <c r="J40">
        <v>13.7383062005174</v>
      </c>
      <c r="R40" s="15" t="s">
        <v>92</v>
      </c>
      <c r="S40" s="15">
        <v>88</v>
      </c>
      <c r="T40" s="98">
        <f>SQRT((2*Table1[[#This Row],[Number Of Products Sold]]*Table1[[#This Row],[Costs]])/(0.3*Table1[[#This Row],[Price]]))</f>
        <v>175.08979699257299</v>
      </c>
      <c r="U40" s="98">
        <f>Table1[[#This Row],[Number Of Products Sold]]/Table1[[#This Row],[EOQ]]</f>
        <v>4.0265053253211835</v>
      </c>
      <c r="V40" s="96">
        <f>360/Table1[[#This Row],[Optimum No of Orders]]</f>
        <v>89.407555911101085</v>
      </c>
      <c r="W40" s="15" t="s">
        <v>157</v>
      </c>
    </row>
    <row r="41" spans="1:23" x14ac:dyDescent="0.3">
      <c r="R41" s="2" t="s">
        <v>93</v>
      </c>
      <c r="S41" s="2">
        <v>34</v>
      </c>
      <c r="T41" s="62">
        <f>SQRT((2*Table1[[#This Row],[Number Of Products Sold]]*Table1[[#This Row],[Costs]])/(0.3*Table1[[#This Row],[Price]]))</f>
        <v>200.2452065274224</v>
      </c>
      <c r="U41" s="62">
        <f>Table1[[#This Row],[Number Of Products Sold]]/Table1[[#This Row],[EOQ]]</f>
        <v>0.8789224124368632</v>
      </c>
      <c r="V41" s="97">
        <f>360/Table1[[#This Row],[Optimum No of Orders]]</f>
        <v>409.59246789700035</v>
      </c>
      <c r="W41" s="2" t="s">
        <v>156</v>
      </c>
    </row>
    <row r="42" spans="1:23" x14ac:dyDescent="0.3">
      <c r="A42" t="s">
        <v>200</v>
      </c>
      <c r="B42" t="s">
        <v>157</v>
      </c>
      <c r="C42" t="s">
        <v>155</v>
      </c>
      <c r="D42" t="s">
        <v>156</v>
      </c>
      <c r="E42" t="s">
        <v>196</v>
      </c>
      <c r="R42" s="15" t="s">
        <v>94</v>
      </c>
      <c r="S42" s="15">
        <v>39</v>
      </c>
      <c r="T42" s="98">
        <f>SQRT((2*Table1[[#This Row],[Number Of Products Sold]]*Table1[[#This Row],[Costs]])/(0.3*Table1[[#This Row],[Price]]))</f>
        <v>202.2763426611593</v>
      </c>
      <c r="U42" s="98">
        <f>Table1[[#This Row],[Number Of Products Sold]]/Table1[[#This Row],[EOQ]]</f>
        <v>4.6125018265873203</v>
      </c>
      <c r="V42" s="96">
        <f>360/Table1[[#This Row],[Optimum No of Orders]]</f>
        <v>78.048749579868542</v>
      </c>
      <c r="W42" s="15" t="s">
        <v>156</v>
      </c>
    </row>
    <row r="43" spans="1:23" x14ac:dyDescent="0.3">
      <c r="A43" t="s">
        <v>226</v>
      </c>
      <c r="B43">
        <v>11757</v>
      </c>
      <c r="C43">
        <v>13611</v>
      </c>
      <c r="D43">
        <v>20731</v>
      </c>
      <c r="E43">
        <v>46099</v>
      </c>
      <c r="R43" s="2" t="s">
        <v>95</v>
      </c>
      <c r="S43" s="2">
        <v>38</v>
      </c>
      <c r="T43" s="62">
        <f>SQRT((2*Table1[[#This Row],[Number Of Products Sold]]*Table1[[#This Row],[Costs]])/(0.3*Table1[[#This Row],[Price]]))</f>
        <v>101.50929847068019</v>
      </c>
      <c r="U43" s="62">
        <f>Table1[[#This Row],[Number Of Products Sold]]/Table1[[#This Row],[EOQ]]</f>
        <v>5.477330731042283</v>
      </c>
      <c r="V43" s="97">
        <f>360/Table1[[#This Row],[Optimum No of Orders]]</f>
        <v>65.725445052958392</v>
      </c>
      <c r="W43" s="2" t="s">
        <v>156</v>
      </c>
    </row>
    <row r="44" spans="1:23" x14ac:dyDescent="0.3">
      <c r="A44" t="s">
        <v>225</v>
      </c>
      <c r="B44">
        <v>161521.26599948306</v>
      </c>
      <c r="C44">
        <v>174455.39060546222</v>
      </c>
      <c r="D44">
        <v>241628.16213306302</v>
      </c>
      <c r="E44">
        <v>577604.81873800803</v>
      </c>
      <c r="R44" s="15" t="s">
        <v>96</v>
      </c>
      <c r="S44" s="15">
        <v>57</v>
      </c>
      <c r="T44" s="98">
        <f>SQRT((2*Table1[[#This Row],[Number Of Products Sold]]*Table1[[#This Row],[Costs]])/(0.3*Table1[[#This Row],[Price]]))</f>
        <v>118.81438818852617</v>
      </c>
      <c r="U44" s="98">
        <f>Table1[[#This Row],[Number Of Products Sold]]/Table1[[#This Row],[EOQ]]</f>
        <v>1.3045558064403537</v>
      </c>
      <c r="V44" s="96">
        <f>360/Table1[[#This Row],[Optimum No of Orders]]</f>
        <v>275.95599837335112</v>
      </c>
      <c r="W44" s="15" t="s">
        <v>156</v>
      </c>
    </row>
    <row r="45" spans="1:23" x14ac:dyDescent="0.3">
      <c r="A45" t="s">
        <v>227</v>
      </c>
      <c r="B45">
        <v>13.7383062005174</v>
      </c>
      <c r="C45">
        <v>12.817235368853297</v>
      </c>
      <c r="D45">
        <v>11.655403122524866</v>
      </c>
      <c r="E45">
        <v>12.529660485867547</v>
      </c>
      <c r="R45" s="2" t="s">
        <v>97</v>
      </c>
      <c r="S45" s="2">
        <v>85</v>
      </c>
      <c r="T45" s="62">
        <f>SQRT((2*Table1[[#This Row],[Number Of Products Sold]]*Table1[[#This Row],[Costs]])/(0.3*Table1[[#This Row],[Price]]))</f>
        <v>493.03789190471633</v>
      </c>
      <c r="U45" s="62">
        <f>Table1[[#This Row],[Number Of Products Sold]]/Table1[[#This Row],[EOQ]]</f>
        <v>1.2128885219953205</v>
      </c>
      <c r="V45" s="97">
        <f>360/Table1[[#This Row],[Optimum No of Orders]]</f>
        <v>296.81210883895966</v>
      </c>
      <c r="W45" s="2" t="s">
        <v>155</v>
      </c>
    </row>
    <row r="46" spans="1:23" x14ac:dyDescent="0.3">
      <c r="R46" s="15" t="s">
        <v>98</v>
      </c>
      <c r="S46" s="15">
        <v>72</v>
      </c>
      <c r="T46" s="98">
        <f>SQRT((2*Table1[[#This Row],[Number Of Products Sold]]*Table1[[#This Row],[Costs]])/(0.3*Table1[[#This Row],[Price]]))</f>
        <v>269.86317600373729</v>
      </c>
      <c r="U46" s="98">
        <f>Table1[[#This Row],[Number Of Products Sold]]/Table1[[#This Row],[EOQ]]</f>
        <v>3.4054294239361984</v>
      </c>
      <c r="V46" s="96">
        <f>360/Table1[[#This Row],[Optimum No of Orders]]</f>
        <v>105.71354011027793</v>
      </c>
      <c r="W46" s="15" t="s">
        <v>157</v>
      </c>
    </row>
    <row r="47" spans="1:23" x14ac:dyDescent="0.3">
      <c r="A47" t="s">
        <v>200</v>
      </c>
      <c r="B47" t="s">
        <v>229</v>
      </c>
      <c r="C47" t="s">
        <v>227</v>
      </c>
      <c r="R47" s="2" t="s">
        <v>99</v>
      </c>
      <c r="S47" s="2">
        <v>52</v>
      </c>
      <c r="T47" s="62">
        <f>SQRT((2*Table1[[#This Row],[Number Of Products Sold]]*Table1[[#This Row],[Costs]])/(0.3*Table1[[#This Row],[Price]]))</f>
        <v>48.432872970564532</v>
      </c>
      <c r="U47" s="62">
        <f>Table1[[#This Row],[Number Of Products Sold]]/Table1[[#This Row],[EOQ]]</f>
        <v>0.4955312069673462</v>
      </c>
      <c r="V47" s="97">
        <f>360/Table1[[#This Row],[Optimum No of Orders]]</f>
        <v>726.49309455846799</v>
      </c>
      <c r="W47" s="2" t="s">
        <v>155</v>
      </c>
    </row>
    <row r="48" spans="1:23" x14ac:dyDescent="0.3">
      <c r="A48" t="s">
        <v>156</v>
      </c>
      <c r="B48">
        <v>40</v>
      </c>
      <c r="C48" s="1">
        <v>13.7383062005174</v>
      </c>
      <c r="R48" s="15" t="s">
        <v>100</v>
      </c>
      <c r="S48" s="15">
        <v>6</v>
      </c>
      <c r="T48" s="98">
        <f>SQRT((2*Table1[[#This Row],[Number Of Products Sold]]*Table1[[#This Row],[Costs]])/(0.3*Table1[[#This Row],[Price]]))</f>
        <v>283.62838471825216</v>
      </c>
      <c r="U48" s="98">
        <f>Table1[[#This Row],[Number Of Products Sold]]/Table1[[#This Row],[EOQ]]</f>
        <v>3.0286108382745422</v>
      </c>
      <c r="V48" s="96">
        <f>360/Table1[[#This Row],[Optimum No of Orders]]</f>
        <v>118.86637776317902</v>
      </c>
      <c r="W48" s="15" t="s">
        <v>155</v>
      </c>
    </row>
    <row r="49" spans="1:23" x14ac:dyDescent="0.3">
      <c r="A49" t="s">
        <v>155</v>
      </c>
      <c r="B49">
        <v>34</v>
      </c>
      <c r="C49" s="1">
        <v>12.817235368853297</v>
      </c>
      <c r="R49" s="2" t="s">
        <v>101</v>
      </c>
      <c r="S49" s="2">
        <v>51</v>
      </c>
      <c r="T49" s="62">
        <f>SQRT((2*Table1[[#This Row],[Number Of Products Sold]]*Table1[[#This Row],[Costs]])/(0.3*Table1[[#This Row],[Price]]))</f>
        <v>192.00150851939713</v>
      </c>
      <c r="U49" s="62">
        <f>Table1[[#This Row],[Number Of Products Sold]]/Table1[[#This Row],[EOQ]]</f>
        <v>4.739546095326987</v>
      </c>
      <c r="V49" s="97">
        <f>360/Table1[[#This Row],[Optimum No of Orders]]</f>
        <v>75.95664073294833</v>
      </c>
      <c r="W49" s="2" t="s">
        <v>156</v>
      </c>
    </row>
    <row r="50" spans="1:23" x14ac:dyDescent="0.3">
      <c r="A50" t="s">
        <v>157</v>
      </c>
      <c r="B50">
        <v>26</v>
      </c>
      <c r="C50" s="1">
        <v>11.655403122524866</v>
      </c>
      <c r="R50" s="15" t="s">
        <v>102</v>
      </c>
      <c r="S50" s="15">
        <v>9</v>
      </c>
      <c r="T50" s="98">
        <f>SQRT((2*Table1[[#This Row],[Number Of Products Sold]]*Table1[[#This Row],[Costs]])/(0.3*Table1[[#This Row],[Price]]))</f>
        <v>44.208919029888939</v>
      </c>
      <c r="U50" s="98">
        <f>Table1[[#This Row],[Number Of Products Sold]]/Table1[[#This Row],[EOQ]]</f>
        <v>0.65597622914945208</v>
      </c>
      <c r="V50" s="96">
        <f>360/Table1[[#This Row],[Optimum No of Orders]]</f>
        <v>548.80037416413859</v>
      </c>
      <c r="W50" s="15" t="s">
        <v>155</v>
      </c>
    </row>
    <row r="51" spans="1:23" x14ac:dyDescent="0.3">
      <c r="R51" s="2" t="s">
        <v>103</v>
      </c>
      <c r="S51" s="2">
        <v>9</v>
      </c>
      <c r="T51" s="62">
        <f>SQRT((2*Table1[[#This Row],[Number Of Products Sold]]*Table1[[#This Row],[Costs]])/(0.3*Table1[[#This Row],[Price]]))</f>
        <v>53.086412583600584</v>
      </c>
      <c r="U51" s="62">
        <f>Table1[[#This Row],[Number Of Products Sold]]/Table1[[#This Row],[EOQ]]</f>
        <v>1.864883972788604</v>
      </c>
      <c r="V51" s="97">
        <f>360/Table1[[#This Row],[Optimum No of Orders]]</f>
        <v>193.04150030400214</v>
      </c>
      <c r="W51" s="2" t="s">
        <v>157</v>
      </c>
    </row>
    <row r="52" spans="1:23" x14ac:dyDescent="0.3">
      <c r="R52" s="15" t="s">
        <v>104</v>
      </c>
      <c r="S52" s="15">
        <v>82</v>
      </c>
      <c r="T52" s="98">
        <f>SQRT((2*Table1[[#This Row],[Number Of Products Sold]]*Table1[[#This Row],[Costs]])/(0.3*Table1[[#This Row],[Price]]))</f>
        <v>383.97986141156377</v>
      </c>
      <c r="U52" s="98">
        <f>Table1[[#This Row],[Number Of Products Sold]]/Table1[[#This Row],[EOQ]]</f>
        <v>1.6485239555871585</v>
      </c>
      <c r="V52" s="96">
        <f>360/Table1[[#This Row],[Optimum No of Orders]]</f>
        <v>218.37717236676613</v>
      </c>
      <c r="W52" s="15" t="s">
        <v>157</v>
      </c>
    </row>
    <row r="53" spans="1:23" ht="28.8" x14ac:dyDescent="0.3">
      <c r="A53" s="39" t="s">
        <v>228</v>
      </c>
      <c r="B53" s="86" t="s">
        <v>225</v>
      </c>
      <c r="C53" s="85" t="s">
        <v>226</v>
      </c>
      <c r="D53" t="s">
        <v>227</v>
      </c>
      <c r="R53" s="2" t="s">
        <v>105</v>
      </c>
      <c r="S53" s="2">
        <v>52</v>
      </c>
      <c r="T53" s="62">
        <f>SQRT((2*Table1[[#This Row],[Number Of Products Sold]]*Table1[[#This Row],[Costs]])/(0.3*Table1[[#This Row],[Price]]))</f>
        <v>163.47064978157408</v>
      </c>
      <c r="U53" s="62">
        <f>Table1[[#This Row],[Number Of Products Sold]]/Table1[[#This Row],[EOQ]]</f>
        <v>0.94206513649864021</v>
      </c>
      <c r="V53" s="97">
        <f>360/Table1[[#This Row],[Optimum No of Orders]]</f>
        <v>382.13918130757577</v>
      </c>
      <c r="W53" s="2" t="s">
        <v>155</v>
      </c>
    </row>
    <row r="54" spans="1:23" x14ac:dyDescent="0.3">
      <c r="A54" s="28" t="s">
        <v>35</v>
      </c>
      <c r="B54" s="1">
        <v>161514.48912163053</v>
      </c>
      <c r="C54">
        <v>12801</v>
      </c>
      <c r="D54">
        <f>GETPIVOTDATA("Sum of Revenue Generated",$A$2,"Customer Demographics","Female")/GETPIVOTDATA("Sum of Number Of Products Sold",$A$2,"Customer Demographics","Female")</f>
        <v>12.617333733429462</v>
      </c>
      <c r="R54" s="15" t="s">
        <v>106</v>
      </c>
      <c r="S54" s="15">
        <v>11</v>
      </c>
      <c r="T54" s="98">
        <f>SQRT((2*Table1[[#This Row],[Number Of Products Sold]]*Table1[[#This Row],[Costs]])/(0.3*Table1[[#This Row],[Price]]))</f>
        <v>183.35799179106661</v>
      </c>
      <c r="U54" s="98">
        <f>Table1[[#This Row],[Number Of Products Sold]]/Table1[[#This Row],[EOQ]]</f>
        <v>4.4721257687768334</v>
      </c>
      <c r="V54" s="96">
        <f>360/Table1[[#This Row],[Optimum No of Orders]]</f>
        <v>80.498630542419477</v>
      </c>
      <c r="W54" s="15" t="s">
        <v>156</v>
      </c>
    </row>
    <row r="55" spans="1:23" x14ac:dyDescent="0.3">
      <c r="A55" s="28" t="s">
        <v>55</v>
      </c>
      <c r="B55" s="1">
        <v>126634.3942597939</v>
      </c>
      <c r="C55">
        <v>7507</v>
      </c>
      <c r="D55">
        <f>GETPIVOTDATA("Sum of Revenue Generated",$A$2,"Customer Demographics","Male")/GETPIVOTDATA("Sum of Number Of Products Sold",$A$2,"Customer Demographics","Male")</f>
        <v>16.868841649100027</v>
      </c>
      <c r="R55" s="2" t="s">
        <v>107</v>
      </c>
      <c r="S55" s="2">
        <v>54</v>
      </c>
      <c r="T55" s="62">
        <f>SQRT((2*Table1[[#This Row],[Number Of Products Sold]]*Table1[[#This Row],[Costs]])/(0.3*Table1[[#This Row],[Price]]))</f>
        <v>199.79650772861365</v>
      </c>
      <c r="U55" s="62">
        <f>Table1[[#This Row],[Number Of Products Sold]]/Table1[[#This Row],[EOQ]]</f>
        <v>1.211232382143095</v>
      </c>
      <c r="V55" s="97">
        <f>360/Table1[[#This Row],[Optimum No of Orders]]</f>
        <v>297.2179453814087</v>
      </c>
      <c r="W55" s="2" t="s">
        <v>156</v>
      </c>
    </row>
    <row r="56" spans="1:23" x14ac:dyDescent="0.3">
      <c r="A56" s="28" t="s">
        <v>160</v>
      </c>
      <c r="B56" s="1">
        <v>116365.80151960922</v>
      </c>
      <c r="C56">
        <v>10580</v>
      </c>
      <c r="D56">
        <f>GETPIVOTDATA("Sum of Revenue Generated",$A$2,"Customer Demographics","Non-Binary")/GETPIVOTDATA("Sum of Number Of Products Sold",$A$2,"Customer Demographics","Non-Binary")</f>
        <v>10.998657988620909</v>
      </c>
      <c r="R56" s="15" t="s">
        <v>108</v>
      </c>
      <c r="S56" s="15">
        <v>61</v>
      </c>
      <c r="T56" s="98">
        <f>SQRT((2*Table1[[#This Row],[Number Of Products Sold]]*Table1[[#This Row],[Costs]])/(0.3*Table1[[#This Row],[Price]]))</f>
        <v>329.21347444155242</v>
      </c>
      <c r="U56" s="98">
        <f>Table1[[#This Row],[Number Of Products Sold]]/Table1[[#This Row],[EOQ]]</f>
        <v>1.8893515857912675</v>
      </c>
      <c r="V56" s="96">
        <f>360/Table1[[#This Row],[Optimum No of Orders]]</f>
        <v>190.54156077003034</v>
      </c>
      <c r="W56" s="15" t="s">
        <v>155</v>
      </c>
    </row>
    <row r="57" spans="1:23" x14ac:dyDescent="0.3">
      <c r="A57" s="28" t="s">
        <v>38</v>
      </c>
      <c r="B57" s="1">
        <v>173090.13383697456</v>
      </c>
      <c r="C57">
        <v>15211</v>
      </c>
      <c r="D57">
        <f>GETPIVOTDATA("Sum of Revenue Generated",$A$2,"Customer Demographics","Unknown")/GETPIVOTDATA("Sum of Number Of Products Sold",$A$2,"Customer Demographics","Unknown")</f>
        <v>11.379273804284699</v>
      </c>
      <c r="R57" s="2" t="s">
        <v>109</v>
      </c>
      <c r="S57" s="2">
        <v>11</v>
      </c>
      <c r="T57" s="62">
        <f>SQRT((2*Table1[[#This Row],[Number Of Products Sold]]*Table1[[#This Row],[Costs]])/(0.3*Table1[[#This Row],[Price]]))</f>
        <v>137.49031786985719</v>
      </c>
      <c r="U57" s="62">
        <f>Table1[[#This Row],[Number Of Products Sold]]/Table1[[#This Row],[EOQ]]</f>
        <v>5.0985408344428906</v>
      </c>
      <c r="V57" s="97">
        <f>360/Table1[[#This Row],[Optimum No of Orders]]</f>
        <v>70.608437137159186</v>
      </c>
      <c r="W57" s="2" t="s">
        <v>155</v>
      </c>
    </row>
    <row r="58" spans="1:23" x14ac:dyDescent="0.3">
      <c r="R58" s="15" t="s">
        <v>110</v>
      </c>
      <c r="S58" s="15">
        <v>83</v>
      </c>
      <c r="T58" s="98">
        <f>SQRT((2*Table1[[#This Row],[Number Of Products Sold]]*Table1[[#This Row],[Costs]])/(0.3*Table1[[#This Row],[Price]]))</f>
        <v>156.79914569601979</v>
      </c>
      <c r="U58" s="98">
        <f>Table1[[#This Row],[Number Of Products Sold]]/Table1[[#This Row],[EOQ]]</f>
        <v>0.59311547640887896</v>
      </c>
      <c r="V58" s="96">
        <f>360/Table1[[#This Row],[Optimum No of Orders]]</f>
        <v>606.96443495233461</v>
      </c>
      <c r="W58" s="15" t="s">
        <v>156</v>
      </c>
    </row>
    <row r="59" spans="1:23" x14ac:dyDescent="0.3">
      <c r="R59" s="2" t="s">
        <v>111</v>
      </c>
      <c r="S59" s="2">
        <v>51</v>
      </c>
      <c r="T59" s="62">
        <f>SQRT((2*Table1[[#This Row],[Number Of Products Sold]]*Table1[[#This Row],[Costs]])/(0.3*Table1[[#This Row],[Price]]))</f>
        <v>121.70701850151119</v>
      </c>
      <c r="U59" s="62">
        <f>Table1[[#This Row],[Number Of Products Sold]]/Table1[[#This Row],[EOQ]]</f>
        <v>1.8651348360586242</v>
      </c>
      <c r="V59" s="97">
        <f>360/Table1[[#This Row],[Optimum No of Orders]]</f>
        <v>193.01553594953316</v>
      </c>
      <c r="W59" s="2" t="s">
        <v>155</v>
      </c>
    </row>
    <row r="60" spans="1:23" x14ac:dyDescent="0.3">
      <c r="R60" s="15" t="s">
        <v>112</v>
      </c>
      <c r="S60" s="15">
        <v>44</v>
      </c>
      <c r="T60" s="98">
        <f>SQRT((2*Table1[[#This Row],[Number Of Products Sold]]*Table1[[#This Row],[Costs]])/(0.3*Table1[[#This Row],[Price]]))</f>
        <v>104.95938875771772</v>
      </c>
      <c r="U60" s="98">
        <f>Table1[[#This Row],[Number Of Products Sold]]/Table1[[#This Row],[EOQ]]</f>
        <v>8.536635079576115</v>
      </c>
      <c r="V60" s="96">
        <f>360/Table1[[#This Row],[Optimum No of Orders]]</f>
        <v>42.171182983011583</v>
      </c>
      <c r="W60" s="15" t="s">
        <v>156</v>
      </c>
    </row>
    <row r="61" spans="1:23" x14ac:dyDescent="0.3">
      <c r="R61" s="2" t="s">
        <v>113</v>
      </c>
      <c r="S61" s="2">
        <v>26</v>
      </c>
      <c r="T61" s="62">
        <f>SQRT((2*Table1[[#This Row],[Number Of Products Sold]]*Table1[[#This Row],[Costs]])/(0.3*Table1[[#This Row],[Price]]))</f>
        <v>125.70330409395962</v>
      </c>
      <c r="U61" s="62">
        <f>Table1[[#This Row],[Number Of Products Sold]]/Table1[[#This Row],[EOQ]]</f>
        <v>3.8503363415031946</v>
      </c>
      <c r="V61" s="97">
        <f>360/Table1[[#This Row],[Optimum No of Orders]]</f>
        <v>93.498325359143507</v>
      </c>
      <c r="W61" s="2" t="s">
        <v>157</v>
      </c>
    </row>
    <row r="62" spans="1:23" x14ac:dyDescent="0.3">
      <c r="R62" s="15" t="s">
        <v>114</v>
      </c>
      <c r="S62" s="15">
        <v>72</v>
      </c>
      <c r="T62" s="98">
        <f>SQRT((2*Table1[[#This Row],[Number Of Products Sold]]*Table1[[#This Row],[Costs]])/(0.3*Table1[[#This Row],[Price]]))</f>
        <v>252.97848992950898</v>
      </c>
      <c r="U62" s="98">
        <f>Table1[[#This Row],[Number Of Products Sold]]/Table1[[#This Row],[EOQ]]</f>
        <v>1.502103993528797</v>
      </c>
      <c r="V62" s="96">
        <f>360/Table1[[#This Row],[Optimum No of Orders]]</f>
        <v>239.66383256479799</v>
      </c>
      <c r="W62" s="15" t="s">
        <v>156</v>
      </c>
    </row>
    <row r="63" spans="1:23" x14ac:dyDescent="0.3">
      <c r="R63" s="2" t="s">
        <v>115</v>
      </c>
      <c r="S63" s="2">
        <v>36</v>
      </c>
      <c r="T63" s="62">
        <f>SQRT((2*Table1[[#This Row],[Number Of Products Sold]]*Table1[[#This Row],[Costs]])/(0.3*Table1[[#This Row],[Price]]))</f>
        <v>49.640059887156525</v>
      </c>
      <c r="U63" s="62">
        <f>Table1[[#This Row],[Number Of Products Sold]]/Table1[[#This Row],[EOQ]]</f>
        <v>2.3569673418196593</v>
      </c>
      <c r="V63" s="97">
        <f>360/Table1[[#This Row],[Optimum No of Orders]]</f>
        <v>152.73864580663545</v>
      </c>
      <c r="W63" s="2" t="s">
        <v>155</v>
      </c>
    </row>
    <row r="64" spans="1:23" x14ac:dyDescent="0.3">
      <c r="R64" s="15" t="s">
        <v>116</v>
      </c>
      <c r="S64" s="15">
        <v>40</v>
      </c>
      <c r="T64" s="98">
        <f>SQRT((2*Table1[[#This Row],[Number Of Products Sold]]*Table1[[#This Row],[Costs]])/(0.3*Table1[[#This Row],[Price]]))</f>
        <v>89.069723117694977</v>
      </c>
      <c r="U64" s="98">
        <f>Table1[[#This Row],[Number Of Products Sold]]/Table1[[#This Row],[EOQ]]</f>
        <v>3.0313331011844205</v>
      </c>
      <c r="V64" s="96">
        <f>360/Table1[[#This Row],[Optimum No of Orders]]</f>
        <v>118.75963082359331</v>
      </c>
      <c r="W64" s="15" t="s">
        <v>157</v>
      </c>
    </row>
    <row r="65" spans="18:23" x14ac:dyDescent="0.3">
      <c r="R65" s="2" t="s">
        <v>117</v>
      </c>
      <c r="S65" s="2">
        <v>10</v>
      </c>
      <c r="T65" s="62">
        <f>SQRT((2*Table1[[#This Row],[Number Of Products Sold]]*Table1[[#This Row],[Costs]])/(0.3*Table1[[#This Row],[Price]]))</f>
        <v>294.25848261321698</v>
      </c>
      <c r="U65" s="62">
        <f>Table1[[#This Row],[Number Of Products Sold]]/Table1[[#This Row],[EOQ]]</f>
        <v>0.83599968916903067</v>
      </c>
      <c r="V65" s="97">
        <f>360/Table1[[#This Row],[Optimum No of Orders]]</f>
        <v>430.6221696778785</v>
      </c>
      <c r="W65" s="2" t="s">
        <v>156</v>
      </c>
    </row>
    <row r="66" spans="18:23" x14ac:dyDescent="0.3">
      <c r="R66" s="15" t="s">
        <v>118</v>
      </c>
      <c r="S66" s="15">
        <v>75</v>
      </c>
      <c r="T66" s="98">
        <f>SQRT((2*Table1[[#This Row],[Number Of Products Sold]]*Table1[[#This Row],[Costs]])/(0.3*Table1[[#This Row],[Price]]))</f>
        <v>87.671961387542282</v>
      </c>
      <c r="U66" s="98">
        <f>Table1[[#This Row],[Number Of Products Sold]]/Table1[[#This Row],[EOQ]]</f>
        <v>1.5284247994369691</v>
      </c>
      <c r="V66" s="96">
        <f>360/Table1[[#This Row],[Optimum No of Orders]]</f>
        <v>235.5366126829494</v>
      </c>
      <c r="W66" s="15" t="s">
        <v>156</v>
      </c>
    </row>
    <row r="67" spans="18:23" x14ac:dyDescent="0.3">
      <c r="R67" s="2" t="s">
        <v>119</v>
      </c>
      <c r="S67" s="2">
        <v>54</v>
      </c>
      <c r="T67" s="62">
        <f>SQRT((2*Table1[[#This Row],[Number Of Products Sold]]*Table1[[#This Row],[Costs]])/(0.3*Table1[[#This Row],[Price]]))</f>
        <v>224.1788263848876</v>
      </c>
      <c r="U67" s="62">
        <f>Table1[[#This Row],[Number Of Products Sold]]/Table1[[#This Row],[EOQ]]</f>
        <v>2.0385511306736301</v>
      </c>
      <c r="V67" s="97">
        <f>360/Table1[[#This Row],[Optimum No of Orders]]</f>
        <v>176.59601203185892</v>
      </c>
      <c r="W67" s="2" t="s">
        <v>156</v>
      </c>
    </row>
    <row r="68" spans="18:23" x14ac:dyDescent="0.3">
      <c r="R68" s="15" t="s">
        <v>120</v>
      </c>
      <c r="S68" s="15">
        <v>19</v>
      </c>
      <c r="T68" s="98">
        <f>SQRT((2*Table1[[#This Row],[Number Of Products Sold]]*Table1[[#This Row],[Costs]])/(0.3*Table1[[#This Row],[Price]]))</f>
        <v>266.45553911515208</v>
      </c>
      <c r="U68" s="98">
        <f>Table1[[#This Row],[Number Of Products Sold]]/Table1[[#This Row],[EOQ]]</f>
        <v>2.642091818912264</v>
      </c>
      <c r="V68" s="96">
        <f>360/Table1[[#This Row],[Optimum No of Orders]]</f>
        <v>136.25567341115729</v>
      </c>
      <c r="W68" s="15" t="s">
        <v>156</v>
      </c>
    </row>
    <row r="69" spans="18:23" x14ac:dyDescent="0.3">
      <c r="R69" s="2" t="s">
        <v>121</v>
      </c>
      <c r="S69" s="2">
        <v>71</v>
      </c>
      <c r="T69" s="62">
        <f>SQRT((2*Table1[[#This Row],[Number Of Products Sold]]*Table1[[#This Row],[Costs]])/(0.3*Table1[[#This Row],[Price]]))</f>
        <v>81.221004420092171</v>
      </c>
      <c r="U69" s="62">
        <f>Table1[[#This Row],[Number Of Products Sold]]/Table1[[#This Row],[EOQ]]</f>
        <v>6.3161001721507377</v>
      </c>
      <c r="V69" s="97">
        <f>360/Table1[[#This Row],[Optimum No of Orders]]</f>
        <v>56.99719608427521</v>
      </c>
      <c r="W69" s="2" t="s">
        <v>156</v>
      </c>
    </row>
    <row r="70" spans="18:23" x14ac:dyDescent="0.3">
      <c r="R70" s="15" t="s">
        <v>122</v>
      </c>
      <c r="S70" s="15">
        <v>58</v>
      </c>
      <c r="T70" s="98">
        <f>SQRT((2*Table1[[#This Row],[Number Of Products Sold]]*Table1[[#This Row],[Costs]])/(0.3*Table1[[#This Row],[Price]]))</f>
        <v>92.660430609576963</v>
      </c>
      <c r="U70" s="98">
        <f>Table1[[#This Row],[Number Of Products Sold]]/Table1[[#This Row],[EOQ]]</f>
        <v>1.7591111861631372</v>
      </c>
      <c r="V70" s="96">
        <f>360/Table1[[#This Row],[Optimum No of Orders]]</f>
        <v>204.64880380029268</v>
      </c>
      <c r="W70" s="15" t="s">
        <v>155</v>
      </c>
    </row>
    <row r="71" spans="18:23" x14ac:dyDescent="0.3">
      <c r="R71" s="2" t="s">
        <v>123</v>
      </c>
      <c r="S71" s="2">
        <v>27</v>
      </c>
      <c r="T71" s="62">
        <f>SQRT((2*Table1[[#This Row],[Number Of Products Sold]]*Table1[[#This Row],[Costs]])/(0.3*Table1[[#This Row],[Price]]))</f>
        <v>113.55200695735081</v>
      </c>
      <c r="U71" s="62">
        <f>Table1[[#This Row],[Number Of Products Sold]]/Table1[[#This Row],[EOQ]]</f>
        <v>4.5001406288831811</v>
      </c>
      <c r="V71" s="97">
        <f>360/Table1[[#This Row],[Optimum No of Orders]]</f>
        <v>79.997500009092548</v>
      </c>
      <c r="W71" s="2" t="s">
        <v>156</v>
      </c>
    </row>
    <row r="72" spans="18:23" x14ac:dyDescent="0.3">
      <c r="R72" s="15" t="s">
        <v>124</v>
      </c>
      <c r="S72" s="15">
        <v>22</v>
      </c>
      <c r="T72" s="98">
        <f>SQRT((2*Table1[[#This Row],[Number Of Products Sold]]*Table1[[#This Row],[Costs]])/(0.3*Table1[[#This Row],[Price]]))</f>
        <v>28.565696278551766</v>
      </c>
      <c r="U72" s="98">
        <f>Table1[[#This Row],[Number Of Products Sold]]/Table1[[#This Row],[EOQ]]</f>
        <v>1.1202247509726149</v>
      </c>
      <c r="V72" s="96">
        <f>360/Table1[[#This Row],[Optimum No of Orders]]</f>
        <v>321.36408313370731</v>
      </c>
      <c r="W72" s="15" t="s">
        <v>155</v>
      </c>
    </row>
    <row r="73" spans="18:23" x14ac:dyDescent="0.3">
      <c r="R73" s="2" t="s">
        <v>125</v>
      </c>
      <c r="S73" s="2">
        <v>26</v>
      </c>
      <c r="T73" s="62">
        <f>SQRT((2*Table1[[#This Row],[Number Of Products Sold]]*Table1[[#This Row],[Costs]])/(0.3*Table1[[#This Row],[Price]]))</f>
        <v>519.25255320254519</v>
      </c>
      <c r="U73" s="62">
        <f>Table1[[#This Row],[Number Of Products Sold]]/Table1[[#This Row],[EOQ]]</f>
        <v>1.2267633467976902</v>
      </c>
      <c r="V73" s="97">
        <f>360/Table1[[#This Row],[Optimum No of Orders]]</f>
        <v>293.45513210818882</v>
      </c>
      <c r="W73" s="2" t="s">
        <v>157</v>
      </c>
    </row>
    <row r="74" spans="18:23" x14ac:dyDescent="0.3">
      <c r="R74" s="15" t="s">
        <v>126</v>
      </c>
      <c r="S74" s="15">
        <v>77</v>
      </c>
      <c r="T74" s="98">
        <f>SQRT((2*Table1[[#This Row],[Number Of Products Sold]]*Table1[[#This Row],[Costs]])/(0.3*Table1[[#This Row],[Price]]))</f>
        <v>154.75742136892501</v>
      </c>
      <c r="U74" s="98">
        <f>Table1[[#This Row],[Number Of Products Sold]]/Table1[[#This Row],[EOQ]]</f>
        <v>3.0887048632097556</v>
      </c>
      <c r="V74" s="96">
        <f>360/Table1[[#This Row],[Optimum No of Orders]]</f>
        <v>116.55370647032008</v>
      </c>
      <c r="W74" s="15" t="s">
        <v>157</v>
      </c>
    </row>
    <row r="75" spans="18:23" x14ac:dyDescent="0.3">
      <c r="R75" s="2" t="s">
        <v>127</v>
      </c>
      <c r="S75" s="2">
        <v>66</v>
      </c>
      <c r="T75" s="62">
        <f>SQRT((2*Table1[[#This Row],[Number Of Products Sold]]*Table1[[#This Row],[Costs]])/(0.3*Table1[[#This Row],[Price]]))</f>
        <v>160.72865202200751</v>
      </c>
      <c r="U75" s="62">
        <f>Table1[[#This Row],[Number Of Products Sold]]/Table1[[#This Row],[EOQ]]</f>
        <v>2.3331247744717833</v>
      </c>
      <c r="V75" s="97">
        <f>360/Table1[[#This Row],[Optimum No of Orders]]</f>
        <v>154.29950594112719</v>
      </c>
      <c r="W75" s="2" t="s">
        <v>157</v>
      </c>
    </row>
    <row r="76" spans="18:23" x14ac:dyDescent="0.3">
      <c r="R76" s="15" t="s">
        <v>128</v>
      </c>
      <c r="S76" s="15">
        <v>1</v>
      </c>
      <c r="T76" s="98">
        <f>SQRT((2*Table1[[#This Row],[Number Of Products Sold]]*Table1[[#This Row],[Costs]])/(0.3*Table1[[#This Row],[Price]]))</f>
        <v>805.81807878567895</v>
      </c>
      <c r="U76" s="98">
        <f>Table1[[#This Row],[Number Of Products Sold]]/Table1[[#This Row],[EOQ]]</f>
        <v>1.1218412986741071</v>
      </c>
      <c r="V76" s="96">
        <f>360/Table1[[#This Row],[Optimum No of Orders]]</f>
        <v>320.90100482615532</v>
      </c>
      <c r="W76" s="15" t="s">
        <v>155</v>
      </c>
    </row>
    <row r="77" spans="18:23" x14ac:dyDescent="0.3">
      <c r="R77" s="2" t="s">
        <v>129</v>
      </c>
      <c r="S77" s="2">
        <v>56</v>
      </c>
      <c r="T77" s="62">
        <f>SQRT((2*Table1[[#This Row],[Number Of Products Sold]]*Table1[[#This Row],[Costs]])/(0.3*Table1[[#This Row],[Price]]))</f>
        <v>81.454010395155933</v>
      </c>
      <c r="U77" s="62">
        <f>Table1[[#This Row],[Number Of Products Sold]]/Table1[[#This Row],[EOQ]]</f>
        <v>1.3013478340202611</v>
      </c>
      <c r="V77" s="97">
        <f>360/Table1[[#This Row],[Optimum No of Orders]]</f>
        <v>276.63626171939751</v>
      </c>
      <c r="W77" s="2" t="s">
        <v>156</v>
      </c>
    </row>
    <row r="78" spans="18:23" x14ac:dyDescent="0.3">
      <c r="R78" s="15" t="s">
        <v>130</v>
      </c>
      <c r="S78" s="15">
        <v>22</v>
      </c>
      <c r="T78" s="98">
        <f>SQRT((2*Table1[[#This Row],[Number Of Products Sold]]*Table1[[#This Row],[Costs]])/(0.3*Table1[[#This Row],[Price]]))</f>
        <v>152.27683000371678</v>
      </c>
      <c r="U78" s="98">
        <f>Table1[[#This Row],[Number Of Products Sold]]/Table1[[#This Row],[EOQ]]</f>
        <v>1.5826439255014546</v>
      </c>
      <c r="V78" s="96">
        <f>360/Table1[[#This Row],[Optimum No of Orders]]</f>
        <v>227.46746390596698</v>
      </c>
      <c r="W78" s="15" t="s">
        <v>155</v>
      </c>
    </row>
    <row r="79" spans="18:23" x14ac:dyDescent="0.3">
      <c r="R79" s="2" t="s">
        <v>131</v>
      </c>
      <c r="S79" s="2">
        <v>57</v>
      </c>
      <c r="T79" s="62">
        <f>SQRT((2*Table1[[#This Row],[Number Of Products Sold]]*Table1[[#This Row],[Costs]])/(0.3*Table1[[#This Row],[Price]]))</f>
        <v>188.4612593975578</v>
      </c>
      <c r="U79" s="62">
        <f>Table1[[#This Row],[Number Of Products Sold]]/Table1[[#This Row],[EOQ]]</f>
        <v>1.9049007798610316</v>
      </c>
      <c r="V79" s="97">
        <f>360/Table1[[#This Row],[Optimum No of Orders]]</f>
        <v>188.98622112289917</v>
      </c>
      <c r="W79" s="2" t="s">
        <v>155</v>
      </c>
    </row>
    <row r="80" spans="18:23" x14ac:dyDescent="0.3">
      <c r="R80" s="15" t="s">
        <v>132</v>
      </c>
      <c r="S80" s="15">
        <v>51</v>
      </c>
      <c r="T80" s="98">
        <f>SQRT((2*Table1[[#This Row],[Number Of Products Sold]]*Table1[[#This Row],[Costs]])/(0.3*Table1[[#This Row],[Price]]))</f>
        <v>568.84188911449189</v>
      </c>
      <c r="U80" s="98">
        <f>Table1[[#This Row],[Number Of Products Sold]]/Table1[[#This Row],[EOQ]]</f>
        <v>1.6630280190381632</v>
      </c>
      <c r="V80" s="96">
        <f>360/Table1[[#This Row],[Optimum No of Orders]]</f>
        <v>216.47260050868616</v>
      </c>
      <c r="W80" s="15" t="s">
        <v>155</v>
      </c>
    </row>
    <row r="81" spans="18:23" x14ac:dyDescent="0.3">
      <c r="R81" s="2" t="s">
        <v>133</v>
      </c>
      <c r="S81" s="2">
        <v>20</v>
      </c>
      <c r="T81" s="62">
        <f>SQRT((2*Table1[[#This Row],[Number Of Products Sold]]*Table1[[#This Row],[Costs]])/(0.3*Table1[[#This Row],[Price]]))</f>
        <v>90.177387938616377</v>
      </c>
      <c r="U81" s="62">
        <f>Table1[[#This Row],[Number Of Products Sold]]/Table1[[#This Row],[EOQ]]</f>
        <v>2.1956723800292188</v>
      </c>
      <c r="V81" s="97">
        <f>360/Table1[[#This Row],[Optimum No of Orders]]</f>
        <v>163.95888716112069</v>
      </c>
      <c r="W81" s="2" t="s">
        <v>155</v>
      </c>
    </row>
    <row r="82" spans="18:23" x14ac:dyDescent="0.3">
      <c r="R82" s="15" t="s">
        <v>134</v>
      </c>
      <c r="S82" s="15">
        <v>41</v>
      </c>
      <c r="T82" s="98">
        <f>SQRT((2*Table1[[#This Row],[Number Of Products Sold]]*Table1[[#This Row],[Costs]])/(0.3*Table1[[#This Row],[Price]]))</f>
        <v>224.17561461739436</v>
      </c>
      <c r="U82" s="98">
        <f>Table1[[#This Row],[Number Of Products Sold]]/Table1[[#This Row],[EOQ]]</f>
        <v>3.8898075577411144</v>
      </c>
      <c r="V82" s="96">
        <f>360/Table1[[#This Row],[Optimum No of Orders]]</f>
        <v>92.549565667731613</v>
      </c>
      <c r="W82" s="15" t="s">
        <v>156</v>
      </c>
    </row>
    <row r="83" spans="18:23" x14ac:dyDescent="0.3">
      <c r="R83" s="2" t="s">
        <v>135</v>
      </c>
      <c r="S83" s="2">
        <v>8</v>
      </c>
      <c r="T83" s="62">
        <f>SQRT((2*Table1[[#This Row],[Number Of Products Sold]]*Table1[[#This Row],[Costs]])/(0.3*Table1[[#This Row],[Price]]))</f>
        <v>140.04510238239152</v>
      </c>
      <c r="U83" s="62">
        <f>Table1[[#This Row],[Number Of Products Sold]]/Table1[[#This Row],[EOQ]]</f>
        <v>5.5267909183043189</v>
      </c>
      <c r="V83" s="97">
        <f>360/Table1[[#This Row],[Optimum No of Orders]]</f>
        <v>65.137256922042567</v>
      </c>
      <c r="W83" s="2" t="s">
        <v>155</v>
      </c>
    </row>
    <row r="84" spans="18:23" x14ac:dyDescent="0.3">
      <c r="R84" s="15" t="s">
        <v>136</v>
      </c>
      <c r="S84" s="15">
        <v>72</v>
      </c>
      <c r="T84" s="98">
        <f>SQRT((2*Table1[[#This Row],[Number Of Products Sold]]*Table1[[#This Row],[Costs]])/(0.3*Table1[[#This Row],[Price]]))</f>
        <v>278.52997247850965</v>
      </c>
      <c r="U84" s="98">
        <f>Table1[[#This Row],[Number Of Products Sold]]/Table1[[#This Row],[EOQ]]</f>
        <v>1.2063333687577358</v>
      </c>
      <c r="V84" s="96">
        <f>360/Table1[[#This Row],[Optimum No of Orders]]</f>
        <v>298.4249705126889</v>
      </c>
      <c r="W84" s="15" t="s">
        <v>156</v>
      </c>
    </row>
    <row r="85" spans="18:23" x14ac:dyDescent="0.3">
      <c r="R85" s="2" t="s">
        <v>137</v>
      </c>
      <c r="S85" s="2">
        <v>7</v>
      </c>
      <c r="T85" s="62">
        <f>SQRT((2*Table1[[#This Row],[Number Of Products Sold]]*Table1[[#This Row],[Costs]])/(0.3*Table1[[#This Row],[Price]]))</f>
        <v>209.29903219434954</v>
      </c>
      <c r="U85" s="62">
        <f>Table1[[#This Row],[Number Of Products Sold]]/Table1[[#This Row],[EOQ]]</f>
        <v>3.1677165109122711</v>
      </c>
      <c r="V85" s="97">
        <f>360/Table1[[#This Row],[Optimum No of Orders]]</f>
        <v>113.64653331819883</v>
      </c>
      <c r="W85" s="2" t="s">
        <v>155</v>
      </c>
    </row>
    <row r="86" spans="18:23" x14ac:dyDescent="0.3">
      <c r="R86" s="15" t="s">
        <v>138</v>
      </c>
      <c r="S86" s="15">
        <v>80</v>
      </c>
      <c r="T86" s="98">
        <f>SQRT((2*Table1[[#This Row],[Number Of Products Sold]]*Table1[[#This Row],[Costs]])/(0.3*Table1[[#This Row],[Price]]))</f>
        <v>146.70296737620012</v>
      </c>
      <c r="U86" s="98">
        <f>Table1[[#This Row],[Number Of Products Sold]]/Table1[[#This Row],[EOQ]]</f>
        <v>4.2125937263097191</v>
      </c>
      <c r="V86" s="96">
        <f>360/Table1[[#This Row],[Optimum No of Orders]]</f>
        <v>85.458039248271916</v>
      </c>
      <c r="W86" s="15" t="s">
        <v>155</v>
      </c>
    </row>
    <row r="87" spans="18:23" x14ac:dyDescent="0.3">
      <c r="R87" s="2" t="s">
        <v>139</v>
      </c>
      <c r="S87" s="2">
        <v>66</v>
      </c>
      <c r="T87" s="62">
        <f>SQRT((2*Table1[[#This Row],[Number Of Products Sold]]*Table1[[#This Row],[Costs]])/(0.3*Table1[[#This Row],[Price]]))</f>
        <v>42.718549690285421</v>
      </c>
      <c r="U87" s="62">
        <f>Table1[[#This Row],[Number Of Products Sold]]/Table1[[#This Row],[EOQ]]</f>
        <v>0.58522586045764613</v>
      </c>
      <c r="V87" s="97">
        <f>360/Table1[[#This Row],[Optimum No of Orders]]</f>
        <v>615.14711554011012</v>
      </c>
      <c r="W87" s="2" t="s">
        <v>157</v>
      </c>
    </row>
    <row r="88" spans="18:23" x14ac:dyDescent="0.3">
      <c r="R88" s="15" t="s">
        <v>140</v>
      </c>
      <c r="S88" s="15">
        <v>22</v>
      </c>
      <c r="T88" s="98">
        <f>SQRT((2*Table1[[#This Row],[Number Of Products Sold]]*Table1[[#This Row],[Costs]])/(0.3*Table1[[#This Row],[Price]]))</f>
        <v>140.15968567135087</v>
      </c>
      <c r="U88" s="98">
        <f>Table1[[#This Row],[Number Of Products Sold]]/Table1[[#This Row],[EOQ]]</f>
        <v>1.591042380923247</v>
      </c>
      <c r="V88" s="96">
        <f>360/Table1[[#This Row],[Optimum No of Orders]]</f>
        <v>226.26675713760679</v>
      </c>
      <c r="W88" s="15" t="s">
        <v>156</v>
      </c>
    </row>
    <row r="89" spans="18:23" x14ac:dyDescent="0.3">
      <c r="R89" s="2" t="s">
        <v>141</v>
      </c>
      <c r="S89" s="2">
        <v>55</v>
      </c>
      <c r="T89" s="62">
        <f>SQRT((2*Table1[[#This Row],[Number Of Products Sold]]*Table1[[#This Row],[Costs]])/(0.3*Table1[[#This Row],[Price]]))</f>
        <v>75.890103397920853</v>
      </c>
      <c r="U89" s="62">
        <f>Table1[[#This Row],[Number Of Products Sold]]/Table1[[#This Row],[EOQ]]</f>
        <v>1.0409789480160907</v>
      </c>
      <c r="V89" s="97">
        <f>360/Table1[[#This Row],[Optimum No of Orders]]</f>
        <v>345.82831928166462</v>
      </c>
      <c r="W89" s="2" t="s">
        <v>155</v>
      </c>
    </row>
    <row r="90" spans="18:23" x14ac:dyDescent="0.3">
      <c r="R90" s="15" t="s">
        <v>142</v>
      </c>
      <c r="S90" s="15">
        <v>85</v>
      </c>
      <c r="T90" s="98">
        <f>SQRT((2*Table1[[#This Row],[Number Of Products Sold]]*Table1[[#This Row],[Costs]])/(0.3*Table1[[#This Row],[Price]]))</f>
        <v>82.360260401419453</v>
      </c>
      <c r="U90" s="98">
        <f>Table1[[#This Row],[Number Of Products Sold]]/Table1[[#This Row],[EOQ]]</f>
        <v>8.9484904055414809</v>
      </c>
      <c r="V90" s="96">
        <f>360/Table1[[#This Row],[Optimum No of Orders]]</f>
        <v>40.230249314126198</v>
      </c>
      <c r="W90" s="15" t="s">
        <v>157</v>
      </c>
    </row>
    <row r="91" spans="18:23" x14ac:dyDescent="0.3">
      <c r="R91" s="2" t="s">
        <v>143</v>
      </c>
      <c r="S91" s="2">
        <v>27</v>
      </c>
      <c r="T91" s="62">
        <f>SQRT((2*Table1[[#This Row],[Number Of Products Sold]]*Table1[[#This Row],[Costs]])/(0.3*Table1[[#This Row],[Price]]))</f>
        <v>68.767169556649364</v>
      </c>
      <c r="U91" s="62">
        <f>Table1[[#This Row],[Number Of Products Sold]]/Table1[[#This Row],[EOQ]]</f>
        <v>1.9486042665986536</v>
      </c>
      <c r="V91" s="97">
        <f>360/Table1[[#This Row],[Optimum No of Orders]]</f>
        <v>184.74761970443114</v>
      </c>
      <c r="W91" s="2" t="s">
        <v>157</v>
      </c>
    </row>
    <row r="92" spans="18:23" x14ac:dyDescent="0.3">
      <c r="R92" s="15" t="s">
        <v>144</v>
      </c>
      <c r="S92" s="15">
        <v>96</v>
      </c>
      <c r="T92" s="98">
        <f>SQRT((2*Table1[[#This Row],[Number Of Products Sold]]*Table1[[#This Row],[Costs]])/(0.3*Table1[[#This Row],[Price]]))</f>
        <v>390.06726162547869</v>
      </c>
      <c r="U92" s="98">
        <f>Table1[[#This Row],[Number Of Products Sold]]/Table1[[#This Row],[EOQ]]</f>
        <v>0.82037133459112632</v>
      </c>
      <c r="V92" s="96">
        <f>360/Table1[[#This Row],[Optimum No of Orders]]</f>
        <v>438.82566932866354</v>
      </c>
      <c r="W92" s="15" t="s">
        <v>156</v>
      </c>
    </row>
    <row r="93" spans="18:23" x14ac:dyDescent="0.3">
      <c r="R93" s="2" t="s">
        <v>145</v>
      </c>
      <c r="S93" s="2">
        <v>85</v>
      </c>
      <c r="T93" s="62">
        <f>SQRT((2*Table1[[#This Row],[Number Of Products Sold]]*Table1[[#This Row],[Costs]])/(0.3*Table1[[#This Row],[Price]]))</f>
        <v>313.05003871671386</v>
      </c>
      <c r="U93" s="62">
        <f>Table1[[#This Row],[Number Of Products Sold]]/Table1[[#This Row],[EOQ]]</f>
        <v>2.926049789851358</v>
      </c>
      <c r="V93" s="97">
        <f>360/Table1[[#This Row],[Optimum No of Orders]]</f>
        <v>123.0327663078788</v>
      </c>
      <c r="W93" s="2" t="s">
        <v>157</v>
      </c>
    </row>
    <row r="94" spans="18:23" x14ac:dyDescent="0.3">
      <c r="R94" s="15" t="s">
        <v>146</v>
      </c>
      <c r="S94" s="15">
        <v>10</v>
      </c>
      <c r="T94" s="98">
        <f>SQRT((2*Table1[[#This Row],[Number Of Products Sold]]*Table1[[#This Row],[Costs]])/(0.3*Table1[[#This Row],[Price]]))</f>
        <v>94.196862091589068</v>
      </c>
      <c r="U94" s="98">
        <f>Table1[[#This Row],[Number Of Products Sold]]/Table1[[#This Row],[EOQ]]</f>
        <v>2.930033908471823</v>
      </c>
      <c r="V94" s="96">
        <f>360/Table1[[#This Row],[Optimum No of Orders]]</f>
        <v>122.86547229337704</v>
      </c>
      <c r="W94" s="15" t="s">
        <v>157</v>
      </c>
    </row>
    <row r="95" spans="18:23" x14ac:dyDescent="0.3">
      <c r="R95" s="2" t="s">
        <v>147</v>
      </c>
      <c r="S95" s="2">
        <v>66</v>
      </c>
      <c r="T95" s="62">
        <f>SQRT((2*Table1[[#This Row],[Number Of Products Sold]]*Table1[[#This Row],[Costs]])/(0.3*Table1[[#This Row],[Price]]))</f>
        <v>95.040125420748154</v>
      </c>
      <c r="U95" s="62">
        <f>Table1[[#This Row],[Number Of Products Sold]]/Table1[[#This Row],[EOQ]]</f>
        <v>1.1994933665682297</v>
      </c>
      <c r="V95" s="97">
        <f>360/Table1[[#This Row],[Optimum No of Orders]]</f>
        <v>300.1267118549942</v>
      </c>
      <c r="W95" s="2" t="s">
        <v>155</v>
      </c>
    </row>
    <row r="96" spans="18:23" x14ac:dyDescent="0.3">
      <c r="R96" s="15" t="s">
        <v>148</v>
      </c>
      <c r="S96" s="15">
        <v>72</v>
      </c>
      <c r="T96" s="98">
        <f>SQRT((2*Table1[[#This Row],[Number Of Products Sold]]*Table1[[#This Row],[Costs]])/(0.3*Table1[[#This Row],[Price]]))</f>
        <v>1354.2448154720894</v>
      </c>
      <c r="U96" s="98">
        <f>Table1[[#This Row],[Number Of Products Sold]]/Table1[[#This Row],[EOQ]]</f>
        <v>0.72881947837173888</v>
      </c>
      <c r="V96" s="96">
        <f>360/Table1[[#This Row],[Optimum No of Orders]]</f>
        <v>493.94947676793538</v>
      </c>
      <c r="W96" s="15" t="s">
        <v>157</v>
      </c>
    </row>
    <row r="97" spans="18:23" x14ac:dyDescent="0.3">
      <c r="R97" s="2" t="s">
        <v>149</v>
      </c>
      <c r="S97" s="2">
        <v>26</v>
      </c>
      <c r="T97" s="62">
        <f>SQRT((2*Table1[[#This Row],[Number Of Products Sold]]*Table1[[#This Row],[Costs]])/(0.3*Table1[[#This Row],[Price]]))</f>
        <v>211.63632615943146</v>
      </c>
      <c r="U97" s="62">
        <f>Table1[[#This Row],[Number Of Products Sold]]/Table1[[#This Row],[EOQ]]</f>
        <v>3.1752582942389762</v>
      </c>
      <c r="V97" s="97">
        <f>360/Table1[[#This Row],[Optimum No of Orders]]</f>
        <v>113.37660329969543</v>
      </c>
      <c r="W97" s="2" t="s">
        <v>155</v>
      </c>
    </row>
    <row r="98" spans="18:23" x14ac:dyDescent="0.3">
      <c r="R98" s="15" t="s">
        <v>150</v>
      </c>
      <c r="S98" s="15">
        <v>32</v>
      </c>
      <c r="T98" s="98">
        <f>SQRT((2*Table1[[#This Row],[Number Of Products Sold]]*Table1[[#This Row],[Costs]])/(0.3*Table1[[#This Row],[Price]]))</f>
        <v>129.19944293557208</v>
      </c>
      <c r="U98" s="98">
        <f>Table1[[#This Row],[Number Of Products Sold]]/Table1[[#This Row],[EOQ]]</f>
        <v>2.5077507506094214</v>
      </c>
      <c r="V98" s="96">
        <f>360/Table1[[#This Row],[Optimum No of Orders]]</f>
        <v>143.55493659508008</v>
      </c>
      <c r="W98" s="15" t="s">
        <v>157</v>
      </c>
    </row>
    <row r="99" spans="18:23" x14ac:dyDescent="0.3">
      <c r="R99" s="2" t="s">
        <v>151</v>
      </c>
      <c r="S99" s="2">
        <v>4</v>
      </c>
      <c r="T99" s="62">
        <f>SQRT((2*Table1[[#This Row],[Number Of Products Sold]]*Table1[[#This Row],[Costs]])/(0.3*Table1[[#This Row],[Price]]))</f>
        <v>251.62415726340731</v>
      </c>
      <c r="U99" s="62">
        <f>Table1[[#This Row],[Number Of Products Sold]]/Table1[[#This Row],[EOQ]]</f>
        <v>0.24639923556742066</v>
      </c>
      <c r="V99" s="97">
        <f>360/Table1[[#This Row],[Optimum No of Orders]]</f>
        <v>1461.0434937875264</v>
      </c>
      <c r="W99" s="2" t="s">
        <v>155</v>
      </c>
    </row>
    <row r="100" spans="18:23" x14ac:dyDescent="0.3">
      <c r="R100" s="15" t="s">
        <v>152</v>
      </c>
      <c r="S100" s="15">
        <v>27</v>
      </c>
      <c r="T100" s="98">
        <f>SQRT((2*Table1[[#This Row],[Number Of Products Sold]]*Table1[[#This Row],[Costs]])/(0.3*Table1[[#This Row],[Price]]))</f>
        <v>521.36135004068217</v>
      </c>
      <c r="U100" s="98">
        <f>Table1[[#This Row],[Number Of Products Sold]]/Table1[[#This Row],[EOQ]]</f>
        <v>1.7511846628614838</v>
      </c>
      <c r="V100" s="96">
        <f>360/Table1[[#This Row],[Optimum No of Orders]]</f>
        <v>205.57512159325913</v>
      </c>
      <c r="W100" s="15" t="s">
        <v>156</v>
      </c>
    </row>
    <row r="101" spans="18:23" x14ac:dyDescent="0.3">
      <c r="R101" s="2" t="s">
        <v>153</v>
      </c>
      <c r="S101" s="2">
        <v>59</v>
      </c>
      <c r="T101" s="62">
        <f>SQRT((2*Table1[[#This Row],[Number Of Products Sold]]*Table1[[#This Row],[Costs]])/(0.3*Table1[[#This Row],[Price]]))</f>
        <v>113.38691010476025</v>
      </c>
      <c r="U101" s="62">
        <f>Table1[[#This Row],[Number Of Products Sold]]/Table1[[#This Row],[EOQ]]</f>
        <v>5.5297388333512503</v>
      </c>
      <c r="V101" s="99">
        <f>360/Table1[[#This Row],[Optimum No of Orders]]</f>
        <v>65.102532117565687</v>
      </c>
      <c r="W101" s="2" t="s">
        <v>155</v>
      </c>
    </row>
  </sheetData>
  <autoFilter ref="J2:K5" xr:uid="{C39F0E6D-C819-48E6-B704-E719E1BA864C}">
    <sortState xmlns:xlrd2="http://schemas.microsoft.com/office/spreadsheetml/2017/richdata2" ref="J3:K5">
      <sortCondition ref="J2:J5"/>
    </sortState>
  </autoFilter>
  <pageMargins left="0.7" right="0.7" top="0.75" bottom="0.75" header="0.3" footer="0.3"/>
  <drawing r:id="rId9"/>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24F5DD-9E8A-42FC-96DF-FF096FB74E80}">
  <dimension ref="A1:AE101"/>
  <sheetViews>
    <sheetView workbookViewId="0">
      <selection activeCell="I1" sqref="I1"/>
    </sheetView>
  </sheetViews>
  <sheetFormatPr defaultRowHeight="14.4" x14ac:dyDescent="0.3"/>
  <cols>
    <col min="1" max="1" width="6.33203125" customWidth="1"/>
    <col min="2" max="2" width="16.88671875" bestFit="1" customWidth="1"/>
    <col min="3" max="3" width="12.109375" bestFit="1" customWidth="1"/>
    <col min="4" max="4" width="14.6640625" bestFit="1" customWidth="1"/>
    <col min="5" max="5" width="12.33203125" bestFit="1" customWidth="1"/>
    <col min="6" max="6" width="15.21875" style="32" bestFit="1" customWidth="1"/>
    <col min="7" max="7" width="4.6640625" style="32" bestFit="1" customWidth="1"/>
    <col min="8" max="8" width="14.6640625" bestFit="1" customWidth="1"/>
    <col min="9" max="9" width="10.44140625" bestFit="1" customWidth="1"/>
    <col min="11" max="12" width="10.44140625" bestFit="1" customWidth="1"/>
    <col min="13" max="13" width="8.88671875" bestFit="1" customWidth="1"/>
    <col min="14" max="14" width="8.88671875" style="32" bestFit="1" customWidth="1"/>
    <col min="15" max="15" width="10.44140625" style="32" bestFit="1" customWidth="1"/>
    <col min="16" max="16" width="8.77734375" style="32" bestFit="1" customWidth="1"/>
    <col min="17" max="17" width="9" style="32" bestFit="1" customWidth="1"/>
    <col min="18" max="18" width="20.21875" style="32" customWidth="1"/>
    <col min="19" max="19" width="11.5546875" style="32" bestFit="1" customWidth="1"/>
    <col min="20" max="20" width="13.6640625" style="32" customWidth="1"/>
    <col min="21" max="21" width="8.88671875" style="32"/>
    <col min="22" max="22" width="13.44140625" style="32" customWidth="1"/>
    <col min="23" max="23" width="13.33203125" style="32" customWidth="1"/>
    <col min="24" max="26" width="10.44140625" style="32" bestFit="1" customWidth="1"/>
    <col min="27" max="31" width="8.88671875" style="32"/>
  </cols>
  <sheetData>
    <row r="1" spans="1:26" ht="28.8" x14ac:dyDescent="0.3">
      <c r="A1" s="60" t="s">
        <v>1</v>
      </c>
      <c r="B1" s="73" t="s">
        <v>208</v>
      </c>
      <c r="C1" s="73" t="s">
        <v>184</v>
      </c>
      <c r="D1" s="61" t="s">
        <v>3</v>
      </c>
      <c r="E1" s="74" t="s">
        <v>217</v>
      </c>
      <c r="F1" s="73" t="s">
        <v>216</v>
      </c>
      <c r="G1" s="59" t="s">
        <v>223</v>
      </c>
      <c r="H1" s="59"/>
      <c r="I1" s="32"/>
      <c r="J1" s="32"/>
      <c r="K1" s="32"/>
      <c r="L1" s="32"/>
      <c r="M1" s="32"/>
    </row>
    <row r="2" spans="1:26" ht="21" x14ac:dyDescent="0.4">
      <c r="A2" s="4" t="s">
        <v>25</v>
      </c>
      <c r="B2" s="62">
        <f>Table1[[#This Row],[Number Of Products Sold]]/90</f>
        <v>8.9111111111111114</v>
      </c>
      <c r="C2" s="14">
        <f>B2*(Table1[[#This Row],[Lead Times]]+Table1[[#This Row],[Shipping Times]])</f>
        <v>98.022222222222226</v>
      </c>
      <c r="D2" s="2">
        <v>55</v>
      </c>
      <c r="E2" s="63" t="str">
        <f>IF(D2&lt;C2, "Yes", "No")</f>
        <v>Yes</v>
      </c>
      <c r="F2" t="str">
        <f>IF((Table1[[#This Row],[Stock Levels]]+Table3[[#This Row],[Availability]])&lt;Table3[[#This Row],[Reorder Point]], "Yes", "No")</f>
        <v>No</v>
      </c>
      <c r="H2" s="69" t="s">
        <v>209</v>
      </c>
      <c r="I2" s="32"/>
      <c r="J2" s="32"/>
      <c r="K2" s="32"/>
      <c r="L2" s="32"/>
      <c r="M2" s="70" t="s">
        <v>215</v>
      </c>
      <c r="R2" s="69" t="s">
        <v>209</v>
      </c>
      <c r="W2" s="70" t="s">
        <v>218</v>
      </c>
    </row>
    <row r="3" spans="1:26" x14ac:dyDescent="0.3">
      <c r="A3" s="4" t="s">
        <v>34</v>
      </c>
      <c r="B3" s="62">
        <f>Table1[[#This Row],[Number Of Products Sold]]/90</f>
        <v>8.1777777777777771</v>
      </c>
      <c r="C3" s="14">
        <f>B3*(Table1[[#This Row],[Lead Times]]+Table1[[#This Row],[Shipping Times]])</f>
        <v>261.68888888888887</v>
      </c>
      <c r="D3" s="2">
        <v>95</v>
      </c>
      <c r="E3" s="63" t="str">
        <f t="shared" ref="E3:E66" si="0">IF(D3&lt;C3, "Yes", "No")</f>
        <v>Yes</v>
      </c>
      <c r="F3" t="str">
        <f>IF((Table1[[#This Row],[Stock Levels]]+Table3[[#This Row],[Availability]])&lt;Table3[[#This Row],[Reorder Point]], "Yes", "No")</f>
        <v>Yes</v>
      </c>
      <c r="H3" s="32"/>
      <c r="I3" s="32"/>
      <c r="J3" s="32"/>
      <c r="K3" s="32"/>
      <c r="L3" s="32" t="str" cm="1">
        <f t="array" ref="L3:P3">TRANSPOSE(_xlfn._xlws.SORT(_xlfn.UNIQUE(K10:K83)))</f>
        <v>Supplier 1</v>
      </c>
      <c r="M3" s="32" t="str">
        <v>Supplier 2</v>
      </c>
      <c r="N3" s="32" t="str">
        <v>Supplier 3</v>
      </c>
      <c r="O3" s="32" t="str">
        <v>Supplier 4</v>
      </c>
      <c r="P3" s="32" t="str">
        <v>Supplier 5</v>
      </c>
      <c r="V3" s="32" t="str" cm="1">
        <f t="array" ref="V3:Y3">TRANSPOSE(_xlfn._xlws.SORT(_xlfn.UNIQUE(T10:T59)))</f>
        <v>Air</v>
      </c>
      <c r="W3" s="32" t="str">
        <v>Rail</v>
      </c>
      <c r="X3" s="32" t="str">
        <v>Road</v>
      </c>
      <c r="Y3" s="32" t="str">
        <v>Sea</v>
      </c>
      <c r="Z3" s="32" t="s">
        <v>220</v>
      </c>
    </row>
    <row r="4" spans="1:26" ht="28.8" x14ac:dyDescent="0.3">
      <c r="A4" s="4" t="s">
        <v>37</v>
      </c>
      <c r="B4" s="62">
        <f>Table1[[#This Row],[Number Of Products Sold]]/90</f>
        <v>8.8888888888888892E-2</v>
      </c>
      <c r="C4" s="14">
        <f>B4*(Table1[[#This Row],[Lead Times]]+Table1[[#This Row],[Shipping Times]])</f>
        <v>1.0666666666666667</v>
      </c>
      <c r="D4" s="2">
        <v>34</v>
      </c>
      <c r="E4" s="63" t="str">
        <f t="shared" si="0"/>
        <v>No</v>
      </c>
      <c r="F4" t="str">
        <f>IF((Table1[[#This Row],[Stock Levels]]+Table3[[#This Row],[Availability]])&lt;Table3[[#This Row],[Reorder Point]], "Yes", "No")</f>
        <v>No</v>
      </c>
      <c r="H4" s="32" t="s">
        <v>210</v>
      </c>
      <c r="I4" s="56">
        <f>SUM(N10:N83)</f>
        <v>3812.457229825578</v>
      </c>
      <c r="J4" s="32"/>
      <c r="K4" s="71" t="s">
        <v>212</v>
      </c>
      <c r="L4" s="56">
        <f>SUMIF($K$10:$K$83, L3, $N$10:$N$83)</f>
        <v>1362.5582327777788</v>
      </c>
      <c r="M4" s="56">
        <f>SUMIF($K$10:$K$83, M3, $N$10:$N$83)</f>
        <v>787.90245199267667</v>
      </c>
      <c r="N4" s="56">
        <f>SUMIF($K$10:$K$83, N3, $N$10:$N$83)</f>
        <v>572.93631800288051</v>
      </c>
      <c r="O4" s="56">
        <f>SUMIF($K$10:$K$83, O3, $N$10:$N$83)</f>
        <v>545.08140477192921</v>
      </c>
      <c r="P4" s="56">
        <f>SUMIF($K$10:$K$83, P3, $N$10:$N$83)</f>
        <v>543.97882228031153</v>
      </c>
      <c r="R4" s="32" t="s">
        <v>210</v>
      </c>
      <c r="S4" s="56">
        <f>SUM(X10:X59)</f>
        <v>2649.3366041576764</v>
      </c>
      <c r="U4" s="71" t="str" cm="1">
        <f t="array" ref="U4:U6">_xlfn._xlws.SORT(_xlfn.UNIQUE(U10:U59))</f>
        <v>Route A</v>
      </c>
      <c r="V4" s="56">
        <f>SUMIFS($V$10:$V$59, $U$10:$U$59, U4, $T$10:$T$59, $V$3)</f>
        <v>3427.2338263720808</v>
      </c>
      <c r="W4" s="56">
        <f>SUMIFS($V$10:$V$59, $U$10:$U$59, U4, $T$10:$T$59, $W$3)</f>
        <v>2581.6442948865488</v>
      </c>
      <c r="X4" s="56">
        <f>SUMIFS($V$10:$V$59, $U$10:$U$59, U4, $T$10:$T$59, $X$3)</f>
        <v>3234.2698004297449</v>
      </c>
      <c r="Y4" s="56">
        <f>SUMIFS($V$10:$V$59, $U$10:$U$59, U4, $T$10:$T$59, $Y$3)</f>
        <v>1528.1091413761289</v>
      </c>
      <c r="Z4" s="77">
        <f>SUM(V4:Y4)</f>
        <v>10771.257063064504</v>
      </c>
    </row>
    <row r="5" spans="1:26" ht="15.6" x14ac:dyDescent="0.3">
      <c r="A5" s="4" t="s">
        <v>42</v>
      </c>
      <c r="B5" s="62">
        <f>Table1[[#This Row],[Number Of Products Sold]]/90</f>
        <v>0.92222222222222228</v>
      </c>
      <c r="C5" s="14">
        <f>B5*(Table1[[#This Row],[Lead Times]]+Table1[[#This Row],[Shipping Times]])</f>
        <v>17.522222222222222</v>
      </c>
      <c r="D5" s="2">
        <v>68</v>
      </c>
      <c r="E5" s="63" t="str">
        <f t="shared" si="0"/>
        <v>No</v>
      </c>
      <c r="F5" t="str">
        <f>IF((Table1[[#This Row],[Stock Levels]]+Table3[[#This Row],[Availability]])&lt;Table3[[#This Row],[Reorder Point]], "Yes", "No")</f>
        <v>No</v>
      </c>
      <c r="H5" s="32" t="s">
        <v>211</v>
      </c>
      <c r="I5" s="54">
        <f>COUNTA(_xlfn.UNIQUE(_xlfn.ANCHORARRAY(H10)))</f>
        <v>74</v>
      </c>
      <c r="J5" s="32"/>
      <c r="K5" s="32"/>
      <c r="L5" s="57"/>
      <c r="M5" s="32"/>
      <c r="R5" s="32" t="s">
        <v>211</v>
      </c>
      <c r="S5" s="54">
        <f>COUNTA(_xlfn.UNIQUE(_xlfn.ANCHORARRAY(R10)))</f>
        <v>50</v>
      </c>
      <c r="U5" s="32" t="str">
        <v>Route B</v>
      </c>
      <c r="V5" s="56">
        <f t="shared" ref="V5:V6" si="1">SUMIFS($V$10:$V$59, $U$10:$U$59, U5, $T$10:$T$59, $V$3)</f>
        <v>1888.5635112407808</v>
      </c>
      <c r="W5" s="56">
        <f t="shared" ref="W5:W6" si="2">SUMIFS($V$10:$V$59, $U$10:$U$59, U5, $T$10:$T$59, $W$3)</f>
        <v>4501.0875984851245</v>
      </c>
      <c r="X5" s="56">
        <f t="shared" ref="X5:X6" si="3">SUMIFS($V$10:$V$59, $U$10:$U$59, U5, $T$10:$T$59, $X$3)</f>
        <v>3976.9651251314795</v>
      </c>
      <c r="Y5" s="56">
        <f t="shared" ref="Y5:Y6" si="4">SUMIFS($V$10:$V$59, $U$10:$U$59, U5, $T$10:$T$59, $Y$3)</f>
        <v>1110.792778446822</v>
      </c>
      <c r="Z5" s="77">
        <f t="shared" ref="Z5:Z6" si="5">SUM(V5:Y5)</f>
        <v>11477.409013304208</v>
      </c>
    </row>
    <row r="6" spans="1:26" ht="15.6" x14ac:dyDescent="0.3">
      <c r="A6" s="4" t="s">
        <v>49</v>
      </c>
      <c r="B6" s="62">
        <f>Table1[[#This Row],[Number Of Products Sold]]/90</f>
        <v>9.6777777777777771</v>
      </c>
      <c r="C6" s="14">
        <f>B6*(Table1[[#This Row],[Lead Times]]+Table1[[#This Row],[Shipping Times]])</f>
        <v>106.45555555555555</v>
      </c>
      <c r="D6" s="2">
        <v>26</v>
      </c>
      <c r="E6" s="63" t="str">
        <f t="shared" si="0"/>
        <v>Yes</v>
      </c>
      <c r="F6" t="str">
        <f>IF((Table1[[#This Row],[Stock Levels]]+Table3[[#This Row],[Availability]])&lt;Table3[[#This Row],[Reorder Point]], "Yes", "No")</f>
        <v>Yes</v>
      </c>
      <c r="H6" s="32" t="s">
        <v>171</v>
      </c>
      <c r="I6" s="56">
        <f>SUM(M10:M83)</f>
        <v>415.94319621176192</v>
      </c>
      <c r="J6" s="32"/>
      <c r="K6" s="32"/>
      <c r="L6" s="32" t="str" cm="1">
        <f t="array" ref="L6:N6">TRANSPOSE(_xlfn._xlws.SORT(_xlfn.UNIQUE(J10:J83)))</f>
        <v>Carrier A</v>
      </c>
      <c r="M6" s="32" t="str">
        <v>Carrier B</v>
      </c>
      <c r="N6" s="32" t="str">
        <v>Carrier C</v>
      </c>
      <c r="R6" s="32" t="s">
        <v>219</v>
      </c>
      <c r="S6" s="56">
        <f>SUM(V10:V59)</f>
        <v>27460.316794387265</v>
      </c>
      <c r="U6" s="32" t="str">
        <v>Route C</v>
      </c>
      <c r="V6" s="56">
        <f t="shared" si="1"/>
        <v>1530.0683878067211</v>
      </c>
      <c r="W6" s="56">
        <f t="shared" si="2"/>
        <v>1165.238310290169</v>
      </c>
      <c r="X6" s="56">
        <f t="shared" si="3"/>
        <v>1470.0595438752011</v>
      </c>
      <c r="Y6" s="56">
        <f t="shared" si="4"/>
        <v>1046.2844760464632</v>
      </c>
      <c r="Z6" s="77">
        <f t="shared" si="5"/>
        <v>5211.6507180185545</v>
      </c>
    </row>
    <row r="7" spans="1:26" ht="28.8" x14ac:dyDescent="0.3">
      <c r="A7" s="4" t="s">
        <v>51</v>
      </c>
      <c r="B7" s="62">
        <f>Table1[[#This Row],[Number Of Products Sold]]/90</f>
        <v>1.6333333333333333</v>
      </c>
      <c r="C7" s="14">
        <f>B7*(Table1[[#This Row],[Lead Times]]+Table1[[#This Row],[Shipping Times]])</f>
        <v>49</v>
      </c>
      <c r="D7" s="2">
        <v>87</v>
      </c>
      <c r="E7" s="63" t="str">
        <f t="shared" si="0"/>
        <v>No</v>
      </c>
      <c r="F7" t="str">
        <f>IF((Table1[[#This Row],[Stock Levels]]+Table3[[#This Row],[Availability]])&lt;Table3[[#This Row],[Reorder Point]], "Yes", "No")</f>
        <v>No</v>
      </c>
      <c r="H7" s="32"/>
      <c r="I7" s="32"/>
      <c r="J7" s="32"/>
      <c r="K7" s="71" t="s">
        <v>213</v>
      </c>
      <c r="L7" s="58">
        <f>SUMIF($J$10:$J$83, L6, $M$10:$M$83)</f>
        <v>131.53154475668777</v>
      </c>
      <c r="M7" s="58">
        <f>SUMIF($J$10:$J$83, M6, $M$10:$M$83)</f>
        <v>181.16044428050708</v>
      </c>
      <c r="N7" s="58">
        <f>SUMIF($J$10:$J$83, N6, $M$10:$M$83)</f>
        <v>103.25120717456699</v>
      </c>
      <c r="R7" s="32" t="s">
        <v>174</v>
      </c>
      <c r="S7" s="56">
        <f>SUM(W10:W59)</f>
        <v>2330.5183717618502</v>
      </c>
      <c r="U7" s="71" t="s">
        <v>220</v>
      </c>
      <c r="V7" s="72">
        <f>SUM(V4:V6)</f>
        <v>6845.8657254195823</v>
      </c>
      <c r="W7" s="72">
        <f t="shared" ref="W7:Y7" si="6">SUM(W4:W6)</f>
        <v>8247.9702036618419</v>
      </c>
      <c r="X7" s="72">
        <f t="shared" si="6"/>
        <v>8681.2944694364251</v>
      </c>
      <c r="Y7" s="72">
        <f t="shared" si="6"/>
        <v>3685.1863958694139</v>
      </c>
      <c r="Z7" s="77">
        <f>SUM(Z4:Z6)</f>
        <v>27460.316794387265</v>
      </c>
    </row>
    <row r="8" spans="1:26" ht="18" x14ac:dyDescent="0.35">
      <c r="A8" s="4" t="s">
        <v>54</v>
      </c>
      <c r="B8" s="62">
        <f>Table1[[#This Row],[Number Of Products Sold]]/90</f>
        <v>0.72222222222222221</v>
      </c>
      <c r="C8" s="14">
        <f>B8*(Table1[[#This Row],[Lead Times]]+Table1[[#This Row],[Shipping Times]])</f>
        <v>16.611111111111111</v>
      </c>
      <c r="D8" s="2">
        <v>48</v>
      </c>
      <c r="E8" s="63" t="str">
        <f t="shared" si="0"/>
        <v>No</v>
      </c>
      <c r="F8" t="str">
        <f>IF((Table1[[#This Row],[Stock Levels]]+Table3[[#This Row],[Availability]])&lt;Table3[[#This Row],[Reorder Point]], "Yes", "No")</f>
        <v>No</v>
      </c>
      <c r="H8" s="82" t="s">
        <v>222</v>
      </c>
      <c r="I8" s="32"/>
      <c r="J8" s="32"/>
      <c r="K8" s="32"/>
      <c r="L8" s="32"/>
      <c r="M8" s="32"/>
      <c r="R8" s="82" t="s">
        <v>222</v>
      </c>
    </row>
    <row r="9" spans="1:26" ht="28.8" x14ac:dyDescent="0.3">
      <c r="A9" s="4" t="s">
        <v>58</v>
      </c>
      <c r="B9" s="62">
        <f>Table1[[#This Row],[Number Of Products Sold]]/90</f>
        <v>4.7333333333333334</v>
      </c>
      <c r="C9" s="14">
        <f>B9*(Table1[[#This Row],[Lead Times]]+Table1[[#This Row],[Shipping Times]])</f>
        <v>85.2</v>
      </c>
      <c r="D9" s="2">
        <v>59</v>
      </c>
      <c r="E9" s="63" t="str">
        <f t="shared" si="0"/>
        <v>Yes</v>
      </c>
      <c r="F9" t="str">
        <f>IF((Table1[[#This Row],[Stock Levels]]+Table3[[#This Row],[Availability]])&lt;Table3[[#This Row],[Reorder Point]], "Yes", "No")</f>
        <v>No</v>
      </c>
      <c r="H9" s="52" t="s">
        <v>1</v>
      </c>
      <c r="I9" s="53" t="s">
        <v>200</v>
      </c>
      <c r="J9" s="67" t="s">
        <v>161</v>
      </c>
      <c r="K9" s="67" t="s">
        <v>162</v>
      </c>
      <c r="L9" s="68" t="s">
        <v>14</v>
      </c>
      <c r="M9" s="67" t="s">
        <v>171</v>
      </c>
      <c r="N9" s="55" t="s">
        <v>2</v>
      </c>
      <c r="R9" s="78" t="s">
        <v>1</v>
      </c>
      <c r="S9" s="79" t="s">
        <v>200</v>
      </c>
      <c r="T9" s="80" t="s">
        <v>164</v>
      </c>
      <c r="U9" s="81" t="s">
        <v>22</v>
      </c>
      <c r="V9" s="79" t="s">
        <v>219</v>
      </c>
      <c r="W9" s="79" t="s">
        <v>221</v>
      </c>
      <c r="X9" s="79" t="s">
        <v>2</v>
      </c>
      <c r="Y9" s="75"/>
    </row>
    <row r="10" spans="1:26" x14ac:dyDescent="0.3">
      <c r="A10" s="4" t="s">
        <v>59</v>
      </c>
      <c r="B10" s="62">
        <f>Table1[[#This Row],[Number Of Products Sold]]/90</f>
        <v>1.6666666666666667</v>
      </c>
      <c r="C10" s="14">
        <f>B10*(Table1[[#This Row],[Lead Times]]+Table1[[#This Row],[Shipping Times]])</f>
        <v>28.333333333333336</v>
      </c>
      <c r="D10" s="2">
        <v>78</v>
      </c>
      <c r="E10" s="63" t="str">
        <f t="shared" si="0"/>
        <v>No</v>
      </c>
      <c r="F10" t="str">
        <f>IF((Table1[[#This Row],[Stock Levels]]+Table3[[#This Row],[Availability]])&lt;Table3[[#This Row],[Reorder Point]], "Yes", "No")</f>
        <v>No</v>
      </c>
      <c r="H10" t="str" cm="1">
        <f t="array" ref="H10:H83">_xlfn._xlws.FILTER(A2:A101,E2:E101="Yes")</f>
        <v>SKU0</v>
      </c>
      <c r="I10" t="str" cm="1">
        <f t="array" ref="I10">_xlfn.XLOOKUP(H10, Table1[[#All],[SKU]], Table1[[#All],[Product Type]])</f>
        <v>Haircare</v>
      </c>
      <c r="J10" t="str">
        <f>VLOOKUP($H10, Table1[[#All],[SKU]:[Costs]], 11, 0)</f>
        <v>Carrier B</v>
      </c>
      <c r="K10" t="str">
        <f>VLOOKUP($H10, Table1[[#All],[SKU]:[Costs]], 13, 0)</f>
        <v>Supplier 3</v>
      </c>
      <c r="L10" t="str">
        <f>VLOOKUP($H10, Table1[[#All],[SKU]:[Costs]], 14, 0)</f>
        <v>Mumbai</v>
      </c>
      <c r="M10" s="1">
        <f>VLOOKUP($H10, Table1[[#All],[SKU]:[Costs]], 12, 0)</f>
        <v>2.9565721394308002</v>
      </c>
      <c r="N10" s="1">
        <f>VLOOKUP($H10, Table1[[#All],[SKU]:[Costs]], 2, 0)</f>
        <v>69.808005542115694</v>
      </c>
      <c r="R10" s="30" t="str" cm="1">
        <f t="array" ref="R10:R59">_xlfn._xlws.FILTER(Table3[SKU], Table3[Manufacuring Reorder]="Yes")</f>
        <v>SKU1</v>
      </c>
      <c r="S10" s="30" t="str">
        <f>_xlfn.XLOOKUP(R10, Table1[SKU], Table1[Product Type])</f>
        <v>Skincare</v>
      </c>
      <c r="T10" s="30" t="str">
        <f>VLOOKUP('Order Tracker'!$R$10, Table1[[#All],[SKU]:[Costs]], 21, 0)</f>
        <v>Road</v>
      </c>
      <c r="U10" s="30" t="str">
        <f>VLOOKUP('Order Tracker'!$R10, Table1[[#All],[SKU]:[Costs]], 22, 0)</f>
        <v>Route B</v>
      </c>
      <c r="V10" s="76">
        <f>VLOOKUP('Order Tracker'!$R10, Table1[[#All],[SKU]:[Costs]], 23, 0)</f>
        <v>503.06557914966902</v>
      </c>
      <c r="W10" s="76">
        <f>VLOOKUP('Order Tracker'!$R10, Table1[[#All],[SKU]:[Costs]], 18, 0)</f>
        <v>33.616768953730002</v>
      </c>
      <c r="X10" s="76">
        <f>VLOOKUP('Order Tracker'!$R10, Table1[[#All],[SKU]:[Costs]], 2, 0)</f>
        <v>14.8435232750843</v>
      </c>
    </row>
    <row r="11" spans="1:26" x14ac:dyDescent="0.3">
      <c r="A11" s="4" t="s">
        <v>60</v>
      </c>
      <c r="B11" s="62">
        <f>Table1[[#This Row],[Number Of Products Sold]]/90</f>
        <v>10.888888888888889</v>
      </c>
      <c r="C11" s="14">
        <f>B11*(Table1[[#This Row],[Lead Times]]+Table1[[#This Row],[Shipping Times]])</f>
        <v>304.88888888888891</v>
      </c>
      <c r="D11" s="2">
        <v>35</v>
      </c>
      <c r="E11" s="63" t="str">
        <f t="shared" si="0"/>
        <v>Yes</v>
      </c>
      <c r="F11" t="str">
        <f>IF((Table1[[#This Row],[Stock Levels]]+Table3[[#This Row],[Availability]])&lt;Table3[[#This Row],[Reorder Point]], "Yes", "No")</f>
        <v>Yes</v>
      </c>
      <c r="H11" t="str">
        <v>SKU1</v>
      </c>
      <c r="I11" t="str" cm="1">
        <f t="array" ref="I11">_xlfn.XLOOKUP(H11, Table1[[#All],[SKU]], Table1[[#All],[Product Type]])</f>
        <v>Skincare</v>
      </c>
      <c r="J11" t="str">
        <f>VLOOKUP(H11, Table1[[#All],[SKU]:[Costs]], 11, 0)</f>
        <v>Carrier A</v>
      </c>
      <c r="K11" t="str">
        <f>VLOOKUP($H11, Table1[[#All],[SKU]:[Costs]], 13, 0)</f>
        <v>Supplier 3</v>
      </c>
      <c r="L11" t="str">
        <f>VLOOKUP($H11, Table1[[#All],[SKU]:[Costs]], 14, 0)</f>
        <v>Mumbai</v>
      </c>
      <c r="M11" s="1">
        <f>VLOOKUP($H11, Table1[[#All],[SKU]:[Costs]], 12, 0)</f>
        <v>9.7165747714313095</v>
      </c>
      <c r="N11" s="1">
        <f>VLOOKUP($H11, Table1[[#All],[SKU]:[Costs]], 2, 0)</f>
        <v>14.8435232750843</v>
      </c>
      <c r="R11" s="30" t="str">
        <v>SKU4</v>
      </c>
      <c r="S11" s="30" t="str">
        <f>_xlfn.XLOOKUP(R11, Table1[SKU], Table1[Product Type])</f>
        <v>Skincare</v>
      </c>
      <c r="T11" s="30" t="str">
        <f>VLOOKUP('Order Tracker'!R11, Table1[[#All],[SKU]:[Costs]], 21, 0)</f>
        <v>Air</v>
      </c>
      <c r="U11" s="30" t="str">
        <f>VLOOKUP('Order Tracker'!$R11, Table1[[#All],[SKU]:[Costs]], 22, 0)</f>
        <v>Route A</v>
      </c>
      <c r="V11" s="76">
        <f>VLOOKUP('Order Tracker'!$R11, Table1[[#All],[SKU]:[Costs]], 23, 0)</f>
        <v>923.44063171192204</v>
      </c>
      <c r="W11" s="76">
        <f>VLOOKUP('Order Tracker'!$R11, Table1[[#All],[SKU]:[Costs]], 18, 0)</f>
        <v>92.065160598712794</v>
      </c>
      <c r="X11" s="76">
        <f>VLOOKUP('Order Tracker'!$R11, Table1[[#All],[SKU]:[Costs]], 2, 0)</f>
        <v>4.8054960363458896</v>
      </c>
    </row>
    <row r="12" spans="1:26" x14ac:dyDescent="0.3">
      <c r="A12" s="4" t="s">
        <v>63</v>
      </c>
      <c r="B12" s="62">
        <f>Table1[[#This Row],[Number Of Products Sold]]/90</f>
        <v>11.066666666666666</v>
      </c>
      <c r="C12" s="14">
        <f>B12*(Table1[[#This Row],[Lead Times]]+Table1[[#This Row],[Shipping Times]])</f>
        <v>166</v>
      </c>
      <c r="D12" s="2">
        <v>11</v>
      </c>
      <c r="E12" s="63" t="str">
        <f t="shared" si="0"/>
        <v>Yes</v>
      </c>
      <c r="F12" t="str">
        <f>IF((Table1[[#This Row],[Stock Levels]]+Table3[[#This Row],[Availability]])&lt;Table3[[#This Row],[Reorder Point]], "Yes", "No")</f>
        <v>Yes</v>
      </c>
      <c r="H12" t="str">
        <v>SKU4</v>
      </c>
      <c r="I12" t="str" cm="1">
        <f t="array" ref="I12">_xlfn.XLOOKUP(H12, Table1[[#All],[SKU]], Table1[[#All],[Product Type]])</f>
        <v>Skincare</v>
      </c>
      <c r="J12" t="str">
        <f>VLOOKUP(H12, Table1[[#All],[SKU]:[Costs]], 11, 0)</f>
        <v>Carrier A</v>
      </c>
      <c r="K12" t="str">
        <f>VLOOKUP($H12, Table1[[#All],[SKU]:[Costs]], 13, 0)</f>
        <v>Supplier 1</v>
      </c>
      <c r="L12" t="str">
        <f>VLOOKUP($H12, Table1[[#All],[SKU]:[Costs]], 14, 0)</f>
        <v>Delhi</v>
      </c>
      <c r="M12" s="1">
        <f>VLOOKUP($H12, Table1[[#All],[SKU]:[Costs]], 12, 0)</f>
        <v>3.8905479158706702</v>
      </c>
      <c r="N12" s="1">
        <f>VLOOKUP($H12, Table1[[#All],[SKU]:[Costs]], 2, 0)</f>
        <v>4.8054960363458896</v>
      </c>
      <c r="R12" s="30" t="str">
        <v>SKU9</v>
      </c>
      <c r="S12" s="30" t="str">
        <f>_xlfn.XLOOKUP(R12, Table1[SKU], Table1[Product Type])</f>
        <v>Skincare</v>
      </c>
      <c r="T12" s="30" t="str">
        <f>VLOOKUP('Order Tracker'!R12, Table1[[#All],[SKU]:[Costs]], 21, 0)</f>
        <v>Rail</v>
      </c>
      <c r="U12" s="30" t="str">
        <f>VLOOKUP('Order Tracker'!$R12, Table1[[#All],[SKU]:[Costs]], 22, 0)</f>
        <v>Route B</v>
      </c>
      <c r="V12" s="76">
        <f>VLOOKUP('Order Tracker'!$R12, Table1[[#All],[SKU]:[Costs]], 23, 0)</f>
        <v>995.92946149864099</v>
      </c>
      <c r="W12" s="76">
        <f>VLOOKUP('Order Tracker'!$R12, Table1[[#All],[SKU]:[Costs]], 18, 0)</f>
        <v>47.957601634951502</v>
      </c>
      <c r="X12" s="76">
        <f>VLOOKUP('Order Tracker'!$R12, Table1[[#All],[SKU]:[Costs]], 2, 0)</f>
        <v>64.0157329412785</v>
      </c>
    </row>
    <row r="13" spans="1:26" x14ac:dyDescent="0.3">
      <c r="A13" s="4" t="s">
        <v>65</v>
      </c>
      <c r="B13" s="62">
        <f>Table1[[#This Row],[Number Of Products Sold]]/90</f>
        <v>10.666666666666666</v>
      </c>
      <c r="C13" s="14">
        <f>B13*(Table1[[#This Row],[Lead Times]]+Table1[[#This Row],[Shipping Times]])</f>
        <v>256</v>
      </c>
      <c r="D13" s="2">
        <v>95</v>
      </c>
      <c r="E13" s="63" t="str">
        <f t="shared" si="0"/>
        <v>Yes</v>
      </c>
      <c r="F13" t="str">
        <f>IF((Table1[[#This Row],[Stock Levels]]+Table3[[#This Row],[Availability]])&lt;Table3[[#This Row],[Reorder Point]], "Yes", "No")</f>
        <v>Yes</v>
      </c>
      <c r="H13" t="str">
        <v>SKU7</v>
      </c>
      <c r="I13" t="str" cm="1">
        <f t="array" ref="I13">_xlfn.XLOOKUP(H13, Table1[[#All],[SKU]], Table1[[#All],[Product Type]])</f>
        <v>Cosmetics</v>
      </c>
      <c r="J13" t="str">
        <f>VLOOKUP(H13, Table1[[#All],[SKU]:[Costs]], 11, 0)</f>
        <v>Carrier B</v>
      </c>
      <c r="K13" t="str">
        <f>VLOOKUP($H13, Table1[[#All],[SKU]:[Costs]], 13, 0)</f>
        <v>Supplier 4</v>
      </c>
      <c r="L13" t="str">
        <f>VLOOKUP($H13, Table1[[#All],[SKU]:[Costs]], 14, 0)</f>
        <v>Bangalore</v>
      </c>
      <c r="M13" s="1">
        <f>VLOOKUP($H13, Table1[[#All],[SKU]:[Costs]], 12, 0)</f>
        <v>2.3483387844177801</v>
      </c>
      <c r="N13" s="1">
        <f>VLOOKUP($H13, Table1[[#All],[SKU]:[Costs]], 2, 0)</f>
        <v>42.958384382459997</v>
      </c>
      <c r="R13" s="30" t="str">
        <v>SKU10</v>
      </c>
      <c r="S13" s="30" t="str">
        <f>_xlfn.XLOOKUP(R13, Table1[SKU], Table1[Product Type])</f>
        <v>Skincare</v>
      </c>
      <c r="T13" s="30" t="str">
        <f>VLOOKUP('Order Tracker'!R13, Table1[[#All],[SKU]:[Costs]], 21, 0)</f>
        <v>Road</v>
      </c>
      <c r="U13" s="30" t="str">
        <f>VLOOKUP('Order Tracker'!$R13, Table1[[#All],[SKU]:[Costs]], 22, 0)</f>
        <v>Route B</v>
      </c>
      <c r="V13" s="76">
        <f>VLOOKUP('Order Tracker'!$R13, Table1[[#All],[SKU]:[Costs]], 23, 0)</f>
        <v>806.10317770292295</v>
      </c>
      <c r="W13" s="76">
        <f>VLOOKUP('Order Tracker'!$R13, Table1[[#All],[SKU]:[Costs]], 18, 0)</f>
        <v>96.527352785310896</v>
      </c>
      <c r="X13" s="76">
        <f>VLOOKUP('Order Tracker'!$R13, Table1[[#All],[SKU]:[Costs]], 2, 0)</f>
        <v>15.707795681912099</v>
      </c>
    </row>
    <row r="14" spans="1:26" x14ac:dyDescent="0.3">
      <c r="A14" s="4" t="s">
        <v>66</v>
      </c>
      <c r="B14" s="62">
        <f>Table1[[#This Row],[Number Of Products Sold]]/90</f>
        <v>3.7333333333333334</v>
      </c>
      <c r="C14" s="14">
        <f>B14*(Table1[[#This Row],[Lead Times]]+Table1[[#This Row],[Shipping Times]])</f>
        <v>126.93333333333334</v>
      </c>
      <c r="D14" s="2">
        <v>41</v>
      </c>
      <c r="E14" s="63" t="str">
        <f t="shared" si="0"/>
        <v>Yes</v>
      </c>
      <c r="F14" t="str">
        <f>IF((Table1[[#This Row],[Stock Levels]]+Table3[[#This Row],[Availability]])&lt;Table3[[#This Row],[Reorder Point]], "Yes", "No")</f>
        <v>No</v>
      </c>
      <c r="H14" t="str">
        <v>SKU9</v>
      </c>
      <c r="I14" t="str" cm="1">
        <f t="array" ref="I14">_xlfn.XLOOKUP(H14, Table1[[#All],[SKU]], Table1[[#All],[Product Type]])</f>
        <v>Skincare</v>
      </c>
      <c r="J14" t="str">
        <f>VLOOKUP(H14, Table1[[#All],[SKU]:[Costs]], 11, 0)</f>
        <v>Carrier A</v>
      </c>
      <c r="K14" t="str">
        <f>VLOOKUP($H14, Table1[[#All],[SKU]:[Costs]], 13, 0)</f>
        <v>Supplier 2</v>
      </c>
      <c r="L14" t="str">
        <f>VLOOKUP($H14, Table1[[#All],[SKU]:[Costs]], 14, 0)</f>
        <v>Chennai</v>
      </c>
      <c r="M14" s="1">
        <f>VLOOKUP($H14, Table1[[#All],[SKU]:[Costs]], 12, 0)</f>
        <v>7.1666452910482104</v>
      </c>
      <c r="N14" s="1">
        <f>VLOOKUP($H14, Table1[[#All],[SKU]:[Costs]], 2, 0)</f>
        <v>64.0157329412785</v>
      </c>
      <c r="R14" s="30" t="str">
        <v>SKU11</v>
      </c>
      <c r="S14" s="30" t="str">
        <f>_xlfn.XLOOKUP(R14, Table1[SKU], Table1[Product Type])</f>
        <v>Skincare</v>
      </c>
      <c r="T14" s="30" t="str">
        <f>VLOOKUP('Order Tracker'!R14, Table1[[#All],[SKU]:[Costs]], 21, 0)</f>
        <v>Air</v>
      </c>
      <c r="U14" s="30" t="str">
        <f>VLOOKUP('Order Tracker'!$R14, Table1[[#All],[SKU]:[Costs]], 22, 0)</f>
        <v>Route A</v>
      </c>
      <c r="V14" s="76">
        <f>VLOOKUP('Order Tracker'!$R14, Table1[[#All],[SKU]:[Costs]], 23, 0)</f>
        <v>126.72303340940699</v>
      </c>
      <c r="W14" s="76">
        <f>VLOOKUP('Order Tracker'!$R14, Table1[[#All],[SKU]:[Costs]], 18, 0)</f>
        <v>27.5923630866636</v>
      </c>
      <c r="X14" s="76">
        <f>VLOOKUP('Order Tracker'!$R14, Table1[[#All],[SKU]:[Costs]], 2, 0)</f>
        <v>90.635459982288594</v>
      </c>
    </row>
    <row r="15" spans="1:26" x14ac:dyDescent="0.3">
      <c r="A15" s="4" t="s">
        <v>67</v>
      </c>
      <c r="B15" s="62">
        <f>Table1[[#This Row],[Number Of Products Sold]]/90</f>
        <v>2.7666666666666666</v>
      </c>
      <c r="C15" s="14">
        <f>B15*(Table1[[#This Row],[Lead Times]]+Table1[[#This Row],[Shipping Times]])</f>
        <v>47.033333333333331</v>
      </c>
      <c r="D15" s="2">
        <v>5</v>
      </c>
      <c r="E15" s="63" t="str">
        <f t="shared" si="0"/>
        <v>Yes</v>
      </c>
      <c r="F15" t="str">
        <f>IF((Table1[[#This Row],[Stock Levels]]+Table3[[#This Row],[Availability]])&lt;Table3[[#This Row],[Reorder Point]], "Yes", "No")</f>
        <v>No</v>
      </c>
      <c r="H15" t="str">
        <v>SKU10</v>
      </c>
      <c r="I15" t="str" cm="1">
        <f t="array" ref="I15">_xlfn.XLOOKUP(H15, Table1[[#All],[SKU]], Table1[[#All],[Product Type]])</f>
        <v>Skincare</v>
      </c>
      <c r="J15" t="str">
        <f>VLOOKUP(H15, Table1[[#All],[SKU]:[Costs]], 11, 0)</f>
        <v>Carrier C</v>
      </c>
      <c r="K15" t="str">
        <f>VLOOKUP($H15, Table1[[#All],[SKU]:[Costs]], 13, 0)</f>
        <v>Supplier 5</v>
      </c>
      <c r="L15" t="str">
        <f>VLOOKUP($H15, Table1[[#All],[SKU]:[Costs]], 14, 0)</f>
        <v>Kolkata</v>
      </c>
      <c r="M15" s="1">
        <f>VLOOKUP($H15, Table1[[#All],[SKU]:[Costs]], 12, 0)</f>
        <v>8.6732112112786108</v>
      </c>
      <c r="N15" s="1">
        <f>VLOOKUP($H15, Table1[[#All],[SKU]:[Costs]], 2, 0)</f>
        <v>15.707795681912099</v>
      </c>
      <c r="R15" s="30" t="str">
        <v>SKU14</v>
      </c>
      <c r="S15" s="30" t="str">
        <f>_xlfn.XLOOKUP(R15, Table1[SKU], Table1[Product Type])</f>
        <v>Skincare</v>
      </c>
      <c r="T15" s="30" t="str">
        <f>VLOOKUP('Order Tracker'!R15, Table1[[#All],[SKU]:[Costs]], 21, 0)</f>
        <v>Air</v>
      </c>
      <c r="U15" s="30" t="str">
        <f>VLOOKUP('Order Tracker'!$R15, Table1[[#All],[SKU]:[Costs]], 22, 0)</f>
        <v>Route B</v>
      </c>
      <c r="V15" s="76">
        <f>VLOOKUP('Order Tracker'!$R15, Table1[[#All],[SKU]:[Costs]], 23, 0)</f>
        <v>929.23528996088896</v>
      </c>
      <c r="W15" s="76">
        <f>VLOOKUP('Order Tracker'!$R15, Table1[[#All],[SKU]:[Costs]], 18, 0)</f>
        <v>5.7914366298629796</v>
      </c>
      <c r="X15" s="76">
        <f>VLOOKUP('Order Tracker'!$R15, Table1[[#All],[SKU]:[Costs]], 2, 0)</f>
        <v>99.171328638624104</v>
      </c>
    </row>
    <row r="16" spans="1:26" x14ac:dyDescent="0.3">
      <c r="A16" s="4" t="s">
        <v>68</v>
      </c>
      <c r="B16" s="62">
        <f>Table1[[#This Row],[Number Of Products Sold]]/90</f>
        <v>6.2444444444444445</v>
      </c>
      <c r="C16" s="14">
        <f>B16*(Table1[[#This Row],[Lead Times]]+Table1[[#This Row],[Shipping Times]])</f>
        <v>212.3111111111111</v>
      </c>
      <c r="D16" s="2">
        <v>26</v>
      </c>
      <c r="E16" s="63" t="str">
        <f t="shared" si="0"/>
        <v>Yes</v>
      </c>
      <c r="F16" t="str">
        <f>IF((Table1[[#This Row],[Stock Levels]]+Table3[[#This Row],[Availability]])&lt;Table3[[#This Row],[Reorder Point]], "Yes", "No")</f>
        <v>Yes</v>
      </c>
      <c r="H16" t="str">
        <v>SKU11</v>
      </c>
      <c r="I16" t="str" cm="1">
        <f t="array" ref="I16">_xlfn.XLOOKUP(H16, Table1[[#All],[SKU]], Table1[[#All],[Product Type]])</f>
        <v>Skincare</v>
      </c>
      <c r="J16" t="str">
        <f>VLOOKUP(H16, Table1[[#All],[SKU]:[Costs]], 11, 0)</f>
        <v>Carrier A</v>
      </c>
      <c r="K16" t="str">
        <f>VLOOKUP($H16, Table1[[#All],[SKU]:[Costs]], 13, 0)</f>
        <v>Supplier 2</v>
      </c>
      <c r="L16" t="str">
        <f>VLOOKUP($H16, Table1[[#All],[SKU]:[Costs]], 14, 0)</f>
        <v>Kolkata</v>
      </c>
      <c r="M16" s="1">
        <f>VLOOKUP($H16, Table1[[#All],[SKU]:[Costs]], 12, 0)</f>
        <v>4.5239431243166601</v>
      </c>
      <c r="N16" s="1">
        <f>VLOOKUP($H16, Table1[[#All],[SKU]:[Costs]], 2, 0)</f>
        <v>90.635459982288594</v>
      </c>
      <c r="R16" s="30" t="str">
        <v>SKU18</v>
      </c>
      <c r="S16" s="30" t="str">
        <f>_xlfn.XLOOKUP(R16, Table1[SKU], Table1[Product Type])</f>
        <v>Haircare</v>
      </c>
      <c r="T16" s="30" t="str">
        <f>VLOOKUP('Order Tracker'!R16, Table1[[#All],[SKU]:[Costs]], 21, 0)</f>
        <v>Sea</v>
      </c>
      <c r="U16" s="30" t="str">
        <f>VLOOKUP('Order Tracker'!$R16, Table1[[#All],[SKU]:[Costs]], 22, 0)</f>
        <v>Route A</v>
      </c>
      <c r="V16" s="76">
        <f>VLOOKUP('Order Tracker'!$R16, Table1[[#All],[SKU]:[Costs]], 23, 0)</f>
        <v>593.48025872065102</v>
      </c>
      <c r="W16" s="76">
        <f>VLOOKUP('Order Tracker'!$R16, Table1[[#All],[SKU]:[Costs]], 18, 0)</f>
        <v>27.107980854843898</v>
      </c>
      <c r="X16" s="76">
        <f>VLOOKUP('Order Tracker'!$R16, Table1[[#All],[SKU]:[Costs]], 2, 0)</f>
        <v>36.4436277704609</v>
      </c>
    </row>
    <row r="17" spans="1:24" x14ac:dyDescent="0.3">
      <c r="A17" s="4" t="s">
        <v>69</v>
      </c>
      <c r="B17" s="62">
        <f>Table1[[#This Row],[Number Of Products Sold]]/90</f>
        <v>5.2111111111111112</v>
      </c>
      <c r="C17" s="14">
        <f>B17*(Table1[[#This Row],[Lead Times]]+Table1[[#This Row],[Shipping Times]])</f>
        <v>78.166666666666671</v>
      </c>
      <c r="D17" s="2">
        <v>94</v>
      </c>
      <c r="E17" s="63" t="str">
        <f t="shared" si="0"/>
        <v>No</v>
      </c>
      <c r="F17" t="str">
        <f>IF((Table1[[#This Row],[Stock Levels]]+Table3[[#This Row],[Availability]])&lt;Table3[[#This Row],[Reorder Point]], "Yes", "No")</f>
        <v>No</v>
      </c>
      <c r="H17" t="str">
        <v>SKU12</v>
      </c>
      <c r="I17" t="str" cm="1">
        <f t="array" ref="I17">_xlfn.XLOOKUP(H17, Table1[[#All],[SKU]], Table1[[#All],[Product Type]])</f>
        <v>Haircare</v>
      </c>
      <c r="J17" t="str">
        <f>VLOOKUP(H17, Table1[[#All],[SKU]:[Costs]], 11, 0)</f>
        <v>Carrier A</v>
      </c>
      <c r="K17" t="str">
        <f>VLOOKUP($H17, Table1[[#All],[SKU]:[Costs]], 13, 0)</f>
        <v>Supplier 4</v>
      </c>
      <c r="L17" t="str">
        <f>VLOOKUP($H17, Table1[[#All],[SKU]:[Costs]], 14, 0)</f>
        <v>Kolkata</v>
      </c>
      <c r="M17" s="1">
        <f>VLOOKUP($H17, Table1[[#All],[SKU]:[Costs]], 12, 0)</f>
        <v>1.32527401018452</v>
      </c>
      <c r="N17" s="1">
        <f>VLOOKUP($H17, Table1[[#All],[SKU]:[Costs]], 2, 0)</f>
        <v>71.213389075359999</v>
      </c>
      <c r="R17" s="30" t="str">
        <v>SKU20</v>
      </c>
      <c r="S17" s="30" t="str">
        <f>_xlfn.XLOOKUP(R17, Table1[SKU], Table1[Product Type])</f>
        <v>Skincare</v>
      </c>
      <c r="T17" s="30" t="str">
        <f>VLOOKUP('Order Tracker'!R17, Table1[[#All],[SKU]:[Costs]], 21, 0)</f>
        <v>Air</v>
      </c>
      <c r="U17" s="30" t="str">
        <f>VLOOKUP('Order Tracker'!$R17, Table1[[#All],[SKU]:[Costs]], 22, 0)</f>
        <v>Route B</v>
      </c>
      <c r="V17" s="76">
        <f>VLOOKUP('Order Tracker'!$R17, Table1[[#All],[SKU]:[Costs]], 23, 0)</f>
        <v>493.871215316205</v>
      </c>
      <c r="W17" s="76">
        <f>VLOOKUP('Order Tracker'!$R17, Table1[[#All],[SKU]:[Costs]], 18, 0)</f>
        <v>65.686259608488598</v>
      </c>
      <c r="X17" s="76">
        <f>VLOOKUP('Order Tracker'!$R17, Table1[[#All],[SKU]:[Costs]], 2, 0)</f>
        <v>96.341072439963298</v>
      </c>
    </row>
    <row r="18" spans="1:24" x14ac:dyDescent="0.3">
      <c r="A18" s="4" t="s">
        <v>70</v>
      </c>
      <c r="B18" s="62">
        <f>Table1[[#This Row],[Number Of Products Sold]]/90</f>
        <v>3.1111111111111112</v>
      </c>
      <c r="C18" s="14">
        <f>B18*(Table1[[#This Row],[Lead Times]]+Table1[[#This Row],[Shipping Times]])</f>
        <v>18.666666666666668</v>
      </c>
      <c r="D18" s="2">
        <v>74</v>
      </c>
      <c r="E18" s="63" t="str">
        <f t="shared" si="0"/>
        <v>No</v>
      </c>
      <c r="F18" t="str">
        <f>IF((Table1[[#This Row],[Stock Levels]]+Table3[[#This Row],[Availability]])&lt;Table3[[#This Row],[Reorder Point]], "Yes", "No")</f>
        <v>No</v>
      </c>
      <c r="H18" t="str">
        <v>SKU13</v>
      </c>
      <c r="I18" t="str" cm="1">
        <f t="array" ref="I18">_xlfn.XLOOKUP(H18, Table1[[#All],[SKU]], Table1[[#All],[Product Type]])</f>
        <v>Skincare</v>
      </c>
      <c r="J18" t="str">
        <f>VLOOKUP(H18, Table1[[#All],[SKU]:[Costs]], 11, 0)</f>
        <v>Carrier A</v>
      </c>
      <c r="K18" t="str">
        <f>VLOOKUP($H18, Table1[[#All],[SKU]:[Costs]], 13, 0)</f>
        <v>Supplier 5</v>
      </c>
      <c r="L18" t="str">
        <f>VLOOKUP($H18, Table1[[#All],[SKU]:[Costs]], 14, 0)</f>
        <v>Bangalore</v>
      </c>
      <c r="M18" s="1">
        <f>VLOOKUP($H18, Table1[[#All],[SKU]:[Costs]], 12, 0)</f>
        <v>9.5372830611083295</v>
      </c>
      <c r="N18" s="1">
        <f>VLOOKUP($H18, Table1[[#All],[SKU]:[Costs]], 2, 0)</f>
        <v>16.160393317379899</v>
      </c>
      <c r="R18" s="30" t="str">
        <v>SKU21</v>
      </c>
      <c r="S18" s="30" t="str">
        <f>_xlfn.XLOOKUP(R18, Table1[SKU], Table1[Product Type])</f>
        <v>Cosmetics</v>
      </c>
      <c r="T18" s="30" t="str">
        <f>VLOOKUP('Order Tracker'!R18, Table1[[#All],[SKU]:[Costs]], 21, 0)</f>
        <v>Air</v>
      </c>
      <c r="U18" s="30" t="str">
        <f>VLOOKUP('Order Tracker'!$R18, Table1[[#All],[SKU]:[Costs]], 22, 0)</f>
        <v>Route C</v>
      </c>
      <c r="V18" s="76">
        <f>VLOOKUP('Order Tracker'!$R18, Table1[[#All],[SKU]:[Costs]], 23, 0)</f>
        <v>523.36091472015801</v>
      </c>
      <c r="W18" s="76">
        <f>VLOOKUP('Order Tracker'!$R18, Table1[[#All],[SKU]:[Costs]], 18, 0)</f>
        <v>61.735728954160898</v>
      </c>
      <c r="X18" s="76">
        <f>VLOOKUP('Order Tracker'!$R18, Table1[[#All],[SKU]:[Costs]], 2, 0)</f>
        <v>84.893868984950799</v>
      </c>
    </row>
    <row r="19" spans="1:24" x14ac:dyDescent="0.3">
      <c r="A19" s="4" t="s">
        <v>71</v>
      </c>
      <c r="B19" s="62">
        <f>Table1[[#This Row],[Number Of Products Sold]]/90</f>
        <v>1.4</v>
      </c>
      <c r="C19" s="14">
        <f>B19*(Table1[[#This Row],[Lead Times]]+Table1[[#This Row],[Shipping Times]])</f>
        <v>36.4</v>
      </c>
      <c r="D19" s="2">
        <v>82</v>
      </c>
      <c r="E19" s="63" t="str">
        <f t="shared" si="0"/>
        <v>No</v>
      </c>
      <c r="F19" t="str">
        <f>IF((Table1[[#This Row],[Stock Levels]]+Table3[[#This Row],[Availability]])&lt;Table3[[#This Row],[Reorder Point]], "Yes", "No")</f>
        <v>No</v>
      </c>
      <c r="H19" t="str">
        <v>SKU14</v>
      </c>
      <c r="I19" t="str" cm="1">
        <f t="array" ref="I19">_xlfn.XLOOKUP(H19, Table1[[#All],[SKU]], Table1[[#All],[Product Type]])</f>
        <v>Skincare</v>
      </c>
      <c r="J19" t="str">
        <f>VLOOKUP(H19, Table1[[#All],[SKU]:[Costs]], 11, 0)</f>
        <v>Carrier B</v>
      </c>
      <c r="K19" t="str">
        <f>VLOOKUP($H19, Table1[[#All],[SKU]:[Costs]], 13, 0)</f>
        <v>Supplier 1</v>
      </c>
      <c r="L19" t="str">
        <f>VLOOKUP($H19, Table1[[#All],[SKU]:[Costs]], 14, 0)</f>
        <v>Kolkata</v>
      </c>
      <c r="M19" s="1">
        <f>VLOOKUP($H19, Table1[[#All],[SKU]:[Costs]], 12, 0)</f>
        <v>2.0397701894493299</v>
      </c>
      <c r="N19" s="1">
        <f>VLOOKUP($H19, Table1[[#All],[SKU]:[Costs]], 2, 0)</f>
        <v>99.171328638624104</v>
      </c>
      <c r="R19" s="30" t="str">
        <v>SKU24</v>
      </c>
      <c r="S19" s="30" t="str">
        <f>_xlfn.XLOOKUP(R19, Table1[SKU], Table1[Product Type])</f>
        <v>Haircare</v>
      </c>
      <c r="T19" s="30" t="str">
        <f>VLOOKUP('Order Tracker'!R19, Table1[[#All],[SKU]:[Costs]], 21, 0)</f>
        <v>Air</v>
      </c>
      <c r="U19" s="30" t="str">
        <f>VLOOKUP('Order Tracker'!$R19, Table1[[#All],[SKU]:[Costs]], 22, 0)</f>
        <v>Route A</v>
      </c>
      <c r="V19" s="76">
        <f>VLOOKUP('Order Tracker'!$R19, Table1[[#All],[SKU]:[Costs]], 23, 0)</f>
        <v>758.72477260293795</v>
      </c>
      <c r="W19" s="76">
        <f>VLOOKUP('Order Tracker'!$R19, Table1[[#All],[SKU]:[Costs]], 18, 0)</f>
        <v>40.382359702924802</v>
      </c>
      <c r="X19" s="76">
        <f>VLOOKUP('Order Tracker'!$R19, Table1[[#All],[SKU]:[Costs]], 2, 0)</f>
        <v>4.1563083593111001</v>
      </c>
    </row>
    <row r="20" spans="1:24" x14ac:dyDescent="0.3">
      <c r="A20" s="4" t="s">
        <v>72</v>
      </c>
      <c r="B20" s="62">
        <f>Table1[[#This Row],[Number Of Products Sold]]/90</f>
        <v>6.8888888888888893</v>
      </c>
      <c r="C20" s="14">
        <f>B20*(Table1[[#This Row],[Lead Times]]+Table1[[#This Row],[Shipping Times]])</f>
        <v>124</v>
      </c>
      <c r="D20" s="2">
        <v>23</v>
      </c>
      <c r="E20" s="63" t="str">
        <f t="shared" si="0"/>
        <v>Yes</v>
      </c>
      <c r="F20" t="str">
        <f>IF((Table1[[#This Row],[Stock Levels]]+Table3[[#This Row],[Availability]])&lt;Table3[[#This Row],[Reorder Point]], "Yes", "No")</f>
        <v>Yes</v>
      </c>
      <c r="H20" t="str">
        <v>SKU18</v>
      </c>
      <c r="I20" t="str" cm="1">
        <f t="array" ref="I20">_xlfn.XLOOKUP(H20, Table1[[#All],[SKU]], Table1[[#All],[Product Type]])</f>
        <v>Haircare</v>
      </c>
      <c r="J20" t="str">
        <f>VLOOKUP(H20, Table1[[#All],[SKU]:[Costs]], 11, 0)</f>
        <v>Carrier C</v>
      </c>
      <c r="K20" t="str">
        <f>VLOOKUP($H20, Table1[[#All],[SKU]:[Costs]], 13, 0)</f>
        <v>Supplier 2</v>
      </c>
      <c r="L20" t="str">
        <f>VLOOKUP($H20, Table1[[#All],[SKU]:[Costs]], 14, 0)</f>
        <v>Kolkata</v>
      </c>
      <c r="M20" s="1">
        <f>VLOOKUP($H20, Table1[[#All],[SKU]:[Costs]], 12, 0)</f>
        <v>4.3392247141107001</v>
      </c>
      <c r="N20" s="1">
        <f>VLOOKUP($H20, Table1[[#All],[SKU]:[Costs]], 2, 0)</f>
        <v>36.4436277704609</v>
      </c>
      <c r="R20" s="30" t="str">
        <v>SKU26</v>
      </c>
      <c r="S20" s="30" t="str">
        <f>_xlfn.XLOOKUP(R20, Table1[SKU], Table1[Product Type])</f>
        <v>Haircare</v>
      </c>
      <c r="T20" s="30" t="str">
        <f>VLOOKUP('Order Tracker'!R20, Table1[[#All],[SKU]:[Costs]], 21, 0)</f>
        <v>Rail</v>
      </c>
      <c r="U20" s="30" t="str">
        <f>VLOOKUP('Order Tracker'!$R20, Table1[[#All],[SKU]:[Costs]], 22, 0)</f>
        <v>Route A</v>
      </c>
      <c r="V20" s="76">
        <f>VLOOKUP('Order Tracker'!$R20, Table1[[#All],[SKU]:[Costs]], 23, 0)</f>
        <v>617.86691645837698</v>
      </c>
      <c r="W20" s="76">
        <f>VLOOKUP('Order Tracker'!$R20, Table1[[#All],[SKU]:[Costs]], 18, 0)</f>
        <v>15.972229757181699</v>
      </c>
      <c r="X20" s="76">
        <f>VLOOKUP('Order Tracker'!$R20, Table1[[#All],[SKU]:[Costs]], 2, 0)</f>
        <v>97.446946617892806</v>
      </c>
    </row>
    <row r="21" spans="1:24" x14ac:dyDescent="0.3">
      <c r="A21" s="4" t="s">
        <v>73</v>
      </c>
      <c r="B21" s="62">
        <f>Table1[[#This Row],[Number Of Products Sold]]/90</f>
        <v>2.0777777777777779</v>
      </c>
      <c r="C21" s="14">
        <f>B21*(Table1[[#This Row],[Lead Times]]+Table1[[#This Row],[Shipping Times]])</f>
        <v>29.088888888888892</v>
      </c>
      <c r="D21" s="2">
        <v>100</v>
      </c>
      <c r="E21" s="63" t="str">
        <f t="shared" si="0"/>
        <v>No</v>
      </c>
      <c r="F21" t="str">
        <f>IF((Table1[[#This Row],[Stock Levels]]+Table3[[#This Row],[Availability]])&lt;Table3[[#This Row],[Reorder Point]], "Yes", "No")</f>
        <v>No</v>
      </c>
      <c r="H21" t="str">
        <v>SKU20</v>
      </c>
      <c r="I21" t="str" cm="1">
        <f t="array" ref="I21">_xlfn.XLOOKUP(H21, Table1[[#All],[SKU]], Table1[[#All],[Product Type]])</f>
        <v>Skincare</v>
      </c>
      <c r="J21" t="str">
        <f>VLOOKUP(H21, Table1[[#All],[SKU]:[Costs]], 11, 0)</f>
        <v>Carrier A</v>
      </c>
      <c r="K21" t="str">
        <f>VLOOKUP($H21, Table1[[#All],[SKU]:[Costs]], 13, 0)</f>
        <v>Supplier 1</v>
      </c>
      <c r="L21" t="str">
        <f>VLOOKUP($H21, Table1[[#All],[SKU]:[Costs]], 14, 0)</f>
        <v>Chennai</v>
      </c>
      <c r="M21" s="1">
        <f>VLOOKUP($H21, Table1[[#All],[SKU]:[Costs]], 12, 0)</f>
        <v>8.8783346509268402</v>
      </c>
      <c r="N21" s="1">
        <f>VLOOKUP($H21, Table1[[#All],[SKU]:[Costs]], 2, 0)</f>
        <v>96.341072439963298</v>
      </c>
      <c r="R21" s="30" t="str">
        <v>SKU28</v>
      </c>
      <c r="S21" s="30" t="str">
        <f>_xlfn.XLOOKUP(R21, Table1[SKU], Table1[Product Type])</f>
        <v>Cosmetics</v>
      </c>
      <c r="T21" s="30" t="str">
        <f>VLOOKUP('Order Tracker'!R21, Table1[[#All],[SKU]:[Costs]], 21, 0)</f>
        <v>Air</v>
      </c>
      <c r="U21" s="30" t="str">
        <f>VLOOKUP('Order Tracker'!$R21, Table1[[#All],[SKU]:[Costs]], 22, 0)</f>
        <v>Route A</v>
      </c>
      <c r="V21" s="76">
        <f>VLOOKUP('Order Tracker'!$R21, Table1[[#All],[SKU]:[Costs]], 23, 0)</f>
        <v>123.437027511827</v>
      </c>
      <c r="W21" s="76">
        <f>VLOOKUP('Order Tracker'!$R21, Table1[[#All],[SKU]:[Costs]], 18, 0)</f>
        <v>59.429381810691503</v>
      </c>
      <c r="X21" s="76">
        <f>VLOOKUP('Order Tracker'!$R21, Table1[[#All],[SKU]:[Costs]], 2, 0)</f>
        <v>2.3972747055971402</v>
      </c>
    </row>
    <row r="22" spans="1:24" x14ac:dyDescent="0.3">
      <c r="A22" s="4" t="s">
        <v>74</v>
      </c>
      <c r="B22" s="62">
        <f>Table1[[#This Row],[Number Of Products Sold]]/90</f>
        <v>3.5555555555555554</v>
      </c>
      <c r="C22" s="14">
        <f>B22*(Table1[[#This Row],[Lead Times]]+Table1[[#This Row],[Shipping Times]])</f>
        <v>64</v>
      </c>
      <c r="D22" s="2">
        <v>22</v>
      </c>
      <c r="E22" s="63" t="str">
        <f t="shared" si="0"/>
        <v>Yes</v>
      </c>
      <c r="F22" t="str">
        <f>IF((Table1[[#This Row],[Stock Levels]]+Table3[[#This Row],[Availability]])&lt;Table3[[#This Row],[Reorder Point]], "Yes", "No")</f>
        <v>Yes</v>
      </c>
      <c r="H22" t="str">
        <v>SKU21</v>
      </c>
      <c r="I22" t="str" cm="1">
        <f t="array" ref="I22">_xlfn.XLOOKUP(H22, Table1[[#All],[SKU]], Table1[[#All],[Product Type]])</f>
        <v>Cosmetics</v>
      </c>
      <c r="J22" t="str">
        <f>VLOOKUP(H22, Table1[[#All],[SKU]:[Costs]], 11, 0)</f>
        <v>Carrier B</v>
      </c>
      <c r="K22" t="str">
        <f>VLOOKUP($H22, Table1[[#All],[SKU]:[Costs]], 13, 0)</f>
        <v>Supplier 5</v>
      </c>
      <c r="L22" t="str">
        <f>VLOOKUP($H22, Table1[[#All],[SKU]:[Costs]], 14, 0)</f>
        <v>Chennai</v>
      </c>
      <c r="M22" s="1">
        <f>VLOOKUP($H22, Table1[[#All],[SKU]:[Costs]], 12, 0)</f>
        <v>6.0378837692182898</v>
      </c>
      <c r="N22" s="1">
        <f>VLOOKUP($H22, Table1[[#All],[SKU]:[Costs]], 2, 0)</f>
        <v>84.893868984950799</v>
      </c>
      <c r="R22" s="30" t="str">
        <v>SKU30</v>
      </c>
      <c r="S22" s="30" t="str">
        <f>_xlfn.XLOOKUP(R22, Table1[SKU], Table1[Product Type])</f>
        <v>Haircare</v>
      </c>
      <c r="T22" s="30" t="str">
        <f>VLOOKUP('Order Tracker'!R22, Table1[[#All],[SKU]:[Costs]], 21, 0)</f>
        <v>Road</v>
      </c>
      <c r="U22" s="30" t="str">
        <f>VLOOKUP('Order Tracker'!$R22, Table1[[#All],[SKU]:[Costs]], 22, 0)</f>
        <v>Route C</v>
      </c>
      <c r="V22" s="76">
        <f>VLOOKUP('Order Tracker'!$R22, Table1[[#All],[SKU]:[Costs]], 23, 0)</f>
        <v>880.08098824716103</v>
      </c>
      <c r="W22" s="76">
        <f>VLOOKUP('Order Tracker'!$R22, Table1[[#All],[SKU]:[Costs]], 18, 0)</f>
        <v>51.634893400109299</v>
      </c>
      <c r="X22" s="76">
        <f>VLOOKUP('Order Tracker'!$R22, Table1[[#All],[SKU]:[Costs]], 2, 0)</f>
        <v>8.0228592105263896</v>
      </c>
    </row>
    <row r="23" spans="1:24" x14ac:dyDescent="0.3">
      <c r="A23" s="4" t="s">
        <v>75</v>
      </c>
      <c r="B23" s="62">
        <f>Table1[[#This Row],[Number Of Products Sold]]/90</f>
        <v>6.677777777777778</v>
      </c>
      <c r="C23" s="14">
        <f>B23*(Table1[[#This Row],[Lead Times]]+Table1[[#This Row],[Shipping Times]])</f>
        <v>207.01111111111112</v>
      </c>
      <c r="D23" s="2">
        <v>60</v>
      </c>
      <c r="E23" s="63" t="str">
        <f t="shared" si="0"/>
        <v>Yes</v>
      </c>
      <c r="F23" t="str">
        <f>IF((Table1[[#This Row],[Stock Levels]]+Table3[[#This Row],[Availability]])&lt;Table3[[#This Row],[Reorder Point]], "Yes", "No")</f>
        <v>Yes</v>
      </c>
      <c r="H23" t="str">
        <v>SKU22</v>
      </c>
      <c r="I23" t="str" cm="1">
        <f t="array" ref="I23">_xlfn.XLOOKUP(H23, Table1[[#All],[SKU]], Table1[[#All],[Product Type]])</f>
        <v>Haircare</v>
      </c>
      <c r="J23" t="str">
        <f>VLOOKUP(H23, Table1[[#All],[SKU]:[Costs]], 11, 0)</f>
        <v>Carrier A</v>
      </c>
      <c r="K23" t="str">
        <f>VLOOKUP($H23, Table1[[#All],[SKU]:[Costs]], 13, 0)</f>
        <v>Supplier 4</v>
      </c>
      <c r="L23" t="str">
        <f>VLOOKUP($H23, Table1[[#All],[SKU]:[Costs]], 14, 0)</f>
        <v>Kolkata</v>
      </c>
      <c r="M23" s="1">
        <f>VLOOKUP($H23, Table1[[#All],[SKU]:[Costs]], 12, 0)</f>
        <v>9.5676489209230393</v>
      </c>
      <c r="N23" s="1">
        <f>VLOOKUP($H23, Table1[[#All],[SKU]:[Costs]], 2, 0)</f>
        <v>27.679780886501899</v>
      </c>
      <c r="R23" s="30" t="str">
        <v>SKU31</v>
      </c>
      <c r="S23" s="30" t="str">
        <f>_xlfn.XLOOKUP(R23, Table1[SKU], Table1[Product Type])</f>
        <v>Skincare</v>
      </c>
      <c r="T23" s="30" t="str">
        <f>VLOOKUP('Order Tracker'!R23, Table1[[#All],[SKU]:[Costs]], 21, 0)</f>
        <v>Rail</v>
      </c>
      <c r="U23" s="30" t="str">
        <f>VLOOKUP('Order Tracker'!$R23, Table1[[#All],[SKU]:[Costs]], 22, 0)</f>
        <v>Route C</v>
      </c>
      <c r="V23" s="76">
        <f>VLOOKUP('Order Tracker'!$R23, Table1[[#All],[SKU]:[Costs]], 23, 0)</f>
        <v>609.379206618426</v>
      </c>
      <c r="W23" s="76">
        <f>VLOOKUP('Order Tracker'!$R23, Table1[[#All],[SKU]:[Costs]], 18, 0)</f>
        <v>60.251145661598002</v>
      </c>
      <c r="X23" s="76">
        <f>VLOOKUP('Order Tracker'!$R23, Table1[[#All],[SKU]:[Costs]], 2, 0)</f>
        <v>50.847393051718697</v>
      </c>
    </row>
    <row r="24" spans="1:24" x14ac:dyDescent="0.3">
      <c r="A24" s="4" t="s">
        <v>76</v>
      </c>
      <c r="B24" s="62">
        <f>Table1[[#This Row],[Number Of Products Sold]]/90</f>
        <v>9.8222222222222229</v>
      </c>
      <c r="C24" s="14">
        <f>B24*(Table1[[#This Row],[Lead Times]]+Table1[[#This Row],[Shipping Times]])</f>
        <v>108.04444444444445</v>
      </c>
      <c r="D24" s="2">
        <v>55</v>
      </c>
      <c r="E24" s="63" t="str">
        <f t="shared" si="0"/>
        <v>Yes</v>
      </c>
      <c r="F24" t="str">
        <f>IF((Table1[[#This Row],[Stock Levels]]+Table3[[#This Row],[Availability]])&lt;Table3[[#This Row],[Reorder Point]], "Yes", "No")</f>
        <v>No</v>
      </c>
      <c r="H24" t="str">
        <v>SKU23</v>
      </c>
      <c r="I24" t="str" cm="1">
        <f t="array" ref="I24">_xlfn.XLOOKUP(H24, Table1[[#All],[SKU]], Table1[[#All],[Product Type]])</f>
        <v>Cosmetics</v>
      </c>
      <c r="J24" t="str">
        <f>VLOOKUP(H24, Table1[[#All],[SKU]:[Costs]], 11, 0)</f>
        <v>Carrier A</v>
      </c>
      <c r="K24" t="str">
        <f>VLOOKUP($H24, Table1[[#All],[SKU]:[Costs]], 13, 0)</f>
        <v>Supplier 5</v>
      </c>
      <c r="L24" t="str">
        <f>VLOOKUP($H24, Table1[[#All],[SKU]:[Costs]], 14, 0)</f>
        <v>Kolkata</v>
      </c>
      <c r="M24" s="1">
        <f>VLOOKUP($H24, Table1[[#All],[SKU]:[Costs]], 12, 0)</f>
        <v>2.92485760114555</v>
      </c>
      <c r="N24" s="1">
        <f>VLOOKUP($H24, Table1[[#All],[SKU]:[Costs]], 2, 0)</f>
        <v>4.3243411858641601</v>
      </c>
      <c r="R24" s="30" t="str">
        <v>SKU32</v>
      </c>
      <c r="S24" s="30" t="str">
        <f>_xlfn.XLOOKUP(R24, Table1[SKU], Table1[Product Type])</f>
        <v>Skincare</v>
      </c>
      <c r="T24" s="30" t="str">
        <f>VLOOKUP('Order Tracker'!R24, Table1[[#All],[SKU]:[Costs]], 21, 0)</f>
        <v>Road</v>
      </c>
      <c r="U24" s="30" t="str">
        <f>VLOOKUP('Order Tracker'!$R24, Table1[[#All],[SKU]:[Costs]], 22, 0)</f>
        <v>Route A</v>
      </c>
      <c r="V24" s="76">
        <f>VLOOKUP('Order Tracker'!$R24, Table1[[#All],[SKU]:[Costs]], 23, 0)</f>
        <v>761.17390951487698</v>
      </c>
      <c r="W24" s="76">
        <f>VLOOKUP('Order Tracker'!$R24, Table1[[#All],[SKU]:[Costs]], 18, 0)</f>
        <v>29.6924671537497</v>
      </c>
      <c r="X24" s="76">
        <f>VLOOKUP('Order Tracker'!$R24, Table1[[#All],[SKU]:[Costs]], 2, 0)</f>
        <v>79.209936015656695</v>
      </c>
    </row>
    <row r="25" spans="1:24" x14ac:dyDescent="0.3">
      <c r="A25" s="4" t="s">
        <v>77</v>
      </c>
      <c r="B25" s="62">
        <f>Table1[[#This Row],[Number Of Products Sold]]/90</f>
        <v>4.3444444444444441</v>
      </c>
      <c r="C25" s="14">
        <f>B25*(Table1[[#This Row],[Lead Times]]+Table1[[#This Row],[Shipping Times]])</f>
        <v>52.133333333333326</v>
      </c>
      <c r="D25" s="2">
        <v>30</v>
      </c>
      <c r="E25" s="63" t="str">
        <f t="shared" si="0"/>
        <v>Yes</v>
      </c>
      <c r="F25" t="str">
        <f>IF((Table1[[#This Row],[Stock Levels]]+Table3[[#This Row],[Availability]])&lt;Table3[[#This Row],[Reorder Point]], "Yes", "No")</f>
        <v>No</v>
      </c>
      <c r="H25" t="str">
        <v>SKU24</v>
      </c>
      <c r="I25" t="str" cm="1">
        <f t="array" ref="I25">_xlfn.XLOOKUP(H25, Table1[[#All],[SKU]], Table1[[#All],[Product Type]])</f>
        <v>Haircare</v>
      </c>
      <c r="J25" t="str">
        <f>VLOOKUP(H25, Table1[[#All],[SKU]:[Costs]], 11, 0)</f>
        <v>Carrier C</v>
      </c>
      <c r="K25" t="str">
        <f>VLOOKUP($H25, Table1[[#All],[SKU]:[Costs]], 13, 0)</f>
        <v>Supplier 2</v>
      </c>
      <c r="L25" t="str">
        <f>VLOOKUP($H25, Table1[[#All],[SKU]:[Costs]], 14, 0)</f>
        <v>Bangalore</v>
      </c>
      <c r="M25" s="1">
        <f>VLOOKUP($H25, Table1[[#All],[SKU]:[Costs]], 12, 0)</f>
        <v>9.7412916892843597</v>
      </c>
      <c r="N25" s="1">
        <f>VLOOKUP($H25, Table1[[#All],[SKU]:[Costs]], 2, 0)</f>
        <v>4.1563083593111001</v>
      </c>
      <c r="R25" s="30" t="str">
        <v>SKU33</v>
      </c>
      <c r="S25" s="30" t="str">
        <f>_xlfn.XLOOKUP(R25, Table1[SKU], Table1[Product Type])</f>
        <v>Cosmetics</v>
      </c>
      <c r="T25" s="30" t="str">
        <f>VLOOKUP('Order Tracker'!R25, Table1[[#All],[SKU]:[Costs]], 21, 0)</f>
        <v>Sea</v>
      </c>
      <c r="U25" s="30" t="str">
        <f>VLOOKUP('Order Tracker'!$R25, Table1[[#All],[SKU]:[Costs]], 22, 0)</f>
        <v>Route A</v>
      </c>
      <c r="V25" s="76">
        <f>VLOOKUP('Order Tracker'!$R25, Table1[[#All],[SKU]:[Costs]], 23, 0)</f>
        <v>371.25529551987103</v>
      </c>
      <c r="W25" s="76">
        <f>VLOOKUP('Order Tracker'!$R25, Table1[[#All],[SKU]:[Costs]], 18, 0)</f>
        <v>23.853427512896101</v>
      </c>
      <c r="X25" s="76">
        <f>VLOOKUP('Order Tracker'!$R25, Table1[[#All],[SKU]:[Costs]], 2, 0)</f>
        <v>64.795435000155607</v>
      </c>
    </row>
    <row r="26" spans="1:24" x14ac:dyDescent="0.3">
      <c r="A26" s="4" t="s">
        <v>78</v>
      </c>
      <c r="B26" s="62">
        <f>Table1[[#This Row],[Number Of Products Sold]]/90</f>
        <v>2.3222222222222224</v>
      </c>
      <c r="C26" s="14">
        <f>B26*(Table1[[#This Row],[Lead Times]]+Table1[[#This Row],[Shipping Times]])</f>
        <v>78.955555555555563</v>
      </c>
      <c r="D26" s="2">
        <v>32</v>
      </c>
      <c r="E26" s="63" t="str">
        <f t="shared" si="0"/>
        <v>Yes</v>
      </c>
      <c r="F26" t="str">
        <f>IF((Table1[[#This Row],[Stock Levels]]+Table3[[#This Row],[Availability]])&lt;Table3[[#This Row],[Reorder Point]], "Yes", "No")</f>
        <v>Yes</v>
      </c>
      <c r="H26" t="str">
        <v>SKU26</v>
      </c>
      <c r="I26" t="str" cm="1">
        <f t="array" ref="I26">_xlfn.XLOOKUP(H26, Table1[[#All],[SKU]], Table1[[#All],[Product Type]])</f>
        <v>Haircare</v>
      </c>
      <c r="J26" t="str">
        <f>VLOOKUP(H26, Table1[[#All],[SKU]:[Costs]], 11, 0)</f>
        <v>Carrier B</v>
      </c>
      <c r="K26" t="str">
        <f>VLOOKUP($H26, Table1[[#All],[SKU]:[Costs]], 13, 0)</f>
        <v>Supplier 2</v>
      </c>
      <c r="L26" t="str">
        <f>VLOOKUP($H26, Table1[[#All],[SKU]:[Costs]], 14, 0)</f>
        <v>Bangalore</v>
      </c>
      <c r="M26" s="1">
        <f>VLOOKUP($H26, Table1[[#All],[SKU]:[Costs]], 12, 0)</f>
        <v>6.5075486210785503</v>
      </c>
      <c r="N26" s="1">
        <f>VLOOKUP($H26, Table1[[#All],[SKU]:[Costs]], 2, 0)</f>
        <v>97.446946617892806</v>
      </c>
      <c r="R26" s="30" t="str">
        <v>SKU34</v>
      </c>
      <c r="S26" s="30" t="str">
        <f>_xlfn.XLOOKUP(R26, Table1[SKU], Table1[Product Type])</f>
        <v>Skincare</v>
      </c>
      <c r="T26" s="30" t="str">
        <f>VLOOKUP('Order Tracker'!R26, Table1[[#All],[SKU]:[Costs]], 21, 0)</f>
        <v>Road</v>
      </c>
      <c r="U26" s="30" t="str">
        <f>VLOOKUP('Order Tracker'!$R26, Table1[[#All],[SKU]:[Costs]], 22, 0)</f>
        <v>Route B</v>
      </c>
      <c r="V26" s="76">
        <f>VLOOKUP('Order Tracker'!$R26, Table1[[#All],[SKU]:[Costs]], 23, 0)</f>
        <v>510.35800043352299</v>
      </c>
      <c r="W26" s="76">
        <f>VLOOKUP('Order Tracker'!$R26, Table1[[#All],[SKU]:[Costs]], 18, 0)</f>
        <v>10.754272815029299</v>
      </c>
      <c r="X26" s="76">
        <f>VLOOKUP('Order Tracker'!$R26, Table1[[#All],[SKU]:[Costs]], 2, 0)</f>
        <v>37.467592329842397</v>
      </c>
    </row>
    <row r="27" spans="1:24" x14ac:dyDescent="0.3">
      <c r="A27" s="4" t="s">
        <v>79</v>
      </c>
      <c r="B27" s="62">
        <f>Table1[[#This Row],[Number Of Products Sold]]/90</f>
        <v>1.5777777777777777</v>
      </c>
      <c r="C27" s="14">
        <f>B27*(Table1[[#This Row],[Lead Times]]+Table1[[#This Row],[Shipping Times]])</f>
        <v>22.088888888888889</v>
      </c>
      <c r="D27" s="2">
        <v>73</v>
      </c>
      <c r="E27" s="63" t="str">
        <f t="shared" si="0"/>
        <v>No</v>
      </c>
      <c r="F27" t="str">
        <f>IF((Table1[[#This Row],[Stock Levels]]+Table3[[#This Row],[Availability]])&lt;Table3[[#This Row],[Reorder Point]], "Yes", "No")</f>
        <v>No</v>
      </c>
      <c r="H27" t="str">
        <v>SKU27</v>
      </c>
      <c r="I27" t="str" cm="1">
        <f t="array" ref="I27">_xlfn.XLOOKUP(H27, Table1[[#All],[SKU]], Table1[[#All],[Product Type]])</f>
        <v>Cosmetics</v>
      </c>
      <c r="J27" t="str">
        <f>VLOOKUP(H27, Table1[[#All],[SKU]:[Costs]], 11, 0)</f>
        <v>Carrier C</v>
      </c>
      <c r="K27" t="str">
        <f>VLOOKUP($H27, Table1[[#All],[SKU]:[Costs]], 13, 0)</f>
        <v>Supplier 5</v>
      </c>
      <c r="L27" t="str">
        <f>VLOOKUP($H27, Table1[[#All],[SKU]:[Costs]], 14, 0)</f>
        <v>Mumbai</v>
      </c>
      <c r="M27" s="1">
        <f>VLOOKUP($H27, Table1[[#All],[SKU]:[Costs]], 12, 0)</f>
        <v>7.4067509529980704</v>
      </c>
      <c r="N27" s="1">
        <f>VLOOKUP($H27, Table1[[#All],[SKU]:[Costs]], 2, 0)</f>
        <v>92.557360812401996</v>
      </c>
      <c r="R27" s="30" t="str">
        <v>SKU35</v>
      </c>
      <c r="S27" s="30" t="str">
        <f>_xlfn.XLOOKUP(R27, Table1[SKU], Table1[Product Type])</f>
        <v>Cosmetics</v>
      </c>
      <c r="T27" s="30" t="str">
        <f>VLOOKUP('Order Tracker'!R27, Table1[[#All],[SKU]:[Costs]], 21, 0)</f>
        <v>Sea</v>
      </c>
      <c r="U27" s="30" t="str">
        <f>VLOOKUP('Order Tracker'!$R27, Table1[[#All],[SKU]:[Costs]], 22, 0)</f>
        <v>Route C</v>
      </c>
      <c r="V27" s="76">
        <f>VLOOKUP('Order Tracker'!$R27, Table1[[#All],[SKU]:[Costs]], 23, 0)</f>
        <v>553.42047123035502</v>
      </c>
      <c r="W27" s="76">
        <f>VLOOKUP('Order Tracker'!$R27, Table1[[#All],[SKU]:[Costs]], 18, 0)</f>
        <v>58.004787044743701</v>
      </c>
      <c r="X27" s="76">
        <f>VLOOKUP('Order Tracker'!$R27, Table1[[#All],[SKU]:[Costs]], 2, 0)</f>
        <v>84.957786816350406</v>
      </c>
    </row>
    <row r="28" spans="1:24" x14ac:dyDescent="0.3">
      <c r="A28" s="4" t="s">
        <v>80</v>
      </c>
      <c r="B28" s="62">
        <f>Table1[[#This Row],[Number Of Products Sold]]/90</f>
        <v>3.9222222222222221</v>
      </c>
      <c r="C28" s="14">
        <f>B28*(Table1[[#This Row],[Lead Times]]+Table1[[#This Row],[Shipping Times]])</f>
        <v>78.444444444444443</v>
      </c>
      <c r="D28" s="2">
        <v>9</v>
      </c>
      <c r="E28" s="63" t="str">
        <f t="shared" si="0"/>
        <v>Yes</v>
      </c>
      <c r="F28" t="str">
        <f>IF((Table1[[#This Row],[Stock Levels]]+Table3[[#This Row],[Availability]])&lt;Table3[[#This Row],[Reorder Point]], "Yes", "No")</f>
        <v>Yes</v>
      </c>
      <c r="H28" t="str">
        <v>SKU28</v>
      </c>
      <c r="I28" t="str" cm="1">
        <f t="array" ref="I28">_xlfn.XLOOKUP(H28, Table1[[#All],[SKU]], Table1[[#All],[Product Type]])</f>
        <v>Cosmetics</v>
      </c>
      <c r="J28" t="str">
        <f>VLOOKUP(H28, Table1[[#All],[SKU]:[Costs]], 11, 0)</f>
        <v>Carrier B</v>
      </c>
      <c r="K28" t="str">
        <f>VLOOKUP($H28, Table1[[#All],[SKU]:[Costs]], 13, 0)</f>
        <v>Supplier 1</v>
      </c>
      <c r="L28" t="str">
        <f>VLOOKUP($H28, Table1[[#All],[SKU]:[Costs]], 14, 0)</f>
        <v>Mumbai</v>
      </c>
      <c r="M28" s="1">
        <f>VLOOKUP($H28, Table1[[#All],[SKU]:[Costs]], 12, 0)</f>
        <v>9.8981405080692202</v>
      </c>
      <c r="N28" s="1">
        <f>VLOOKUP($H28, Table1[[#All],[SKU]:[Costs]], 2, 0)</f>
        <v>2.3972747055971402</v>
      </c>
      <c r="R28" s="30" t="str">
        <v>SKU36</v>
      </c>
      <c r="S28" s="30" t="str">
        <f>_xlfn.XLOOKUP(R28, Table1[SKU], Table1[Product Type])</f>
        <v>Skincare</v>
      </c>
      <c r="T28" s="30" t="str">
        <f>VLOOKUP('Order Tracker'!R28, Table1[[#All],[SKU]:[Costs]], 21, 0)</f>
        <v>Air</v>
      </c>
      <c r="U28" s="30" t="str">
        <f>VLOOKUP('Order Tracker'!$R28, Table1[[#All],[SKU]:[Costs]], 22, 0)</f>
        <v>Route C</v>
      </c>
      <c r="V28" s="76">
        <f>VLOOKUP('Order Tracker'!$R28, Table1[[#All],[SKU]:[Costs]], 23, 0)</f>
        <v>403.80897424817999</v>
      </c>
      <c r="W28" s="76">
        <f>VLOOKUP('Order Tracker'!$R28, Table1[[#All],[SKU]:[Costs]], 18, 0)</f>
        <v>45.531364237162101</v>
      </c>
      <c r="X28" s="76">
        <f>VLOOKUP('Order Tracker'!$R28, Table1[[#All],[SKU]:[Costs]], 2, 0)</f>
        <v>9.81300257875405</v>
      </c>
    </row>
    <row r="29" spans="1:24" x14ac:dyDescent="0.3">
      <c r="A29" s="4" t="s">
        <v>81</v>
      </c>
      <c r="B29" s="62">
        <f>Table1[[#This Row],[Number Of Products Sold]]/90</f>
        <v>3.911111111111111</v>
      </c>
      <c r="C29" s="14">
        <f>B29*(Table1[[#This Row],[Lead Times]]+Table1[[#This Row],[Shipping Times]])</f>
        <v>66.48888888888888</v>
      </c>
      <c r="D29" s="2">
        <v>42</v>
      </c>
      <c r="E29" s="63" t="str">
        <f t="shared" si="0"/>
        <v>Yes</v>
      </c>
      <c r="F29" t="str">
        <f>IF((Table1[[#This Row],[Stock Levels]]+Table3[[#This Row],[Availability]])&lt;Table3[[#This Row],[Reorder Point]], "Yes", "No")</f>
        <v>No</v>
      </c>
      <c r="H29" t="str">
        <v>SKU29</v>
      </c>
      <c r="I29" t="str" cm="1">
        <f t="array" ref="I29">_xlfn.XLOOKUP(H29, Table1[[#All],[SKU]], Table1[[#All],[Product Type]])</f>
        <v>Cosmetics</v>
      </c>
      <c r="J29" t="str">
        <f>VLOOKUP(H29, Table1[[#All],[SKU]:[Costs]], 11, 0)</f>
        <v>Carrier B</v>
      </c>
      <c r="K29" t="str">
        <f>VLOOKUP($H29, Table1[[#All],[SKU]:[Costs]], 13, 0)</f>
        <v>Supplier 1</v>
      </c>
      <c r="L29" t="str">
        <f>VLOOKUP($H29, Table1[[#All],[SKU]:[Costs]], 14, 0)</f>
        <v>Kolkata</v>
      </c>
      <c r="M29" s="1">
        <f>VLOOKUP($H29, Table1[[#All],[SKU]:[Costs]], 12, 0)</f>
        <v>8.1009731453970293</v>
      </c>
      <c r="N29" s="1">
        <f>VLOOKUP($H29, Table1[[#All],[SKU]:[Costs]], 2, 0)</f>
        <v>63.447559185207297</v>
      </c>
      <c r="R29" s="30" t="str">
        <v>SKU37</v>
      </c>
      <c r="S29" s="30" t="str">
        <f>_xlfn.XLOOKUP(R29, Table1[SKU], Table1[Product Type])</f>
        <v>Skincare</v>
      </c>
      <c r="T29" s="30" t="str">
        <f>VLOOKUP('Order Tracker'!R29, Table1[[#All],[SKU]:[Costs]], 21, 0)</f>
        <v>Sea</v>
      </c>
      <c r="U29" s="30" t="str">
        <f>VLOOKUP('Order Tracker'!$R29, Table1[[#All],[SKU]:[Costs]], 22, 0)</f>
        <v>Route A</v>
      </c>
      <c r="V29" s="76">
        <f>VLOOKUP('Order Tracker'!$R29, Table1[[#All],[SKU]:[Costs]], 23, 0)</f>
        <v>183.932968043594</v>
      </c>
      <c r="W29" s="76">
        <f>VLOOKUP('Order Tracker'!$R29, Table1[[#All],[SKU]:[Costs]], 18, 0)</f>
        <v>34.343277465075303</v>
      </c>
      <c r="X29" s="76">
        <f>VLOOKUP('Order Tracker'!$R29, Table1[[#All],[SKU]:[Costs]], 2, 0)</f>
        <v>23.3998447526143</v>
      </c>
    </row>
    <row r="30" spans="1:24" x14ac:dyDescent="0.3">
      <c r="A30" s="4" t="s">
        <v>82</v>
      </c>
      <c r="B30" s="62">
        <f>Table1[[#This Row],[Number Of Products Sold]]/90</f>
        <v>4.3777777777777782</v>
      </c>
      <c r="C30" s="14">
        <f>B30*(Table1[[#This Row],[Lead Times]]+Table1[[#This Row],[Shipping Times]])</f>
        <v>83.177777777777791</v>
      </c>
      <c r="D30" s="2">
        <v>12</v>
      </c>
      <c r="E30" s="63" t="str">
        <f t="shared" si="0"/>
        <v>Yes</v>
      </c>
      <c r="F30" t="str">
        <f>IF((Table1[[#This Row],[Stock Levels]]+Table3[[#This Row],[Availability]])&lt;Table3[[#This Row],[Reorder Point]], "Yes", "No")</f>
        <v>Yes</v>
      </c>
      <c r="H30" t="str">
        <v>SKU30</v>
      </c>
      <c r="I30" t="str" cm="1">
        <f t="array" ref="I30">_xlfn.XLOOKUP(H30, Table1[[#All],[SKU]], Table1[[#All],[Product Type]])</f>
        <v>Haircare</v>
      </c>
      <c r="J30" t="str">
        <f>VLOOKUP(H30, Table1[[#All],[SKU]:[Costs]], 11, 0)</f>
        <v>Carrier B</v>
      </c>
      <c r="K30" t="str">
        <f>VLOOKUP($H30, Table1[[#All],[SKU]:[Costs]], 13, 0)</f>
        <v>Supplier 4</v>
      </c>
      <c r="L30" t="str">
        <f>VLOOKUP($H30, Table1[[#All],[SKU]:[Costs]], 14, 0)</f>
        <v>Kolkata</v>
      </c>
      <c r="M30" s="1">
        <f>VLOOKUP($H30, Table1[[#All],[SKU]:[Costs]], 12, 0)</f>
        <v>8.9545283153180097</v>
      </c>
      <c r="N30" s="1">
        <f>VLOOKUP($H30, Table1[[#All],[SKU]:[Costs]], 2, 0)</f>
        <v>8.0228592105263896</v>
      </c>
      <c r="R30" s="30" t="str">
        <v>SKU40</v>
      </c>
      <c r="S30" s="30" t="str">
        <f>_xlfn.XLOOKUP(R30, Table1[SKU], Table1[Product Type])</f>
        <v>Skincare</v>
      </c>
      <c r="T30" s="30" t="str">
        <f>VLOOKUP('Order Tracker'!R30, Table1[[#All],[SKU]:[Costs]], 21, 0)</f>
        <v>Road</v>
      </c>
      <c r="U30" s="30" t="str">
        <f>VLOOKUP('Order Tracker'!$R30, Table1[[#All],[SKU]:[Costs]], 22, 0)</f>
        <v>Route A</v>
      </c>
      <c r="V30" s="76">
        <f>VLOOKUP('Order Tracker'!$R30, Table1[[#All],[SKU]:[Costs]], 23, 0)</f>
        <v>529.80872398069096</v>
      </c>
      <c r="W30" s="76">
        <f>VLOOKUP('Order Tracker'!$R30, Table1[[#All],[SKU]:[Costs]], 18, 0)</f>
        <v>88.179407104217404</v>
      </c>
      <c r="X30" s="76">
        <f>VLOOKUP('Order Tracker'!$R30, Table1[[#All],[SKU]:[Costs]], 2, 0)</f>
        <v>80.541424170940303</v>
      </c>
    </row>
    <row r="31" spans="1:24" x14ac:dyDescent="0.3">
      <c r="A31" s="4" t="s">
        <v>83</v>
      </c>
      <c r="B31" s="62">
        <f>Table1[[#This Row],[Number Of Products Sold]]/90</f>
        <v>2.8111111111111109</v>
      </c>
      <c r="C31" s="14">
        <f>B31*(Table1[[#This Row],[Lead Times]]+Table1[[#This Row],[Shipping Times]])</f>
        <v>33.733333333333334</v>
      </c>
      <c r="D31" s="2">
        <v>3</v>
      </c>
      <c r="E31" s="63" t="str">
        <f t="shared" si="0"/>
        <v>Yes</v>
      </c>
      <c r="F31" t="str">
        <f>IF((Table1[[#This Row],[Stock Levels]]+Table3[[#This Row],[Availability]])&lt;Table3[[#This Row],[Reorder Point]], "Yes", "No")</f>
        <v>No</v>
      </c>
      <c r="H31" t="str">
        <v>SKU31</v>
      </c>
      <c r="I31" t="str" cm="1">
        <f t="array" ref="I31">_xlfn.XLOOKUP(H31, Table1[[#All],[SKU]], Table1[[#All],[Product Type]])</f>
        <v>Skincare</v>
      </c>
      <c r="J31" t="str">
        <f>VLOOKUP(H31, Table1[[#All],[SKU]:[Costs]], 11, 0)</f>
        <v>Carrier B</v>
      </c>
      <c r="K31" t="str">
        <f>VLOOKUP($H31, Table1[[#All],[SKU]:[Costs]], 13, 0)</f>
        <v>Supplier 3</v>
      </c>
      <c r="L31" t="str">
        <f>VLOOKUP($H31, Table1[[#All],[SKU]:[Costs]], 14, 0)</f>
        <v>Chennai</v>
      </c>
      <c r="M31" s="1">
        <f>VLOOKUP($H31, Table1[[#All],[SKU]:[Costs]], 12, 0)</f>
        <v>2.6796609649813998</v>
      </c>
      <c r="N31" s="1">
        <f>VLOOKUP($H31, Table1[[#All],[SKU]:[Costs]], 2, 0)</f>
        <v>50.847393051718697</v>
      </c>
      <c r="R31" s="30" t="str">
        <v>SKU41</v>
      </c>
      <c r="S31" s="30" t="str">
        <f>_xlfn.XLOOKUP(R31, Table1[SKU], Table1[Product Type])</f>
        <v>Skincare</v>
      </c>
      <c r="T31" s="30" t="str">
        <f>VLOOKUP('Order Tracker'!R31, Table1[[#All],[SKU]:[Costs]], 21, 0)</f>
        <v>Sea</v>
      </c>
      <c r="U31" s="30" t="str">
        <f>VLOOKUP('Order Tracker'!$R31, Table1[[#All],[SKU]:[Costs]], 22, 0)</f>
        <v>Route A</v>
      </c>
      <c r="V31" s="76">
        <f>VLOOKUP('Order Tracker'!$R31, Table1[[#All],[SKU]:[Costs]], 23, 0)</f>
        <v>275.52437113130901</v>
      </c>
      <c r="W31" s="76">
        <f>VLOOKUP('Order Tracker'!$R31, Table1[[#All],[SKU]:[Costs]], 18, 0)</f>
        <v>95.332064548772493</v>
      </c>
      <c r="X31" s="76">
        <f>VLOOKUP('Order Tracker'!$R31, Table1[[#All],[SKU]:[Costs]], 2, 0)</f>
        <v>99.113291615317095</v>
      </c>
    </row>
    <row r="32" spans="1:24" x14ac:dyDescent="0.3">
      <c r="A32" s="4" t="s">
        <v>84</v>
      </c>
      <c r="B32" s="62">
        <f>Table1[[#This Row],[Number Of Products Sold]]/90</f>
        <v>3.6333333333333333</v>
      </c>
      <c r="C32" s="14">
        <f>B32*(Table1[[#This Row],[Lead Times]]+Table1[[#This Row],[Shipping Times]])</f>
        <v>119.9</v>
      </c>
      <c r="D32" s="2">
        <v>10</v>
      </c>
      <c r="E32" s="63" t="str">
        <f t="shared" si="0"/>
        <v>Yes</v>
      </c>
      <c r="F32" t="str">
        <f>IF((Table1[[#This Row],[Stock Levels]]+Table3[[#This Row],[Availability]])&lt;Table3[[#This Row],[Reorder Point]], "Yes", "No")</f>
        <v>Yes</v>
      </c>
      <c r="H32" t="str">
        <v>SKU32</v>
      </c>
      <c r="I32" t="str" cm="1">
        <f t="array" ref="I32">_xlfn.XLOOKUP(H32, Table1[[#All],[SKU]], Table1[[#All],[Product Type]])</f>
        <v>Skincare</v>
      </c>
      <c r="J32" t="str">
        <f>VLOOKUP(H32, Table1[[#All],[SKU]:[Costs]], 11, 0)</f>
        <v>Carrier C</v>
      </c>
      <c r="K32" t="str">
        <f>VLOOKUP($H32, Table1[[#All],[SKU]:[Costs]], 13, 0)</f>
        <v>Supplier 3</v>
      </c>
      <c r="L32" t="str">
        <f>VLOOKUP($H32, Table1[[#All],[SKU]:[Costs]], 14, 0)</f>
        <v>Kolkata</v>
      </c>
      <c r="M32" s="1">
        <f>VLOOKUP($H32, Table1[[#All],[SKU]:[Costs]], 12, 0)</f>
        <v>6.5991049012385803</v>
      </c>
      <c r="N32" s="1">
        <f>VLOOKUP($H32, Table1[[#All],[SKU]:[Costs]], 2, 0)</f>
        <v>79.209936015656695</v>
      </c>
      <c r="R32" s="30" t="str">
        <v>SKU43</v>
      </c>
      <c r="S32" s="30" t="str">
        <f>_xlfn.XLOOKUP(R32, Table1[SKU], Table1[Product Type])</f>
        <v>Haircare</v>
      </c>
      <c r="T32" s="30" t="str">
        <f>VLOOKUP('Order Tracker'!R32, Table1[[#All],[SKU]:[Costs]], 21, 0)</f>
        <v>Air</v>
      </c>
      <c r="U32" s="30" t="str">
        <f>VLOOKUP('Order Tracker'!$R32, Table1[[#All],[SKU]:[Costs]], 22, 0)</f>
        <v>Route A</v>
      </c>
      <c r="V32" s="76">
        <f>VLOOKUP('Order Tracker'!$R32, Table1[[#All],[SKU]:[Costs]], 23, 0)</f>
        <v>716.04411975933999</v>
      </c>
      <c r="W32" s="76">
        <f>VLOOKUP('Order Tracker'!$R32, Table1[[#All],[SKU]:[Costs]], 18, 0)</f>
        <v>26.2773659573324</v>
      </c>
      <c r="X32" s="76">
        <f>VLOOKUP('Order Tracker'!$R32, Table1[[#All],[SKU]:[Costs]], 2, 0)</f>
        <v>11.7432717763092</v>
      </c>
    </row>
    <row r="33" spans="1:24" x14ac:dyDescent="0.3">
      <c r="A33" s="4" t="s">
        <v>85</v>
      </c>
      <c r="B33" s="62">
        <f>Table1[[#This Row],[Number Of Products Sold]]/90</f>
        <v>1.8666666666666667</v>
      </c>
      <c r="C33" s="14">
        <f>B33*(Table1[[#This Row],[Lead Times]]+Table1[[#This Row],[Shipping Times]])</f>
        <v>39.200000000000003</v>
      </c>
      <c r="D33" s="2">
        <v>28</v>
      </c>
      <c r="E33" s="63" t="str">
        <f t="shared" si="0"/>
        <v>Yes</v>
      </c>
      <c r="F33" t="str">
        <f>IF((Table1[[#This Row],[Stock Levels]]+Table3[[#This Row],[Availability]])&lt;Table3[[#This Row],[Reorder Point]], "Yes", "No")</f>
        <v>Yes</v>
      </c>
      <c r="H33" t="str">
        <v>SKU33</v>
      </c>
      <c r="I33" t="str" cm="1">
        <f t="array" ref="I33">_xlfn.XLOOKUP(H33, Table1[[#All],[SKU]], Table1[[#All],[Product Type]])</f>
        <v>Cosmetics</v>
      </c>
      <c r="J33" t="str">
        <f>VLOOKUP(H33, Table1[[#All],[SKU]:[Costs]], 11, 0)</f>
        <v>Carrier C</v>
      </c>
      <c r="K33" t="str">
        <f>VLOOKUP($H33, Table1[[#All],[SKU]:[Costs]], 13, 0)</f>
        <v>Supplier 5</v>
      </c>
      <c r="L33" t="str">
        <f>VLOOKUP($H33, Table1[[#All],[SKU]:[Costs]], 14, 0)</f>
        <v>Chennai</v>
      </c>
      <c r="M33" s="1">
        <f>VLOOKUP($H33, Table1[[#All],[SKU]:[Costs]], 12, 0)</f>
        <v>4.85827050343664</v>
      </c>
      <c r="N33" s="1">
        <f>VLOOKUP($H33, Table1[[#All],[SKU]:[Costs]], 2, 0)</f>
        <v>64.795435000155607</v>
      </c>
      <c r="R33" s="30" t="str">
        <v>SKU44</v>
      </c>
      <c r="S33" s="30" t="str">
        <f>_xlfn.XLOOKUP(R33, Table1[SKU], Table1[Product Type])</f>
        <v>Cosmetics</v>
      </c>
      <c r="T33" s="30" t="str">
        <f>VLOOKUP('Order Tracker'!R33, Table1[[#All],[SKU]:[Costs]], 21, 0)</f>
        <v>Rail</v>
      </c>
      <c r="U33" s="30" t="str">
        <f>VLOOKUP('Order Tracker'!$R33, Table1[[#All],[SKU]:[Costs]], 22, 0)</f>
        <v>Route A</v>
      </c>
      <c r="V33" s="76">
        <f>VLOOKUP('Order Tracker'!$R33, Table1[[#All],[SKU]:[Costs]], 23, 0)</f>
        <v>610.45326961922694</v>
      </c>
      <c r="W33" s="76">
        <f>VLOOKUP('Order Tracker'!$R33, Table1[[#All],[SKU]:[Costs]], 18, 0)</f>
        <v>22.554106620887701</v>
      </c>
      <c r="X33" s="76">
        <f>VLOOKUP('Order Tracker'!$R33, Table1[[#All],[SKU]:[Costs]], 2, 0)</f>
        <v>51.355790913110297</v>
      </c>
    </row>
    <row r="34" spans="1:24" x14ac:dyDescent="0.3">
      <c r="A34" s="4" t="s">
        <v>86</v>
      </c>
      <c r="B34" s="62">
        <f>Table1[[#This Row],[Number Of Products Sold]]/90</f>
        <v>8.6777777777777771</v>
      </c>
      <c r="C34" s="14">
        <f>B34*(Table1[[#This Row],[Lead Times]]+Table1[[#This Row],[Shipping Times]])</f>
        <v>147.52222222222221</v>
      </c>
      <c r="D34" s="2">
        <v>43</v>
      </c>
      <c r="E34" s="63" t="str">
        <f t="shared" si="0"/>
        <v>Yes</v>
      </c>
      <c r="F34" t="str">
        <f>IF((Table1[[#This Row],[Stock Levels]]+Table3[[#This Row],[Availability]])&lt;Table3[[#This Row],[Reorder Point]], "Yes", "No")</f>
        <v>Yes</v>
      </c>
      <c r="H34" t="str">
        <v>SKU34</v>
      </c>
      <c r="I34" t="str" cm="1">
        <f t="array" ref="I34">_xlfn.XLOOKUP(H34, Table1[[#All],[SKU]], Table1[[#All],[Product Type]])</f>
        <v>Skincare</v>
      </c>
      <c r="J34" t="str">
        <f>VLOOKUP(H34, Table1[[#All],[SKU]:[Costs]], 11, 0)</f>
        <v>Carrier A</v>
      </c>
      <c r="K34" t="str">
        <f>VLOOKUP($H34, Table1[[#All],[SKU]:[Costs]], 13, 0)</f>
        <v>Supplier 1</v>
      </c>
      <c r="L34" t="str">
        <f>VLOOKUP($H34, Table1[[#All],[SKU]:[Costs]], 14, 0)</f>
        <v>Chennai</v>
      </c>
      <c r="M34" s="1">
        <f>VLOOKUP($H34, Table1[[#All],[SKU]:[Costs]], 12, 0)</f>
        <v>1.0194875708221101</v>
      </c>
      <c r="N34" s="1">
        <f>VLOOKUP($H34, Table1[[#All],[SKU]:[Costs]], 2, 0)</f>
        <v>37.467592329842397</v>
      </c>
      <c r="R34" s="30" t="str">
        <v>SKU46</v>
      </c>
      <c r="S34" s="30" t="str">
        <f>_xlfn.XLOOKUP(R34, Table1[SKU], Table1[Product Type])</f>
        <v>Haircare</v>
      </c>
      <c r="T34" s="30" t="str">
        <f>VLOOKUP('Order Tracker'!R34, Table1[[#All],[SKU]:[Costs]], 21, 0)</f>
        <v>Road</v>
      </c>
      <c r="U34" s="30" t="str">
        <f>VLOOKUP('Order Tracker'!$R34, Table1[[#All],[SKU]:[Costs]], 22, 0)</f>
        <v>Route B</v>
      </c>
      <c r="V34" s="76">
        <f>VLOOKUP('Order Tracker'!$R34, Table1[[#All],[SKU]:[Costs]], 23, 0)</f>
        <v>380.43593711196399</v>
      </c>
      <c r="W34" s="76">
        <f>VLOOKUP('Order Tracker'!$R34, Table1[[#All],[SKU]:[Costs]], 18, 0)</f>
        <v>77.322353211051606</v>
      </c>
      <c r="X34" s="76">
        <f>VLOOKUP('Order Tracker'!$R34, Table1[[#All],[SKU]:[Costs]], 2, 0)</f>
        <v>27.082207199888899</v>
      </c>
    </row>
    <row r="35" spans="1:24" x14ac:dyDescent="0.3">
      <c r="A35" s="4" t="s">
        <v>87</v>
      </c>
      <c r="B35" s="62">
        <f>Table1[[#This Row],[Number Of Products Sold]]/90</f>
        <v>6.8444444444444441</v>
      </c>
      <c r="C35" s="14">
        <f>B35*(Table1[[#This Row],[Lead Times]]+Table1[[#This Row],[Shipping Times]])</f>
        <v>177.95555555555555</v>
      </c>
      <c r="D35" s="2">
        <v>63</v>
      </c>
      <c r="E35" s="63" t="str">
        <f t="shared" si="0"/>
        <v>Yes</v>
      </c>
      <c r="F35" t="str">
        <f>IF((Table1[[#This Row],[Stock Levels]]+Table3[[#This Row],[Availability]])&lt;Table3[[#This Row],[Reorder Point]], "Yes", "No")</f>
        <v>Yes</v>
      </c>
      <c r="H35" t="str">
        <v>SKU35</v>
      </c>
      <c r="I35" t="str" cm="1">
        <f t="array" ref="I35">_xlfn.XLOOKUP(H35, Table1[[#All],[SKU]], Table1[[#All],[Product Type]])</f>
        <v>Cosmetics</v>
      </c>
      <c r="J35" t="str">
        <f>VLOOKUP(H35, Table1[[#All],[SKU]:[Costs]], 11, 0)</f>
        <v>Carrier C</v>
      </c>
      <c r="K35" t="str">
        <f>VLOOKUP($H35, Table1[[#All],[SKU]:[Costs]], 13, 0)</f>
        <v>Supplier 1</v>
      </c>
      <c r="L35" t="str">
        <f>VLOOKUP($H35, Table1[[#All],[SKU]:[Costs]], 14, 0)</f>
        <v>Delhi</v>
      </c>
      <c r="M35" s="1">
        <f>VLOOKUP($H35, Table1[[#All],[SKU]:[Costs]], 12, 0)</f>
        <v>5.2881899903273997</v>
      </c>
      <c r="N35" s="1">
        <f>VLOOKUP($H35, Table1[[#All],[SKU]:[Costs]], 2, 0)</f>
        <v>84.957786816350406</v>
      </c>
      <c r="R35" s="30" t="str">
        <v>SKU47</v>
      </c>
      <c r="S35" s="30" t="str">
        <f>_xlfn.XLOOKUP(R35, Table1[SKU], Table1[Product Type])</f>
        <v>Skincare</v>
      </c>
      <c r="T35" s="30" t="str">
        <f>VLOOKUP('Order Tracker'!R35, Table1[[#All],[SKU]:[Costs]], 21, 0)</f>
        <v>Rail</v>
      </c>
      <c r="U35" s="30" t="str">
        <f>VLOOKUP('Order Tracker'!$R35, Table1[[#All],[SKU]:[Costs]], 22, 0)</f>
        <v>Route A</v>
      </c>
      <c r="V35" s="76">
        <f>VLOOKUP('Order Tracker'!$R35, Table1[[#All],[SKU]:[Costs]], 23, 0)</f>
        <v>581.60235505058597</v>
      </c>
      <c r="W35" s="76">
        <f>VLOOKUP('Order Tracker'!$R35, Table1[[#All],[SKU]:[Costs]], 18, 0)</f>
        <v>19.7129929112936</v>
      </c>
      <c r="X35" s="76">
        <f>VLOOKUP('Order Tracker'!$R35, Table1[[#All],[SKU]:[Costs]], 2, 0)</f>
        <v>95.712135880936003</v>
      </c>
    </row>
    <row r="36" spans="1:24" x14ac:dyDescent="0.3">
      <c r="A36" s="4" t="s">
        <v>88</v>
      </c>
      <c r="B36" s="62">
        <f>Table1[[#This Row],[Number Of Products Sold]]/90</f>
        <v>6.6888888888888891</v>
      </c>
      <c r="C36" s="14">
        <f>B36*(Table1[[#This Row],[Lead Times]]+Table1[[#This Row],[Shipping Times]])</f>
        <v>220.73333333333335</v>
      </c>
      <c r="D36" s="2">
        <v>96</v>
      </c>
      <c r="E36" s="63" t="str">
        <f t="shared" si="0"/>
        <v>Yes</v>
      </c>
      <c r="F36" t="str">
        <f>IF((Table1[[#This Row],[Stock Levels]]+Table3[[#This Row],[Availability]])&lt;Table3[[#This Row],[Reorder Point]], "Yes", "No")</f>
        <v>Yes</v>
      </c>
      <c r="H36" t="str">
        <v>SKU36</v>
      </c>
      <c r="I36" t="str" cm="1">
        <f t="array" ref="I36">_xlfn.XLOOKUP(H36, Table1[[#All],[SKU]], Table1[[#All],[Product Type]])</f>
        <v>Skincare</v>
      </c>
      <c r="J36" t="str">
        <f>VLOOKUP(H36, Table1[[#All],[SKU]:[Costs]], 11, 0)</f>
        <v>Carrier B</v>
      </c>
      <c r="K36" t="str">
        <f>VLOOKUP($H36, Table1[[#All],[SKU]:[Costs]], 13, 0)</f>
        <v>Supplier 2</v>
      </c>
      <c r="L36" t="str">
        <f>VLOOKUP($H36, Table1[[#All],[SKU]:[Costs]], 14, 0)</f>
        <v>Delhi</v>
      </c>
      <c r="M36" s="1">
        <f>VLOOKUP($H36, Table1[[#All],[SKU]:[Costs]], 12, 0)</f>
        <v>2.1079512671590801</v>
      </c>
      <c r="N36" s="1">
        <f>VLOOKUP($H36, Table1[[#All],[SKU]:[Costs]], 2, 0)</f>
        <v>9.81300257875405</v>
      </c>
      <c r="R36" s="30" t="str">
        <v>SKU50</v>
      </c>
      <c r="S36" s="30" t="str">
        <f>_xlfn.XLOOKUP(R36, Table1[SKU], Table1[Product Type])</f>
        <v>Cosmetics</v>
      </c>
      <c r="T36" s="30" t="str">
        <f>VLOOKUP('Order Tracker'!R36, Table1[[#All],[SKU]:[Costs]], 21, 0)</f>
        <v>Rail</v>
      </c>
      <c r="U36" s="30" t="str">
        <f>VLOOKUP('Order Tracker'!$R36, Table1[[#All],[SKU]:[Costs]], 22, 0)</f>
        <v>Route B</v>
      </c>
      <c r="V36" s="76">
        <f>VLOOKUP('Order Tracker'!$R36, Table1[[#All],[SKU]:[Costs]], 23, 0)</f>
        <v>496.24865029194001</v>
      </c>
      <c r="W36" s="76">
        <f>VLOOKUP('Order Tracker'!$R36, Table1[[#All],[SKU]:[Costs]], 18, 0)</f>
        <v>45.178757924634503</v>
      </c>
      <c r="X36" s="76">
        <f>VLOOKUP('Order Tracker'!$R36, Table1[[#All],[SKU]:[Costs]], 2, 0)</f>
        <v>14.203484264803</v>
      </c>
    </row>
    <row r="37" spans="1:24" x14ac:dyDescent="0.3">
      <c r="A37" s="4" t="s">
        <v>89</v>
      </c>
      <c r="B37" s="62">
        <f>Table1[[#This Row],[Number Of Products Sold]]/90</f>
        <v>4.9888888888888889</v>
      </c>
      <c r="C37" s="14">
        <f>B37*(Table1[[#This Row],[Lead Times]]+Table1[[#This Row],[Shipping Times]])</f>
        <v>174.61111111111111</v>
      </c>
      <c r="D37" s="2">
        <v>11</v>
      </c>
      <c r="E37" s="63" t="str">
        <f t="shared" si="0"/>
        <v>Yes</v>
      </c>
      <c r="F37" t="str">
        <f>IF((Table1[[#This Row],[Stock Levels]]+Table3[[#This Row],[Availability]])&lt;Table3[[#This Row],[Reorder Point]], "Yes", "No")</f>
        <v>Yes</v>
      </c>
      <c r="H37" t="str">
        <v>SKU37</v>
      </c>
      <c r="I37" t="str" cm="1">
        <f t="array" ref="I37">_xlfn.XLOOKUP(H37, Table1[[#All],[SKU]], Table1[[#All],[Product Type]])</f>
        <v>Skincare</v>
      </c>
      <c r="J37" t="str">
        <f>VLOOKUP(H37, Table1[[#All],[SKU]:[Costs]], 11, 0)</f>
        <v>Carrier A</v>
      </c>
      <c r="K37" t="str">
        <f>VLOOKUP($H37, Table1[[#All],[SKU]:[Costs]], 13, 0)</f>
        <v>Supplier 3</v>
      </c>
      <c r="L37" t="str">
        <f>VLOOKUP($H37, Table1[[#All],[SKU]:[Costs]], 14, 0)</f>
        <v>Kolkata</v>
      </c>
      <c r="M37" s="1">
        <f>VLOOKUP($H37, Table1[[#All],[SKU]:[Costs]], 12, 0)</f>
        <v>1.53265527359043</v>
      </c>
      <c r="N37" s="1">
        <f>VLOOKUP($H37, Table1[[#All],[SKU]:[Costs]], 2, 0)</f>
        <v>23.3998447526143</v>
      </c>
      <c r="R37" s="30" t="str">
        <v>SKU52</v>
      </c>
      <c r="S37" s="30" t="str">
        <f>_xlfn.XLOOKUP(R37, Table1[SKU], Table1[Product Type])</f>
        <v>Skincare</v>
      </c>
      <c r="T37" s="30" t="str">
        <f>VLOOKUP('Order Tracker'!R37, Table1[[#All],[SKU]:[Costs]], 21, 0)</f>
        <v>Air</v>
      </c>
      <c r="U37" s="30" t="str">
        <f>VLOOKUP('Order Tracker'!$R37, Table1[[#All],[SKU]:[Costs]], 22, 0)</f>
        <v>Route C</v>
      </c>
      <c r="V37" s="76">
        <f>VLOOKUP('Order Tracker'!$R37, Table1[[#All],[SKU]:[Costs]], 23, 0)</f>
        <v>602.89849883838303</v>
      </c>
      <c r="W37" s="76">
        <f>VLOOKUP('Order Tracker'!$R37, Table1[[#All],[SKU]:[Costs]], 18, 0)</f>
        <v>9.1668491485971497</v>
      </c>
      <c r="X37" s="76">
        <f>VLOOKUP('Order Tracker'!$R37, Table1[[#All],[SKU]:[Costs]], 2, 0)</f>
        <v>98.031829656465007</v>
      </c>
    </row>
    <row r="38" spans="1:24" x14ac:dyDescent="0.3">
      <c r="A38" s="4" t="s">
        <v>90</v>
      </c>
      <c r="B38" s="62">
        <f>Table1[[#This Row],[Number Of Products Sold]]/90</f>
        <v>10.7</v>
      </c>
      <c r="C38" s="14">
        <f>B38*(Table1[[#This Row],[Lead Times]]+Table1[[#This Row],[Shipping Times]])</f>
        <v>278.2</v>
      </c>
      <c r="D38" s="2">
        <v>34</v>
      </c>
      <c r="E38" s="63" t="str">
        <f t="shared" si="0"/>
        <v>Yes</v>
      </c>
      <c r="F38" t="str">
        <f>IF((Table1[[#This Row],[Stock Levels]]+Table3[[#This Row],[Availability]])&lt;Table3[[#This Row],[Reorder Point]], "Yes", "No")</f>
        <v>Yes</v>
      </c>
      <c r="H38" t="str">
        <v>SKU39</v>
      </c>
      <c r="I38" t="str" cm="1">
        <f t="array" ref="I38">_xlfn.XLOOKUP(H38, Table1[[#All],[SKU]], Table1[[#All],[Product Type]])</f>
        <v>Skincare</v>
      </c>
      <c r="J38" t="str">
        <f>VLOOKUP(H38, Table1[[#All],[SKU]:[Costs]], 11, 0)</f>
        <v>Carrier A</v>
      </c>
      <c r="K38" t="str">
        <f>VLOOKUP($H38, Table1[[#All],[SKU]:[Costs]], 13, 0)</f>
        <v>Supplier 2</v>
      </c>
      <c r="L38" t="str">
        <f>VLOOKUP($H38, Table1[[#All],[SKU]:[Costs]], 14, 0)</f>
        <v>Kolkata</v>
      </c>
      <c r="M38" s="1">
        <f>VLOOKUP($H38, Table1[[#All],[SKU]:[Costs]], 12, 0)</f>
        <v>5.5625037788303802</v>
      </c>
      <c r="N38" s="1">
        <f>VLOOKUP($H38, Table1[[#All],[SKU]:[Costs]], 2, 0)</f>
        <v>19.127477265823199</v>
      </c>
      <c r="R38" s="30" t="str">
        <v>SKU54</v>
      </c>
      <c r="S38" s="30" t="str">
        <f>_xlfn.XLOOKUP(R38, Table1[SKU], Table1[Product Type])</f>
        <v>Haircare</v>
      </c>
      <c r="T38" s="30" t="str">
        <f>VLOOKUP('Order Tracker'!R38, Table1[[#All],[SKU]:[Costs]], 21, 0)</f>
        <v>Road</v>
      </c>
      <c r="U38" s="30" t="str">
        <f>VLOOKUP('Order Tracker'!$R38, Table1[[#All],[SKU]:[Costs]], 22, 0)</f>
        <v>Route B</v>
      </c>
      <c r="V38" s="76">
        <f>VLOOKUP('Order Tracker'!$R38, Table1[[#All],[SKU]:[Costs]], 23, 0)</f>
        <v>814.06999658218695</v>
      </c>
      <c r="W38" s="76">
        <f>VLOOKUP('Order Tracker'!$R38, Table1[[#All],[SKU]:[Costs]], 18, 0)</f>
        <v>30.186023375822501</v>
      </c>
      <c r="X38" s="76">
        <f>VLOOKUP('Order Tracker'!$R38, Table1[[#All],[SKU]:[Costs]], 2, 0)</f>
        <v>31.1462431602408</v>
      </c>
    </row>
    <row r="39" spans="1:24" x14ac:dyDescent="0.3">
      <c r="A39" s="4" t="s">
        <v>91</v>
      </c>
      <c r="B39" s="62">
        <f>Table1[[#This Row],[Number Of Products Sold]]/90</f>
        <v>10.7</v>
      </c>
      <c r="C39" s="14">
        <f>B39*(Table1[[#This Row],[Lead Times]]+Table1[[#This Row],[Shipping Times]])</f>
        <v>181.89999999999998</v>
      </c>
      <c r="D39" s="2">
        <v>5</v>
      </c>
      <c r="E39" s="63" t="str">
        <f t="shared" si="0"/>
        <v>Yes</v>
      </c>
      <c r="F39" t="str">
        <f>IF((Table1[[#This Row],[Stock Levels]]+Table3[[#This Row],[Availability]])&lt;Table3[[#This Row],[Reorder Point]], "Yes", "No")</f>
        <v>Yes</v>
      </c>
      <c r="H39" t="str">
        <v>SKU40</v>
      </c>
      <c r="I39" t="str" cm="1">
        <f t="array" ref="I39">_xlfn.XLOOKUP(H39, Table1[[#All],[SKU]], Table1[[#All],[Product Type]])</f>
        <v>Skincare</v>
      </c>
      <c r="J39" t="str">
        <f>VLOOKUP(H39, Table1[[#All],[SKU]:[Costs]], 11, 0)</f>
        <v>Carrier C</v>
      </c>
      <c r="K39" t="str">
        <f>VLOOKUP($H39, Table1[[#All],[SKU]:[Costs]], 13, 0)</f>
        <v>Supplier 1</v>
      </c>
      <c r="L39" t="str">
        <f>VLOOKUP($H39, Table1[[#All],[SKU]:[Costs]], 14, 0)</f>
        <v>Kolkata</v>
      </c>
      <c r="M39" s="1">
        <f>VLOOKUP($H39, Table1[[#All],[SKU]:[Costs]], 12, 0)</f>
        <v>7.2295951397364702</v>
      </c>
      <c r="N39" s="1">
        <f>VLOOKUP($H39, Table1[[#All],[SKU]:[Costs]], 2, 0)</f>
        <v>80.541424170940303</v>
      </c>
      <c r="R39" s="30" t="str">
        <v>SKU55</v>
      </c>
      <c r="S39" s="30" t="str">
        <f>_xlfn.XLOOKUP(R39, Table1[SKU], Table1[Product Type])</f>
        <v>Haircare</v>
      </c>
      <c r="T39" s="30" t="str">
        <f>VLOOKUP('Order Tracker'!R39, Table1[[#All],[SKU]:[Costs]], 21, 0)</f>
        <v>Sea</v>
      </c>
      <c r="U39" s="30" t="str">
        <f>VLOOKUP('Order Tracker'!$R39, Table1[[#All],[SKU]:[Costs]], 22, 0)</f>
        <v>Route B</v>
      </c>
      <c r="V39" s="76">
        <f>VLOOKUP('Order Tracker'!$R39, Table1[[#All],[SKU]:[Costs]], 23, 0)</f>
        <v>323.01292795247798</v>
      </c>
      <c r="W39" s="76">
        <f>VLOOKUP('Order Tracker'!$R39, Table1[[#All],[SKU]:[Costs]], 18, 0)</f>
        <v>30.323545256616502</v>
      </c>
      <c r="X39" s="76">
        <f>VLOOKUP('Order Tracker'!$R39, Table1[[#All],[SKU]:[Costs]], 2, 0)</f>
        <v>79.855058340789398</v>
      </c>
    </row>
    <row r="40" spans="1:24" x14ac:dyDescent="0.3">
      <c r="A40" s="4" t="s">
        <v>92</v>
      </c>
      <c r="B40" s="62">
        <f>Table1[[#This Row],[Number Of Products Sold]]/90</f>
        <v>7.833333333333333</v>
      </c>
      <c r="C40" s="14">
        <f>B40*(Table1[[#This Row],[Lead Times]]+Table1[[#This Row],[Shipping Times]])</f>
        <v>47</v>
      </c>
      <c r="D40" s="2">
        <v>75</v>
      </c>
      <c r="E40" s="63" t="str">
        <f t="shared" si="0"/>
        <v>No</v>
      </c>
      <c r="F40" t="str">
        <f>IF((Table1[[#This Row],[Stock Levels]]+Table3[[#This Row],[Availability]])&lt;Table3[[#This Row],[Reorder Point]], "Yes", "No")</f>
        <v>No</v>
      </c>
      <c r="H40" t="str">
        <v>SKU41</v>
      </c>
      <c r="I40" t="str" cm="1">
        <f t="array" ref="I40">_xlfn.XLOOKUP(H40, Table1[[#All],[SKU]], Table1[[#All],[Product Type]])</f>
        <v>Skincare</v>
      </c>
      <c r="J40" t="str">
        <f>VLOOKUP(H40, Table1[[#All],[SKU]:[Costs]], 11, 0)</f>
        <v>Carrier B</v>
      </c>
      <c r="K40" t="str">
        <f>VLOOKUP($H40, Table1[[#All],[SKU]:[Costs]], 13, 0)</f>
        <v>Supplier 4</v>
      </c>
      <c r="L40" t="str">
        <f>VLOOKUP($H40, Table1[[#All],[SKU]:[Costs]], 14, 0)</f>
        <v>Chennai</v>
      </c>
      <c r="M40" s="1">
        <f>VLOOKUP($H40, Table1[[#All],[SKU]:[Costs]], 12, 0)</f>
        <v>5.7732637437666501</v>
      </c>
      <c r="N40" s="1">
        <f>VLOOKUP($H40, Table1[[#All],[SKU]:[Costs]], 2, 0)</f>
        <v>99.113291615317095</v>
      </c>
      <c r="R40" s="30" t="str">
        <v>SKU58</v>
      </c>
      <c r="S40" s="30" t="str">
        <f>_xlfn.XLOOKUP(R40, Table1[SKU], Table1[Product Type])</f>
        <v>Skincare</v>
      </c>
      <c r="T40" s="30" t="str">
        <f>VLOOKUP('Order Tracker'!R40, Table1[[#All],[SKU]:[Costs]], 21, 0)</f>
        <v>Road</v>
      </c>
      <c r="U40" s="30" t="str">
        <f>VLOOKUP('Order Tracker'!$R40, Table1[[#All],[SKU]:[Costs]], 22, 0)</f>
        <v>Route B</v>
      </c>
      <c r="V40" s="76">
        <f>VLOOKUP('Order Tracker'!$R40, Table1[[#All],[SKU]:[Costs]], 23, 0)</f>
        <v>110.364335231364</v>
      </c>
      <c r="W40" s="76">
        <f>VLOOKUP('Order Tracker'!$R40, Table1[[#All],[SKU]:[Costs]], 18, 0)</f>
        <v>65.047415094691402</v>
      </c>
      <c r="X40" s="76">
        <f>VLOOKUP('Order Tracker'!$R40, Table1[[#All],[SKU]:[Costs]], 2, 0)</f>
        <v>59.841561377289302</v>
      </c>
    </row>
    <row r="41" spans="1:24" x14ac:dyDescent="0.3">
      <c r="A41" s="4" t="s">
        <v>93</v>
      </c>
      <c r="B41" s="62">
        <f>Table1[[#This Row],[Number Of Products Sold]]/90</f>
        <v>1.9555555555555555</v>
      </c>
      <c r="C41" s="14">
        <f>B41*(Table1[[#This Row],[Lead Times]]+Table1[[#This Row],[Shipping Times]])</f>
        <v>62.577777777777776</v>
      </c>
      <c r="D41" s="2">
        <v>26</v>
      </c>
      <c r="E41" s="63" t="str">
        <f t="shared" si="0"/>
        <v>Yes</v>
      </c>
      <c r="F41" t="str">
        <f>IF((Table1[[#This Row],[Stock Levels]]+Table3[[#This Row],[Availability]])&lt;Table3[[#This Row],[Reorder Point]], "Yes", "No")</f>
        <v>No</v>
      </c>
      <c r="H41" t="str">
        <v>SKU43</v>
      </c>
      <c r="I41" t="str" cm="1">
        <f t="array" ref="I41">_xlfn.XLOOKUP(H41, Table1[[#All],[SKU]], Table1[[#All],[Product Type]])</f>
        <v>Haircare</v>
      </c>
      <c r="J41" t="str">
        <f>VLOOKUP(H41, Table1[[#All],[SKU]:[Costs]], 11, 0)</f>
        <v>Carrier B</v>
      </c>
      <c r="K41" t="str">
        <f>VLOOKUP($H41, Table1[[#All],[SKU]:[Costs]], 13, 0)</f>
        <v>Supplier 5</v>
      </c>
      <c r="L41" t="str">
        <f>VLOOKUP($H41, Table1[[#All],[SKU]:[Costs]], 14, 0)</f>
        <v>Mumbai</v>
      </c>
      <c r="M41" s="1">
        <f>VLOOKUP($H41, Table1[[#All],[SKU]:[Costs]], 12, 0)</f>
        <v>3.6940212683884499</v>
      </c>
      <c r="N41" s="1">
        <f>VLOOKUP($H41, Table1[[#All],[SKU]:[Costs]], 2, 0)</f>
        <v>11.7432717763092</v>
      </c>
      <c r="R41" s="30" t="str">
        <v>SKU60</v>
      </c>
      <c r="S41" s="30" t="str">
        <f>_xlfn.XLOOKUP(R41, Table1[SKU], Table1[Product Type])</f>
        <v>Skincare</v>
      </c>
      <c r="T41" s="30" t="str">
        <f>VLOOKUP('Order Tracker'!R41, Table1[[#All],[SKU]:[Costs]], 21, 0)</f>
        <v>Rail</v>
      </c>
      <c r="U41" s="30" t="str">
        <f>VLOOKUP('Order Tracker'!$R41, Table1[[#All],[SKU]:[Costs]], 22, 0)</f>
        <v>Route A</v>
      </c>
      <c r="V41" s="76">
        <f>VLOOKUP('Order Tracker'!$R41, Table1[[#All],[SKU]:[Costs]], 23, 0)</f>
        <v>430.16909697513597</v>
      </c>
      <c r="W41" s="76">
        <f>VLOOKUP('Order Tracker'!$R41, Table1[[#All],[SKU]:[Costs]], 18, 0)</f>
        <v>87.213057815135599</v>
      </c>
      <c r="X41" s="76">
        <f>VLOOKUP('Order Tracker'!$R41, Table1[[#All],[SKU]:[Costs]], 2, 0)</f>
        <v>17.028027920188698</v>
      </c>
    </row>
    <row r="42" spans="1:24" x14ac:dyDescent="0.3">
      <c r="A42" s="4" t="s">
        <v>94</v>
      </c>
      <c r="B42" s="62">
        <f>Table1[[#This Row],[Number Of Products Sold]]/90</f>
        <v>10.366666666666667</v>
      </c>
      <c r="C42" s="14">
        <f>B42*(Table1[[#This Row],[Lead Times]]+Table1[[#This Row],[Shipping Times]])</f>
        <v>290.26666666666665</v>
      </c>
      <c r="D42" s="2">
        <v>97</v>
      </c>
      <c r="E42" s="63" t="str">
        <f t="shared" si="0"/>
        <v>Yes</v>
      </c>
      <c r="F42" t="str">
        <f>IF((Table1[[#This Row],[Stock Levels]]+Table3[[#This Row],[Availability]])&lt;Table3[[#This Row],[Reorder Point]], "Yes", "No")</f>
        <v>Yes</v>
      </c>
      <c r="H42" t="str">
        <v>SKU44</v>
      </c>
      <c r="I42" t="str" cm="1">
        <f t="array" ref="I42">_xlfn.XLOOKUP(H42, Table1[[#All],[SKU]], Table1[[#All],[Product Type]])</f>
        <v>Cosmetics</v>
      </c>
      <c r="J42" t="str">
        <f>VLOOKUP(H42, Table1[[#All],[SKU]:[Costs]], 11, 0)</f>
        <v>Carrier C</v>
      </c>
      <c r="K42" t="str">
        <f>VLOOKUP($H42, Table1[[#All],[SKU]:[Costs]], 13, 0)</f>
        <v>Supplier 2</v>
      </c>
      <c r="L42" t="str">
        <f>VLOOKUP($H42, Table1[[#All],[SKU]:[Costs]], 14, 0)</f>
        <v>Delhi</v>
      </c>
      <c r="M42" s="1">
        <f>VLOOKUP($H42, Table1[[#All],[SKU]:[Costs]], 12, 0)</f>
        <v>7.5774496573766896</v>
      </c>
      <c r="N42" s="1">
        <f>VLOOKUP($H42, Table1[[#All],[SKU]:[Costs]], 2, 0)</f>
        <v>51.355790913110297</v>
      </c>
      <c r="R42" s="30" t="str">
        <v>SKU65</v>
      </c>
      <c r="S42" s="30" t="str">
        <f>_xlfn.XLOOKUP(R42, Table1[SKU], Table1[Product Type])</f>
        <v>Skincare</v>
      </c>
      <c r="T42" s="30" t="str">
        <f>VLOOKUP('Order Tracker'!R42, Table1[[#All],[SKU]:[Costs]], 21, 0)</f>
        <v>Rail</v>
      </c>
      <c r="U42" s="30" t="str">
        <f>VLOOKUP('Order Tracker'!$R42, Table1[[#All],[SKU]:[Costs]], 22, 0)</f>
        <v>Route C</v>
      </c>
      <c r="V42" s="76">
        <f>VLOOKUP('Order Tracker'!$R42, Table1[[#All],[SKU]:[Costs]], 23, 0)</f>
        <v>555.85910367174301</v>
      </c>
      <c r="W42" s="76">
        <f>VLOOKUP('Order Tracker'!$R42, Table1[[#All],[SKU]:[Costs]], 18, 0)</f>
        <v>1.59722274305067</v>
      </c>
      <c r="X42" s="76">
        <f>VLOOKUP('Order Tracker'!$R42, Table1[[#All],[SKU]:[Costs]], 2, 0)</f>
        <v>33.697717206643098</v>
      </c>
    </row>
    <row r="43" spans="1:24" x14ac:dyDescent="0.3">
      <c r="A43" s="4" t="s">
        <v>95</v>
      </c>
      <c r="B43" s="62">
        <f>Table1[[#This Row],[Number Of Products Sold]]/90</f>
        <v>6.177777777777778</v>
      </c>
      <c r="C43" s="14">
        <f>B43*(Table1[[#This Row],[Lead Times]]+Table1[[#This Row],[Shipping Times]])</f>
        <v>166.8</v>
      </c>
      <c r="D43" s="2">
        <v>35</v>
      </c>
      <c r="E43" s="63" t="str">
        <f t="shared" si="0"/>
        <v>Yes</v>
      </c>
      <c r="F43" t="str">
        <f>IF((Table1[[#This Row],[Stock Levels]]+Table3[[#This Row],[Availability]])&lt;Table3[[#This Row],[Reorder Point]], "Yes", "No")</f>
        <v>Yes</v>
      </c>
      <c r="H43" t="str">
        <v>SKU45</v>
      </c>
      <c r="I43" t="str" cm="1">
        <f t="array" ref="I43">_xlfn.XLOOKUP(H43, Table1[[#All],[SKU]], Table1[[#All],[Product Type]])</f>
        <v>Haircare</v>
      </c>
      <c r="J43" t="str">
        <f>VLOOKUP(H43, Table1[[#All],[SKU]:[Costs]], 11, 0)</f>
        <v>Carrier B</v>
      </c>
      <c r="K43" t="str">
        <f>VLOOKUP($H43, Table1[[#All],[SKU]:[Costs]], 13, 0)</f>
        <v>Supplier 2</v>
      </c>
      <c r="L43" t="str">
        <f>VLOOKUP($H43, Table1[[#All],[SKU]:[Costs]], 14, 0)</f>
        <v>Chennai</v>
      </c>
      <c r="M43" s="1">
        <f>VLOOKUP($H43, Table1[[#All],[SKU]:[Costs]], 12, 0)</f>
        <v>5.2151550087119096</v>
      </c>
      <c r="N43" s="1">
        <f>VLOOKUP($H43, Table1[[#All],[SKU]:[Costs]], 2, 0)</f>
        <v>33.784138033065503</v>
      </c>
      <c r="R43" s="30" t="str">
        <v>SKU66</v>
      </c>
      <c r="S43" s="30" t="str">
        <f>_xlfn.XLOOKUP(R43, Table1[SKU], Table1[Product Type])</f>
        <v>Skincare</v>
      </c>
      <c r="T43" s="30" t="str">
        <f>VLOOKUP('Order Tracker'!R43, Table1[[#All],[SKU]:[Costs]], 21, 0)</f>
        <v>Road</v>
      </c>
      <c r="U43" s="30" t="str">
        <f>VLOOKUP('Order Tracker'!$R43, Table1[[#All],[SKU]:[Costs]], 22, 0)</f>
        <v>Route A</v>
      </c>
      <c r="V43" s="76">
        <f>VLOOKUP('Order Tracker'!$R43, Table1[[#All],[SKU]:[Costs]], 23, 0)</f>
        <v>393.84334857842703</v>
      </c>
      <c r="W43" s="76">
        <f>VLOOKUP('Order Tracker'!$R43, Table1[[#All],[SKU]:[Costs]], 18, 0)</f>
        <v>42.084436738309897</v>
      </c>
      <c r="X43" s="76">
        <f>VLOOKUP('Order Tracker'!$R43, Table1[[#All],[SKU]:[Costs]], 2, 0)</f>
        <v>26.034869773962001</v>
      </c>
    </row>
    <row r="44" spans="1:24" x14ac:dyDescent="0.3">
      <c r="A44" s="4" t="s">
        <v>96</v>
      </c>
      <c r="B44" s="62">
        <f>Table1[[#This Row],[Number Of Products Sold]]/90</f>
        <v>1.7222222222222223</v>
      </c>
      <c r="C44" s="14">
        <f>B44*(Table1[[#This Row],[Lead Times]]+Table1[[#This Row],[Shipping Times]])</f>
        <v>53.388888888888893</v>
      </c>
      <c r="D44" s="2">
        <v>98</v>
      </c>
      <c r="E44" s="63" t="str">
        <f t="shared" si="0"/>
        <v>No</v>
      </c>
      <c r="F44" t="str">
        <f>IF((Table1[[#This Row],[Stock Levels]]+Table3[[#This Row],[Availability]])&lt;Table3[[#This Row],[Reorder Point]], "Yes", "No")</f>
        <v>No</v>
      </c>
      <c r="H44" t="str">
        <v>SKU46</v>
      </c>
      <c r="I44" t="str" cm="1">
        <f t="array" ref="I44">_xlfn.XLOOKUP(H44, Table1[[#All],[SKU]], Table1[[#All],[Product Type]])</f>
        <v>Haircare</v>
      </c>
      <c r="J44" t="str">
        <f>VLOOKUP(H44, Table1[[#All],[SKU]:[Costs]], 11, 0)</f>
        <v>Carrier B</v>
      </c>
      <c r="K44" t="str">
        <f>VLOOKUP($H44, Table1[[#All],[SKU]:[Costs]], 13, 0)</f>
        <v>Supplier 3</v>
      </c>
      <c r="L44" t="str">
        <f>VLOOKUP($H44, Table1[[#All],[SKU]:[Costs]], 14, 0)</f>
        <v>Chennai</v>
      </c>
      <c r="M44" s="1">
        <f>VLOOKUP($H44, Table1[[#All],[SKU]:[Costs]], 12, 0)</f>
        <v>4.0709558370840799</v>
      </c>
      <c r="N44" s="1">
        <f>VLOOKUP($H44, Table1[[#All],[SKU]:[Costs]], 2, 0)</f>
        <v>27.082207199888899</v>
      </c>
      <c r="R44" s="30" t="str">
        <v>SKU67</v>
      </c>
      <c r="S44" s="30" t="str">
        <f>_xlfn.XLOOKUP(R44, Table1[SKU], Table1[Product Type])</f>
        <v>Skincare</v>
      </c>
      <c r="T44" s="30" t="str">
        <f>VLOOKUP('Order Tracker'!R44, Table1[[#All],[SKU]:[Costs]], 21, 0)</f>
        <v>Sea</v>
      </c>
      <c r="U44" s="30" t="str">
        <f>VLOOKUP('Order Tracker'!$R44, Table1[[#All],[SKU]:[Costs]], 22, 0)</f>
        <v>Route C</v>
      </c>
      <c r="V44" s="76">
        <f>VLOOKUP('Order Tracker'!$R44, Table1[[#All],[SKU]:[Costs]], 23, 0)</f>
        <v>169.27180138478599</v>
      </c>
      <c r="W44" s="76">
        <f>VLOOKUP('Order Tracker'!$R44, Table1[[#All],[SKU]:[Costs]], 18, 0)</f>
        <v>7.0578761469782298</v>
      </c>
      <c r="X44" s="76">
        <f>VLOOKUP('Order Tracker'!$R44, Table1[[#All],[SKU]:[Costs]], 2, 0)</f>
        <v>87.755432354001002</v>
      </c>
    </row>
    <row r="45" spans="1:24" x14ac:dyDescent="0.3">
      <c r="A45" s="4" t="s">
        <v>97</v>
      </c>
      <c r="B45" s="62">
        <f>Table1[[#This Row],[Number Of Products Sold]]/90</f>
        <v>6.6444444444444448</v>
      </c>
      <c r="C45" s="14">
        <f>B45*(Table1[[#This Row],[Lead Times]]+Table1[[#This Row],[Shipping Times]])</f>
        <v>252.48888888888891</v>
      </c>
      <c r="D45" s="2">
        <v>6</v>
      </c>
      <c r="E45" s="63" t="str">
        <f t="shared" si="0"/>
        <v>Yes</v>
      </c>
      <c r="F45" t="str">
        <f>IF((Table1[[#This Row],[Stock Levels]]+Table3[[#This Row],[Availability]])&lt;Table3[[#This Row],[Reorder Point]], "Yes", "No")</f>
        <v>Yes</v>
      </c>
      <c r="H45" t="str">
        <v>SKU47</v>
      </c>
      <c r="I45" t="str" cm="1">
        <f t="array" ref="I45">_xlfn.XLOOKUP(H45, Table1[[#All],[SKU]], Table1[[#All],[Product Type]])</f>
        <v>Skincare</v>
      </c>
      <c r="J45" t="str">
        <f>VLOOKUP(H45, Table1[[#All],[SKU]:[Costs]], 11, 0)</f>
        <v>Carrier B</v>
      </c>
      <c r="K45" t="str">
        <f>VLOOKUP($H45, Table1[[#All],[SKU]:[Costs]], 13, 0)</f>
        <v>Supplier 1</v>
      </c>
      <c r="L45" t="str">
        <f>VLOOKUP($H45, Table1[[#All],[SKU]:[Costs]], 14, 0)</f>
        <v>Kolkata</v>
      </c>
      <c r="M45" s="1">
        <f>VLOOKUP($H45, Table1[[#All],[SKU]:[Costs]], 12, 0)</f>
        <v>8.9787507559499709</v>
      </c>
      <c r="N45" s="1">
        <f>VLOOKUP($H45, Table1[[#All],[SKU]:[Costs]], 2, 0)</f>
        <v>95.712135880936003</v>
      </c>
      <c r="R45" s="30" t="str">
        <v>SKU72</v>
      </c>
      <c r="S45" s="30" t="str">
        <f>_xlfn.XLOOKUP(R45, Table1[SKU], Table1[Product Type])</f>
        <v>Cosmetics</v>
      </c>
      <c r="T45" s="30" t="str">
        <f>VLOOKUP('Order Tracker'!R45, Table1[[#All],[SKU]:[Costs]], 21, 0)</f>
        <v>Rail</v>
      </c>
      <c r="U45" s="30" t="str">
        <f>VLOOKUP('Order Tracker'!$R45, Table1[[#All],[SKU]:[Costs]], 22, 0)</f>
        <v>Route B</v>
      </c>
      <c r="V45" s="76">
        <f>VLOOKUP('Order Tracker'!$R45, Table1[[#All],[SKU]:[Costs]], 23, 0)</f>
        <v>677.94456984618296</v>
      </c>
      <c r="W45" s="76">
        <f>VLOOKUP('Order Tracker'!$R45, Table1[[#All],[SKU]:[Costs]], 18, 0)</f>
        <v>55.760492895244198</v>
      </c>
      <c r="X45" s="76">
        <f>VLOOKUP('Order Tracker'!$R45, Table1[[#All],[SKU]:[Costs]], 2, 0)</f>
        <v>90.204427520528</v>
      </c>
    </row>
    <row r="46" spans="1:24" x14ac:dyDescent="0.3">
      <c r="A46" s="4" t="s">
        <v>98</v>
      </c>
      <c r="B46" s="62">
        <f>Table1[[#This Row],[Number Of Products Sold]]/90</f>
        <v>10.21111111111111</v>
      </c>
      <c r="C46" s="14">
        <f>B46*(Table1[[#This Row],[Lead Times]]+Table1[[#This Row],[Shipping Times]])</f>
        <v>255.27777777777777</v>
      </c>
      <c r="D46" s="2">
        <v>34</v>
      </c>
      <c r="E46" s="63" t="str">
        <f t="shared" si="0"/>
        <v>Yes</v>
      </c>
      <c r="F46" t="str">
        <f>IF((Table1[[#This Row],[Stock Levels]]+Table3[[#This Row],[Availability]])&lt;Table3[[#This Row],[Reorder Point]], "Yes", "No")</f>
        <v>Yes</v>
      </c>
      <c r="H46" t="str">
        <v>SKU49</v>
      </c>
      <c r="I46" t="str" cm="1">
        <f t="array" ref="I46">_xlfn.XLOOKUP(H46, Table1[[#All],[SKU]], Table1[[#All],[Product Type]])</f>
        <v>Cosmetics</v>
      </c>
      <c r="J46" t="str">
        <f>VLOOKUP(H46, Table1[[#All],[SKU]:[Costs]], 11, 0)</f>
        <v>Carrier C</v>
      </c>
      <c r="K46" t="str">
        <f>VLOOKUP($H46, Table1[[#All],[SKU]:[Costs]], 13, 0)</f>
        <v>Supplier 5</v>
      </c>
      <c r="L46" t="str">
        <f>VLOOKUP($H46, Table1[[#All],[SKU]:[Costs]], 14, 0)</f>
        <v>Delhi</v>
      </c>
      <c r="M46" s="1">
        <f>VLOOKUP($H46, Table1[[#All],[SKU]:[Costs]], 12, 0)</f>
        <v>2.5056210329009101</v>
      </c>
      <c r="N46" s="1">
        <f>VLOOKUP($H46, Table1[[#All],[SKU]:[Costs]], 2, 0)</f>
        <v>78.897913205639995</v>
      </c>
      <c r="R46" s="30" t="str">
        <v>SKU73</v>
      </c>
      <c r="S46" s="30" t="str">
        <f>_xlfn.XLOOKUP(R46, Table1[SKU], Table1[Product Type])</f>
        <v>Cosmetics</v>
      </c>
      <c r="T46" s="30" t="str">
        <f>VLOOKUP('Order Tracker'!R46, Table1[[#All],[SKU]:[Costs]], 21, 0)</f>
        <v>Road</v>
      </c>
      <c r="U46" s="30" t="str">
        <f>VLOOKUP('Order Tracker'!$R46, Table1[[#All],[SKU]:[Costs]], 22, 0)</f>
        <v>Route A</v>
      </c>
      <c r="V46" s="76">
        <f>VLOOKUP('Order Tracker'!$R46, Table1[[#All],[SKU]:[Costs]], 23, 0)</f>
        <v>866.472800129657</v>
      </c>
      <c r="W46" s="76">
        <f>VLOOKUP('Order Tracker'!$R46, Table1[[#All],[SKU]:[Costs]], 18, 0)</f>
        <v>46.870238797617098</v>
      </c>
      <c r="X46" s="76">
        <f>VLOOKUP('Order Tracker'!$R46, Table1[[#All],[SKU]:[Costs]], 2, 0)</f>
        <v>83.851017681304597</v>
      </c>
    </row>
    <row r="47" spans="1:24" x14ac:dyDescent="0.3">
      <c r="A47" s="4" t="s">
        <v>99</v>
      </c>
      <c r="B47" s="62">
        <f>Table1[[#This Row],[Number Of Products Sold]]/90</f>
        <v>0.26666666666666666</v>
      </c>
      <c r="C47" s="14">
        <f>B47*(Table1[[#This Row],[Lead Times]]+Table1[[#This Row],[Shipping Times]])</f>
        <v>3.4666666666666668</v>
      </c>
      <c r="D47" s="2">
        <v>1</v>
      </c>
      <c r="E47" s="63" t="str">
        <f t="shared" si="0"/>
        <v>Yes</v>
      </c>
      <c r="F47" t="str">
        <f>IF((Table1[[#This Row],[Stock Levels]]+Table3[[#This Row],[Availability]])&lt;Table3[[#This Row],[Reorder Point]], "Yes", "No")</f>
        <v>No</v>
      </c>
      <c r="H47" t="str">
        <v>SKU50</v>
      </c>
      <c r="I47" t="str" cm="1">
        <f t="array" ref="I47">_xlfn.XLOOKUP(H47, Table1[[#All],[SKU]], Table1[[#All],[Product Type]])</f>
        <v>Cosmetics</v>
      </c>
      <c r="J47" t="str">
        <f>VLOOKUP(H47, Table1[[#All],[SKU]:[Costs]], 11, 0)</f>
        <v>Carrier A</v>
      </c>
      <c r="K47" t="str">
        <f>VLOOKUP($H47, Table1[[#All],[SKU]:[Costs]], 13, 0)</f>
        <v>Supplier 2</v>
      </c>
      <c r="L47" t="str">
        <f>VLOOKUP($H47, Table1[[#All],[SKU]:[Costs]], 14, 0)</f>
        <v>Delhi</v>
      </c>
      <c r="M47" s="1">
        <f>VLOOKUP($H47, Table1[[#All],[SKU]:[Costs]], 12, 0)</f>
        <v>6.2478609149759903</v>
      </c>
      <c r="N47" s="1">
        <f>VLOOKUP($H47, Table1[[#All],[SKU]:[Costs]], 2, 0)</f>
        <v>14.203484264803</v>
      </c>
      <c r="R47" s="30" t="str">
        <v>SKU74</v>
      </c>
      <c r="S47" s="30" t="str">
        <f>_xlfn.XLOOKUP(R47, Table1[SKU], Table1[Product Type])</f>
        <v>Haircare</v>
      </c>
      <c r="T47" s="30" t="str">
        <f>VLOOKUP('Order Tracker'!R47, Table1[[#All],[SKU]:[Costs]], 21, 0)</f>
        <v>Rail</v>
      </c>
      <c r="U47" s="30" t="str">
        <f>VLOOKUP('Order Tracker'!$R47, Table1[[#All],[SKU]:[Costs]], 22, 0)</f>
        <v>Route A</v>
      </c>
      <c r="V47" s="76">
        <f>VLOOKUP('Order Tracker'!$R47, Table1[[#All],[SKU]:[Costs]], 23, 0)</f>
        <v>341.55265678322297</v>
      </c>
      <c r="W47" s="76">
        <f>VLOOKUP('Order Tracker'!$R47, Table1[[#All],[SKU]:[Costs]], 18, 0)</f>
        <v>80.580852156447804</v>
      </c>
      <c r="X47" s="76">
        <f>VLOOKUP('Order Tracker'!$R47, Table1[[#All],[SKU]:[Costs]], 2, 0)</f>
        <v>3.1700114135661499</v>
      </c>
    </row>
    <row r="48" spans="1:24" x14ac:dyDescent="0.3">
      <c r="A48" s="4" t="s">
        <v>100</v>
      </c>
      <c r="B48" s="62">
        <f>Table1[[#This Row],[Number Of Products Sold]]/90</f>
        <v>9.5444444444444443</v>
      </c>
      <c r="C48" s="14">
        <f>B48*(Table1[[#This Row],[Lead Times]]+Table1[[#This Row],[Shipping Times]])</f>
        <v>353.14444444444445</v>
      </c>
      <c r="D48" s="2">
        <v>75</v>
      </c>
      <c r="E48" s="63" t="str">
        <f t="shared" si="0"/>
        <v>Yes</v>
      </c>
      <c r="F48" t="str">
        <f>IF((Table1[[#This Row],[Stock Levels]]+Table3[[#This Row],[Availability]])&lt;Table3[[#This Row],[Reorder Point]], "Yes", "No")</f>
        <v>Yes</v>
      </c>
      <c r="H48" t="str">
        <v>SKU52</v>
      </c>
      <c r="I48" t="str" cm="1">
        <f t="array" ref="I48">_xlfn.XLOOKUP(H48, Table1[[#All],[SKU]], Table1[[#All],[Product Type]])</f>
        <v>Skincare</v>
      </c>
      <c r="J48" t="str">
        <f>VLOOKUP(H48, Table1[[#All],[SKU]:[Costs]], 11, 0)</f>
        <v>Carrier B</v>
      </c>
      <c r="K48" t="str">
        <f>VLOOKUP($H48, Table1[[#All],[SKU]:[Costs]], 13, 0)</f>
        <v>Supplier 1</v>
      </c>
      <c r="L48" t="str">
        <f>VLOOKUP($H48, Table1[[#All],[SKU]:[Costs]], 14, 0)</f>
        <v>Mumbai</v>
      </c>
      <c r="M48" s="1">
        <f>VLOOKUP($H48, Table1[[#All],[SKU]:[Costs]], 12, 0)</f>
        <v>8.6310521797689397</v>
      </c>
      <c r="N48" s="1">
        <f>VLOOKUP($H48, Table1[[#All],[SKU]:[Costs]], 2, 0)</f>
        <v>98.031829656465007</v>
      </c>
      <c r="R48" s="30" t="str">
        <v>SKU77</v>
      </c>
      <c r="S48" s="30" t="str">
        <f>_xlfn.XLOOKUP(R48, Table1[SKU], Table1[Product Type])</f>
        <v>Haircare</v>
      </c>
      <c r="T48" s="30" t="str">
        <f>VLOOKUP('Order Tracker'!R48, Table1[[#All],[SKU]:[Costs]], 21, 0)</f>
        <v>Road</v>
      </c>
      <c r="U48" s="30" t="str">
        <f>VLOOKUP('Order Tracker'!$R48, Table1[[#All],[SKU]:[Costs]], 22, 0)</f>
        <v>Route B</v>
      </c>
      <c r="V48" s="76">
        <f>VLOOKUP('Order Tracker'!$R48, Table1[[#All],[SKU]:[Costs]], 23, 0)</f>
        <v>852.56809891984994</v>
      </c>
      <c r="W48" s="76">
        <f>VLOOKUP('Order Tracker'!$R48, Table1[[#All],[SKU]:[Costs]], 18, 0)</f>
        <v>42.952444748991802</v>
      </c>
      <c r="X48" s="76">
        <f>VLOOKUP('Order Tracker'!$R48, Table1[[#All],[SKU]:[Costs]], 2, 0)</f>
        <v>57.449742958971399</v>
      </c>
    </row>
    <row r="49" spans="1:24" x14ac:dyDescent="0.3">
      <c r="A49" s="4" t="s">
        <v>101</v>
      </c>
      <c r="B49" s="62">
        <f>Table1[[#This Row],[Number Of Products Sold]]/90</f>
        <v>10.111111111111111</v>
      </c>
      <c r="C49" s="14">
        <f>B49*(Table1[[#This Row],[Lead Times]]+Table1[[#This Row],[Shipping Times]])</f>
        <v>242.66666666666666</v>
      </c>
      <c r="D49" s="2">
        <v>93</v>
      </c>
      <c r="E49" s="63" t="str">
        <f t="shared" si="0"/>
        <v>Yes</v>
      </c>
      <c r="F49" t="str">
        <f>IF((Table1[[#This Row],[Stock Levels]]+Table3[[#This Row],[Availability]])&lt;Table3[[#This Row],[Reorder Point]], "Yes", "No")</f>
        <v>Yes</v>
      </c>
      <c r="H49" t="str">
        <v>SKU54</v>
      </c>
      <c r="I49" t="str" cm="1">
        <f t="array" ref="I49">_xlfn.XLOOKUP(H49, Table1[[#All],[SKU]], Table1[[#All],[Product Type]])</f>
        <v>Haircare</v>
      </c>
      <c r="J49" t="str">
        <f>VLOOKUP(H49, Table1[[#All],[SKU]:[Costs]], 11, 0)</f>
        <v>Carrier B</v>
      </c>
      <c r="K49" t="str">
        <f>VLOOKUP($H49, Table1[[#All],[SKU]:[Costs]], 13, 0)</f>
        <v>Supplier 1</v>
      </c>
      <c r="L49" t="str">
        <f>VLOOKUP($H49, Table1[[#All],[SKU]:[Costs]], 14, 0)</f>
        <v>Kolkata</v>
      </c>
      <c r="M49" s="1">
        <f>VLOOKUP($H49, Table1[[#All],[SKU]:[Costs]], 12, 0)</f>
        <v>4.3051034712876302</v>
      </c>
      <c r="N49" s="1">
        <f>VLOOKUP($H49, Table1[[#All],[SKU]:[Costs]], 2, 0)</f>
        <v>31.1462431602408</v>
      </c>
      <c r="R49" s="30" t="str">
        <v>SKU78</v>
      </c>
      <c r="S49" s="30" t="str">
        <f>_xlfn.XLOOKUP(R49, Table1[SKU], Table1[Product Type])</f>
        <v>Haircare</v>
      </c>
      <c r="T49" s="30" t="str">
        <f>VLOOKUP('Order Tracker'!R49, Table1[[#All],[SKU]:[Costs]], 21, 0)</f>
        <v>Sea</v>
      </c>
      <c r="U49" s="30" t="str">
        <f>VLOOKUP('Order Tracker'!$R49, Table1[[#All],[SKU]:[Costs]], 22, 0)</f>
        <v>Route C</v>
      </c>
      <c r="V49" s="76">
        <f>VLOOKUP('Order Tracker'!$R49, Table1[[#All],[SKU]:[Costs]], 23, 0)</f>
        <v>323.59220343132199</v>
      </c>
      <c r="W49" s="76">
        <f>VLOOKUP('Order Tracker'!$R49, Table1[[#All],[SKU]:[Costs]], 18, 0)</f>
        <v>71.126514720403307</v>
      </c>
      <c r="X49" s="76">
        <f>VLOOKUP('Order Tracker'!$R49, Table1[[#All],[SKU]:[Costs]], 2, 0)</f>
        <v>6.30688317611191</v>
      </c>
    </row>
    <row r="50" spans="1:24" x14ac:dyDescent="0.3">
      <c r="A50" s="4" t="s">
        <v>102</v>
      </c>
      <c r="B50" s="62">
        <f>Table1[[#This Row],[Number Of Products Sold]]/90</f>
        <v>0.32222222222222224</v>
      </c>
      <c r="C50" s="14">
        <f>B50*(Table1[[#This Row],[Lead Times]]+Table1[[#This Row],[Shipping Times]])</f>
        <v>6.1222222222222227</v>
      </c>
      <c r="D50" s="2">
        <v>28</v>
      </c>
      <c r="E50" s="63" t="str">
        <f t="shared" si="0"/>
        <v>No</v>
      </c>
      <c r="F50" t="str">
        <f>IF((Table1[[#This Row],[Stock Levels]]+Table3[[#This Row],[Availability]])&lt;Table3[[#This Row],[Reorder Point]], "Yes", "No")</f>
        <v>No</v>
      </c>
      <c r="H50" t="str">
        <v>SKU55</v>
      </c>
      <c r="I50" t="str" cm="1">
        <f t="array" ref="I50">_xlfn.XLOOKUP(H50, Table1[[#All],[SKU]], Table1[[#All],[Product Type]])</f>
        <v>Haircare</v>
      </c>
      <c r="J50" t="str">
        <f>VLOOKUP(H50, Table1[[#All],[SKU]:[Costs]], 11, 0)</f>
        <v>Carrier A</v>
      </c>
      <c r="K50" t="str">
        <f>VLOOKUP($H50, Table1[[#All],[SKU]:[Costs]], 13, 0)</f>
        <v>Supplier 2</v>
      </c>
      <c r="L50" t="str">
        <f>VLOOKUP($H50, Table1[[#All],[SKU]:[Costs]], 14, 0)</f>
        <v>Delhi</v>
      </c>
      <c r="M50" s="1">
        <f>VLOOKUP($H50, Table1[[#All],[SKU]:[Costs]], 12, 0)</f>
        <v>5.0143649550309002</v>
      </c>
      <c r="N50" s="1">
        <f>VLOOKUP($H50, Table1[[#All],[SKU]:[Costs]], 2, 0)</f>
        <v>79.855058340789398</v>
      </c>
      <c r="R50" s="30" t="str">
        <v>SKU80</v>
      </c>
      <c r="S50" s="30" t="str">
        <f>_xlfn.XLOOKUP(R50, Table1[SKU], Table1[Product Type])</f>
        <v>Skincare</v>
      </c>
      <c r="T50" s="30" t="str">
        <f>VLOOKUP('Order Tracker'!R50, Table1[[#All],[SKU]:[Costs]], 21, 0)</f>
        <v>Sea</v>
      </c>
      <c r="U50" s="30" t="str">
        <f>VLOOKUP('Order Tracker'!$R50, Table1[[#All],[SKU]:[Costs]], 22, 0)</f>
        <v>Route B</v>
      </c>
      <c r="V50" s="76">
        <f>VLOOKUP('Order Tracker'!$R50, Table1[[#All],[SKU]:[Costs]], 23, 0)</f>
        <v>787.77985049434403</v>
      </c>
      <c r="W50" s="76">
        <f>VLOOKUP('Order Tracker'!$R50, Table1[[#All],[SKU]:[Costs]], 18, 0)</f>
        <v>76.961228023819999</v>
      </c>
      <c r="X50" s="76">
        <f>VLOOKUP('Order Tracker'!$R50, Table1[[#All],[SKU]:[Costs]], 2, 0)</f>
        <v>91.128318350444303</v>
      </c>
    </row>
    <row r="51" spans="1:24" x14ac:dyDescent="0.3">
      <c r="A51" s="4" t="s">
        <v>103</v>
      </c>
      <c r="B51" s="62">
        <f>Table1[[#This Row],[Number Of Products Sold]]/90</f>
        <v>1.1000000000000001</v>
      </c>
      <c r="C51" s="14">
        <f>B51*(Table1[[#This Row],[Lead Times]]+Table1[[#This Row],[Shipping Times]])</f>
        <v>33</v>
      </c>
      <c r="D51" s="2">
        <v>19</v>
      </c>
      <c r="E51" s="63" t="str">
        <f t="shared" si="0"/>
        <v>Yes</v>
      </c>
      <c r="F51" t="str">
        <f>IF((Table1[[#This Row],[Stock Levels]]+Table3[[#This Row],[Availability]])&lt;Table3[[#This Row],[Reorder Point]], "Yes", "No")</f>
        <v>No</v>
      </c>
      <c r="H51" t="str">
        <v>SKU58</v>
      </c>
      <c r="I51" t="str" cm="1">
        <f t="array" ref="I51">_xlfn.XLOOKUP(H51, Table1[[#All],[SKU]], Table1[[#All],[Product Type]])</f>
        <v>Skincare</v>
      </c>
      <c r="J51" t="str">
        <f>VLOOKUP(H51, Table1[[#All],[SKU]:[Costs]], 11, 0)</f>
        <v>Carrier A</v>
      </c>
      <c r="K51" t="str">
        <f>VLOOKUP($H51, Table1[[#All],[SKU]:[Costs]], 13, 0)</f>
        <v>Supplier 3</v>
      </c>
      <c r="L51" t="str">
        <f>VLOOKUP($H51, Table1[[#All],[SKU]:[Costs]], 14, 0)</f>
        <v>Delhi</v>
      </c>
      <c r="M51" s="1">
        <f>VLOOKUP($H51, Table1[[#All],[SKU]:[Costs]], 12, 0)</f>
        <v>4.9384385647120901</v>
      </c>
      <c r="N51" s="1">
        <f>VLOOKUP($H51, Table1[[#All],[SKU]:[Costs]], 2, 0)</f>
        <v>59.841561377289302</v>
      </c>
      <c r="R51" s="30" t="str">
        <v>SKU81</v>
      </c>
      <c r="S51" s="30" t="str">
        <f>_xlfn.XLOOKUP(R51, Table1[SKU], Table1[Product Type])</f>
        <v>Haircare</v>
      </c>
      <c r="T51" s="30" t="str">
        <f>VLOOKUP('Order Tracker'!R51, Table1[[#All],[SKU]:[Costs]], 21, 0)</f>
        <v>Rail</v>
      </c>
      <c r="U51" s="30" t="str">
        <f>VLOOKUP('Order Tracker'!$R51, Table1[[#All],[SKU]:[Costs]], 22, 0)</f>
        <v>Route B</v>
      </c>
      <c r="V51" s="76">
        <f>VLOOKUP('Order Tracker'!$R51, Table1[[#All],[SKU]:[Costs]], 23, 0)</f>
        <v>276.77833594679799</v>
      </c>
      <c r="W51" s="76">
        <f>VLOOKUP('Order Tracker'!$R51, Table1[[#All],[SKU]:[Costs]], 18, 0)</f>
        <v>19.789592941903599</v>
      </c>
      <c r="X51" s="76">
        <f>VLOOKUP('Order Tracker'!$R51, Table1[[#All],[SKU]:[Costs]], 2, 0)</f>
        <v>72.819206930318202</v>
      </c>
    </row>
    <row r="52" spans="1:24" x14ac:dyDescent="0.3">
      <c r="A52" s="4" t="s">
        <v>104</v>
      </c>
      <c r="B52" s="62">
        <f>Table1[[#This Row],[Number Of Products Sold]]/90</f>
        <v>7.0333333333333332</v>
      </c>
      <c r="C52" s="14">
        <f>B52*(Table1[[#This Row],[Lead Times]]+Table1[[#This Row],[Shipping Times]])</f>
        <v>232.1</v>
      </c>
      <c r="D52" s="2">
        <v>91</v>
      </c>
      <c r="E52" s="63" t="str">
        <f t="shared" si="0"/>
        <v>Yes</v>
      </c>
      <c r="F52" t="str">
        <f>IF((Table1[[#This Row],[Stock Levels]]+Table3[[#This Row],[Availability]])&lt;Table3[[#This Row],[Reorder Point]], "Yes", "No")</f>
        <v>Yes</v>
      </c>
      <c r="H52" t="str">
        <v>SKU59</v>
      </c>
      <c r="I52" t="str" cm="1">
        <f t="array" ref="I52">_xlfn.XLOOKUP(H52, Table1[[#All],[SKU]], Table1[[#All],[Product Type]])</f>
        <v>Cosmetics</v>
      </c>
      <c r="J52" t="str">
        <f>VLOOKUP(H52, Table1[[#All],[SKU]:[Costs]], 11, 0)</f>
        <v>Carrier B</v>
      </c>
      <c r="K52" t="str">
        <f>VLOOKUP($H52, Table1[[#All],[SKU]:[Costs]], 13, 0)</f>
        <v>Supplier 1</v>
      </c>
      <c r="L52" t="str">
        <f>VLOOKUP($H52, Table1[[#All],[SKU]:[Costs]], 14, 0)</f>
        <v>Kolkata</v>
      </c>
      <c r="M52" s="1">
        <f>VLOOKUP($H52, Table1[[#All],[SKU]:[Costs]], 12, 0)</f>
        <v>7.2937225968677204</v>
      </c>
      <c r="N52" s="1">
        <f>VLOOKUP($H52, Table1[[#All],[SKU]:[Costs]], 2, 0)</f>
        <v>63.828398347710902</v>
      </c>
      <c r="R52" s="30" t="str">
        <v>SKU82</v>
      </c>
      <c r="S52" s="30" t="str">
        <f>_xlfn.XLOOKUP(R52, Table1[SKU], Table1[Product Type])</f>
        <v>Skincare</v>
      </c>
      <c r="T52" s="30" t="str">
        <f>VLOOKUP('Order Tracker'!R52, Table1[[#All],[SKU]:[Costs]], 21, 0)</f>
        <v>Road</v>
      </c>
      <c r="U52" s="30" t="str">
        <f>VLOOKUP('Order Tracker'!$R52, Table1[[#All],[SKU]:[Costs]], 22, 0)</f>
        <v>Route C</v>
      </c>
      <c r="V52" s="76">
        <f>VLOOKUP('Order Tracker'!$R52, Table1[[#All],[SKU]:[Costs]], 23, 0)</f>
        <v>589.97855562804</v>
      </c>
      <c r="W52" s="76">
        <f>VLOOKUP('Order Tracker'!$R52, Table1[[#All],[SKU]:[Costs]], 18, 0)</f>
        <v>4.4652784349432402</v>
      </c>
      <c r="X52" s="76">
        <f>VLOOKUP('Order Tracker'!$R52, Table1[[#All],[SKU]:[Costs]], 2, 0)</f>
        <v>17.034930739467899</v>
      </c>
    </row>
    <row r="53" spans="1:24" x14ac:dyDescent="0.3">
      <c r="A53" s="4" t="s">
        <v>105</v>
      </c>
      <c r="B53" s="62">
        <f>Table1[[#This Row],[Number Of Products Sold]]/90</f>
        <v>1.711111111111111</v>
      </c>
      <c r="C53" s="14">
        <f>B53*(Table1[[#This Row],[Lead Times]]+Table1[[#This Row],[Shipping Times]])</f>
        <v>8.5555555555555554</v>
      </c>
      <c r="D53" s="2">
        <v>61</v>
      </c>
      <c r="E53" s="63" t="str">
        <f t="shared" si="0"/>
        <v>No</v>
      </c>
      <c r="F53" t="str">
        <f>IF((Table1[[#This Row],[Stock Levels]]+Table3[[#This Row],[Availability]])&lt;Table3[[#This Row],[Reorder Point]], "Yes", "No")</f>
        <v>No</v>
      </c>
      <c r="H53" t="str">
        <v>SKU60</v>
      </c>
      <c r="I53" t="str" cm="1">
        <f t="array" ref="I53">_xlfn.XLOOKUP(H53, Table1[[#All],[SKU]], Table1[[#All],[Product Type]])</f>
        <v>Skincare</v>
      </c>
      <c r="J53" t="str">
        <f>VLOOKUP(H53, Table1[[#All],[SKU]:[Costs]], 11, 0)</f>
        <v>Carrier C</v>
      </c>
      <c r="K53" t="str">
        <f>VLOOKUP($H53, Table1[[#All],[SKU]:[Costs]], 13, 0)</f>
        <v>Supplier 4</v>
      </c>
      <c r="L53" t="str">
        <f>VLOOKUP($H53, Table1[[#All],[SKU]:[Costs]], 14, 0)</f>
        <v>Mumbai</v>
      </c>
      <c r="M53" s="1">
        <f>VLOOKUP($H53, Table1[[#All],[SKU]:[Costs]], 12, 0)</f>
        <v>4.3813681581023101</v>
      </c>
      <c r="N53" s="1">
        <f>VLOOKUP($H53, Table1[[#All],[SKU]:[Costs]], 2, 0)</f>
        <v>17.028027920188698</v>
      </c>
      <c r="R53" s="30" t="str">
        <v>SKU83</v>
      </c>
      <c r="S53" s="30" t="str">
        <f>_xlfn.XLOOKUP(R53, Table1[SKU], Table1[Product Type])</f>
        <v>Haircare</v>
      </c>
      <c r="T53" s="30" t="str">
        <f>VLOOKUP('Order Tracker'!R53, Table1[[#All],[SKU]:[Costs]], 21, 0)</f>
        <v>Road</v>
      </c>
      <c r="U53" s="30" t="str">
        <f>VLOOKUP('Order Tracker'!$R53, Table1[[#All],[SKU]:[Costs]], 22, 0)</f>
        <v>Route A</v>
      </c>
      <c r="V53" s="76">
        <f>VLOOKUP('Order Tracker'!$R53, Table1[[#All],[SKU]:[Costs]], 23, 0)</f>
        <v>682.97101822609295</v>
      </c>
      <c r="W53" s="76">
        <f>VLOOKUP('Order Tracker'!$R53, Table1[[#All],[SKU]:[Costs]], 18, 0)</f>
        <v>97.730593800533001</v>
      </c>
      <c r="X53" s="76">
        <f>VLOOKUP('Order Tracker'!$R53, Table1[[#All],[SKU]:[Costs]], 2, 0)</f>
        <v>68.911246211606297</v>
      </c>
    </row>
    <row r="54" spans="1:24" x14ac:dyDescent="0.3">
      <c r="A54" s="4" t="s">
        <v>106</v>
      </c>
      <c r="B54" s="62">
        <f>Table1[[#This Row],[Number Of Products Sold]]/90</f>
        <v>9.1111111111111107</v>
      </c>
      <c r="C54" s="14">
        <f>B54*(Table1[[#This Row],[Lead Times]]+Table1[[#This Row],[Shipping Times]])</f>
        <v>109.33333333333333</v>
      </c>
      <c r="D54" s="2">
        <v>1</v>
      </c>
      <c r="E54" s="63" t="str">
        <f t="shared" si="0"/>
        <v>Yes</v>
      </c>
      <c r="F54" t="str">
        <f>IF((Table1[[#This Row],[Stock Levels]]+Table3[[#This Row],[Availability]])&lt;Table3[[#This Row],[Reorder Point]], "Yes", "No")</f>
        <v>Yes</v>
      </c>
      <c r="H54" t="str">
        <v>SKU61</v>
      </c>
      <c r="I54" t="str" cm="1">
        <f t="array" ref="I54">_xlfn.XLOOKUP(H54, Table1[[#All],[SKU]], Table1[[#All],[Product Type]])</f>
        <v>Haircare</v>
      </c>
      <c r="J54" t="str">
        <f>VLOOKUP(H54, Table1[[#All],[SKU]:[Costs]], 11, 0)</f>
        <v>Carrier C</v>
      </c>
      <c r="K54" t="str">
        <f>VLOOKUP($H54, Table1[[#All],[SKU]:[Costs]], 13, 0)</f>
        <v>Supplier 4</v>
      </c>
      <c r="L54" t="str">
        <f>VLOOKUP($H54, Table1[[#All],[SKU]:[Costs]], 14, 0)</f>
        <v>Kolkata</v>
      </c>
      <c r="M54" s="1">
        <f>VLOOKUP($H54, Table1[[#All],[SKU]:[Costs]], 12, 0)</f>
        <v>9.0303404225219399</v>
      </c>
      <c r="N54" s="1">
        <f>VLOOKUP($H54, Table1[[#All],[SKU]:[Costs]], 2, 0)</f>
        <v>52.028749903294901</v>
      </c>
      <c r="R54" s="30" t="str">
        <v>SKU84</v>
      </c>
      <c r="S54" s="30" t="str">
        <f>_xlfn.XLOOKUP(R54, Table1[SKU], Table1[Product Type])</f>
        <v>Haircare</v>
      </c>
      <c r="T54" s="30" t="str">
        <f>VLOOKUP('Order Tracker'!R54, Table1[[#All],[SKU]:[Costs]], 21, 0)</f>
        <v>Air</v>
      </c>
      <c r="U54" s="30" t="str">
        <f>VLOOKUP('Order Tracker'!$R54, Table1[[#All],[SKU]:[Costs]], 22, 0)</f>
        <v>Route B</v>
      </c>
      <c r="V54" s="76">
        <f>VLOOKUP('Order Tracker'!$R54, Table1[[#All],[SKU]:[Costs]], 23, 0)</f>
        <v>465.45700596368698</v>
      </c>
      <c r="W54" s="76">
        <f>VLOOKUP('Order Tracker'!$R54, Table1[[#All],[SKU]:[Costs]], 18, 0)</f>
        <v>33.808636513209002</v>
      </c>
      <c r="X54" s="76">
        <f>VLOOKUP('Order Tracker'!$R54, Table1[[#All],[SKU]:[Costs]], 2, 0)</f>
        <v>89.104367292102197</v>
      </c>
    </row>
    <row r="55" spans="1:24" x14ac:dyDescent="0.3">
      <c r="A55" s="4" t="s">
        <v>107</v>
      </c>
      <c r="B55" s="62">
        <f>Table1[[#This Row],[Number Of Products Sold]]/90</f>
        <v>2.6888888888888891</v>
      </c>
      <c r="C55" s="14">
        <f>B55*(Table1[[#This Row],[Lead Times]]+Table1[[#This Row],[Shipping Times]])</f>
        <v>75.288888888888891</v>
      </c>
      <c r="D55" s="2">
        <v>93</v>
      </c>
      <c r="E55" s="63" t="str">
        <f t="shared" si="0"/>
        <v>No</v>
      </c>
      <c r="F55" t="str">
        <f>IF((Table1[[#This Row],[Stock Levels]]+Table3[[#This Row],[Availability]])&lt;Table3[[#This Row],[Reorder Point]], "Yes", "No")</f>
        <v>No</v>
      </c>
      <c r="H55" t="str">
        <v>SKU63</v>
      </c>
      <c r="I55" t="str" cm="1">
        <f t="array" ref="I55">_xlfn.XLOOKUP(H55, Table1[[#All],[SKU]], Table1[[#All],[Product Type]])</f>
        <v>Skincare</v>
      </c>
      <c r="J55" t="str">
        <f>VLOOKUP(H55, Table1[[#All],[SKU]:[Costs]], 11, 0)</f>
        <v>Carrier A</v>
      </c>
      <c r="K55" t="str">
        <f>VLOOKUP($H55, Table1[[#All],[SKU]:[Costs]], 13, 0)</f>
        <v>Supplier 3</v>
      </c>
      <c r="L55" t="str">
        <f>VLOOKUP($H55, Table1[[#All],[SKU]:[Costs]], 14, 0)</f>
        <v>Bangalore</v>
      </c>
      <c r="M55" s="1">
        <f>VLOOKUP($H55, Table1[[#All],[SKU]:[Costs]], 12, 0)</f>
        <v>2.45793352798733</v>
      </c>
      <c r="N55" s="1">
        <f>VLOOKUP($H55, Table1[[#All],[SKU]:[Costs]], 2, 0)</f>
        <v>13.0173767852878</v>
      </c>
      <c r="R55" s="30" t="str">
        <v>SKU88</v>
      </c>
      <c r="S55" s="30" t="str">
        <f>_xlfn.XLOOKUP(R55, Table1[SKU], Table1[Product Type])</f>
        <v>Cosmetics</v>
      </c>
      <c r="T55" s="30" t="str">
        <f>VLOOKUP('Order Tracker'!R55, Table1[[#All],[SKU]:[Costs]], 21, 0)</f>
        <v>Sea</v>
      </c>
      <c r="U55" s="30" t="str">
        <f>VLOOKUP('Order Tracker'!$R55, Table1[[#All],[SKU]:[Costs]], 22, 0)</f>
        <v>Route A</v>
      </c>
      <c r="V55" s="76">
        <f>VLOOKUP('Order Tracker'!$R55, Table1[[#All],[SKU]:[Costs]], 23, 0)</f>
        <v>103.916247960704</v>
      </c>
      <c r="W55" s="76">
        <f>VLOOKUP('Order Tracker'!$R55, Table1[[#All],[SKU]:[Costs]], 18, 0)</f>
        <v>68.1849190570411</v>
      </c>
      <c r="X55" s="76">
        <f>VLOOKUP('Order Tracker'!$R55, Table1[[#All],[SKU]:[Costs]], 2, 0)</f>
        <v>75.270406975724995</v>
      </c>
    </row>
    <row r="56" spans="1:24" x14ac:dyDescent="0.3">
      <c r="A56" s="4" t="s">
        <v>108</v>
      </c>
      <c r="B56" s="62">
        <f>Table1[[#This Row],[Number Of Products Sold]]/90</f>
        <v>6.9111111111111114</v>
      </c>
      <c r="C56" s="14">
        <f>B56*(Table1[[#This Row],[Lead Times]]+Table1[[#This Row],[Shipping Times]])</f>
        <v>172.77777777777777</v>
      </c>
      <c r="D56" s="2">
        <v>11</v>
      </c>
      <c r="E56" s="63" t="str">
        <f t="shared" si="0"/>
        <v>Yes</v>
      </c>
      <c r="F56" t="str">
        <f>IF((Table1[[#This Row],[Stock Levels]]+Table3[[#This Row],[Availability]])&lt;Table3[[#This Row],[Reorder Point]], "Yes", "No")</f>
        <v>Yes</v>
      </c>
      <c r="H56" t="str">
        <v>SKU64</v>
      </c>
      <c r="I56" t="str" cm="1">
        <f t="array" ref="I56">_xlfn.XLOOKUP(H56, Table1[[#All],[SKU]], Table1[[#All],[Product Type]])</f>
        <v>Skincare</v>
      </c>
      <c r="J56" t="str">
        <f>VLOOKUP(H56, Table1[[#All],[SKU]:[Costs]], 11, 0)</f>
        <v>Carrier C</v>
      </c>
      <c r="K56" t="str">
        <f>VLOOKUP($H56, Table1[[#All],[SKU]:[Costs]], 13, 0)</f>
        <v>Supplier 1</v>
      </c>
      <c r="L56" t="str">
        <f>VLOOKUP($H56, Table1[[#All],[SKU]:[Costs]], 14, 0)</f>
        <v>Delhi</v>
      </c>
      <c r="M56" s="1">
        <f>VLOOKUP($H56, Table1[[#All],[SKU]:[Costs]], 12, 0)</f>
        <v>4.5853534681946497</v>
      </c>
      <c r="N56" s="1">
        <f>VLOOKUP($H56, Table1[[#All],[SKU]:[Costs]], 2, 0)</f>
        <v>89.634095608135297</v>
      </c>
      <c r="R56" s="30" t="str">
        <v>SKU91</v>
      </c>
      <c r="S56" s="30" t="str">
        <f>_xlfn.XLOOKUP(R56, Table1[SKU], Table1[Product Type])</f>
        <v>Cosmetics</v>
      </c>
      <c r="T56" s="30" t="str">
        <f>VLOOKUP('Order Tracker'!R56, Table1[[#All],[SKU]:[Costs]], 21, 0)</f>
        <v>Rail</v>
      </c>
      <c r="U56" s="30" t="str">
        <f>VLOOKUP('Order Tracker'!$R56, Table1[[#All],[SKU]:[Costs]], 22, 0)</f>
        <v>Route B</v>
      </c>
      <c r="V56" s="76">
        <f>VLOOKUP('Order Tracker'!$R56, Table1[[#All],[SKU]:[Costs]], 23, 0)</f>
        <v>996.77831495062298</v>
      </c>
      <c r="W56" s="76">
        <f>VLOOKUP('Order Tracker'!$R56, Table1[[#All],[SKU]:[Costs]], 18, 0)</f>
        <v>39.772882502339897</v>
      </c>
      <c r="X56" s="76">
        <f>VLOOKUP('Order Tracker'!$R56, Table1[[#All],[SKU]:[Costs]], 2, 0)</f>
        <v>62.111965463961702</v>
      </c>
    </row>
    <row r="57" spans="1:24" x14ac:dyDescent="0.3">
      <c r="A57" s="4" t="s">
        <v>109</v>
      </c>
      <c r="B57" s="62">
        <f>Table1[[#This Row],[Number Of Products Sold]]/90</f>
        <v>7.7888888888888888</v>
      </c>
      <c r="C57" s="14">
        <f>B57*(Table1[[#This Row],[Lead Times]]+Table1[[#This Row],[Shipping Times]])</f>
        <v>124.62222222222222</v>
      </c>
      <c r="D57" s="2">
        <v>16</v>
      </c>
      <c r="E57" s="63" t="str">
        <f t="shared" si="0"/>
        <v>Yes</v>
      </c>
      <c r="F57" t="str">
        <f>IF((Table1[[#This Row],[Stock Levels]]+Table3[[#This Row],[Availability]])&lt;Table3[[#This Row],[Reorder Point]], "Yes", "No")</f>
        <v>Yes</v>
      </c>
      <c r="H57" t="str">
        <v>SKU65</v>
      </c>
      <c r="I57" t="str" cm="1">
        <f t="array" ref="I57">_xlfn.XLOOKUP(H57, Table1[[#All],[SKU]], Table1[[#All],[Product Type]])</f>
        <v>Skincare</v>
      </c>
      <c r="J57" t="str">
        <f>VLOOKUP(H57, Table1[[#All],[SKU]:[Costs]], 11, 0)</f>
        <v>Carrier C</v>
      </c>
      <c r="K57" t="str">
        <f>VLOOKUP($H57, Table1[[#All],[SKU]:[Costs]], 13, 0)</f>
        <v>Supplier 5</v>
      </c>
      <c r="L57" t="str">
        <f>VLOOKUP($H57, Table1[[#All],[SKU]:[Costs]], 14, 0)</f>
        <v>Kolkata</v>
      </c>
      <c r="M57" s="1">
        <f>VLOOKUP($H57, Table1[[#All],[SKU]:[Costs]], 12, 0)</f>
        <v>6.5805413478845898</v>
      </c>
      <c r="N57" s="1">
        <f>VLOOKUP($H57, Table1[[#All],[SKU]:[Costs]], 2, 0)</f>
        <v>33.697717206643098</v>
      </c>
      <c r="R57" s="30" t="str">
        <v>SKU94</v>
      </c>
      <c r="S57" s="30" t="str">
        <f>_xlfn.XLOOKUP(R57, Table1[SKU], Table1[Product Type])</f>
        <v>Cosmetics</v>
      </c>
      <c r="T57" s="30" t="str">
        <f>VLOOKUP('Order Tracker'!R57, Table1[[#All],[SKU]:[Costs]], 21, 0)</f>
        <v>Rail</v>
      </c>
      <c r="U57" s="30" t="str">
        <f>VLOOKUP('Order Tracker'!$R57, Table1[[#All],[SKU]:[Costs]], 22, 0)</f>
        <v>Route B</v>
      </c>
      <c r="V57" s="76">
        <f>VLOOKUP('Order Tracker'!$R57, Table1[[#All],[SKU]:[Costs]], 23, 0)</f>
        <v>846.66525698669398</v>
      </c>
      <c r="W57" s="76">
        <f>VLOOKUP('Order Tracker'!$R57, Table1[[#All],[SKU]:[Costs]], 18, 0)</f>
        <v>60.387378614862101</v>
      </c>
      <c r="X57" s="76">
        <f>VLOOKUP('Order Tracker'!$R57, Table1[[#All],[SKU]:[Costs]], 2, 0)</f>
        <v>3.0376887246314102</v>
      </c>
    </row>
    <row r="58" spans="1:24" x14ac:dyDescent="0.3">
      <c r="A58" s="4" t="s">
        <v>110</v>
      </c>
      <c r="B58" s="62">
        <f>Table1[[#This Row],[Number Of Products Sold]]/90</f>
        <v>1.0333333333333334</v>
      </c>
      <c r="C58" s="14">
        <f>B58*(Table1[[#This Row],[Lead Times]]+Table1[[#This Row],[Shipping Times]])</f>
        <v>28.933333333333337</v>
      </c>
      <c r="D58" s="2">
        <v>90</v>
      </c>
      <c r="E58" s="63" t="str">
        <f t="shared" si="0"/>
        <v>No</v>
      </c>
      <c r="F58" t="str">
        <f>IF((Table1[[#This Row],[Stock Levels]]+Table3[[#This Row],[Availability]])&lt;Table3[[#This Row],[Reorder Point]], "Yes", "No")</f>
        <v>No</v>
      </c>
      <c r="H58" t="str">
        <v>SKU66</v>
      </c>
      <c r="I58" t="str" cm="1">
        <f t="array" ref="I58">_xlfn.XLOOKUP(H58, Table1[[#All],[SKU]], Table1[[#All],[Product Type]])</f>
        <v>Skincare</v>
      </c>
      <c r="J58" t="str">
        <f>VLOOKUP(H58, Table1[[#All],[SKU]:[Costs]], 11, 0)</f>
        <v>Carrier A</v>
      </c>
      <c r="K58" t="str">
        <f>VLOOKUP($H58, Table1[[#All],[SKU]:[Costs]], 13, 0)</f>
        <v>Supplier 5</v>
      </c>
      <c r="L58" t="str">
        <f>VLOOKUP($H58, Table1[[#All],[SKU]:[Costs]], 14, 0)</f>
        <v>Kolkata</v>
      </c>
      <c r="M58" s="1">
        <f>VLOOKUP($H58, Table1[[#All],[SKU]:[Costs]], 12, 0)</f>
        <v>2.2161427287713602</v>
      </c>
      <c r="N58" s="1">
        <f>VLOOKUP($H58, Table1[[#All],[SKU]:[Costs]], 2, 0)</f>
        <v>26.034869773962001</v>
      </c>
      <c r="R58" s="30" t="str">
        <v>SKU95</v>
      </c>
      <c r="S58" s="30" t="str">
        <f>_xlfn.XLOOKUP(R58, Table1[SKU], Table1[Product Type])</f>
        <v>Haircare</v>
      </c>
      <c r="T58" s="30" t="str">
        <f>VLOOKUP('Order Tracker'!R58, Table1[[#All],[SKU]:[Costs]], 21, 0)</f>
        <v>Air</v>
      </c>
      <c r="U58" s="30" t="str">
        <f>VLOOKUP('Order Tracker'!$R58, Table1[[#All],[SKU]:[Costs]], 22, 0)</f>
        <v>Route A</v>
      </c>
      <c r="V58" s="76">
        <f>VLOOKUP('Order Tracker'!$R58, Table1[[#All],[SKU]:[Costs]], 23, 0)</f>
        <v>778.86424137664699</v>
      </c>
      <c r="W58" s="76">
        <f>VLOOKUP('Order Tracker'!$R58, Table1[[#All],[SKU]:[Costs]], 18, 0)</f>
        <v>58.890685768589897</v>
      </c>
      <c r="X58" s="76">
        <f>VLOOKUP('Order Tracker'!$R58, Table1[[#All],[SKU]:[Costs]], 2, 0)</f>
        <v>77.903927219447695</v>
      </c>
    </row>
    <row r="59" spans="1:24" x14ac:dyDescent="0.3">
      <c r="A59" s="4" t="s">
        <v>111</v>
      </c>
      <c r="B59" s="62">
        <f>Table1[[#This Row],[Number Of Products Sold]]/90</f>
        <v>2.5222222222222221</v>
      </c>
      <c r="C59" s="14">
        <f>B59*(Table1[[#This Row],[Lead Times]]+Table1[[#This Row],[Shipping Times]])</f>
        <v>47.922222222222217</v>
      </c>
      <c r="D59" s="2">
        <v>65</v>
      </c>
      <c r="E59" s="63" t="str">
        <f t="shared" si="0"/>
        <v>No</v>
      </c>
      <c r="F59" t="str">
        <f>IF((Table1[[#This Row],[Stock Levels]]+Table3[[#This Row],[Availability]])&lt;Table3[[#This Row],[Reorder Point]], "Yes", "No")</f>
        <v>No</v>
      </c>
      <c r="H59" t="str">
        <v>SKU67</v>
      </c>
      <c r="I59" t="str" cm="1">
        <f t="array" ref="I59">_xlfn.XLOOKUP(H59, Table1[[#All],[SKU]], Table1[[#All],[Product Type]])</f>
        <v>Skincare</v>
      </c>
      <c r="J59" t="str">
        <f>VLOOKUP(H59, Table1[[#All],[SKU]:[Costs]], 11, 0)</f>
        <v>Carrier C</v>
      </c>
      <c r="K59" t="str">
        <f>VLOOKUP($H59, Table1[[#All],[SKU]:[Costs]], 13, 0)</f>
        <v>Supplier 1</v>
      </c>
      <c r="L59" t="str">
        <f>VLOOKUP($H59, Table1[[#All],[SKU]:[Costs]], 14, 0)</f>
        <v>Mumbai</v>
      </c>
      <c r="M59" s="1">
        <f>VLOOKUP($H59, Table1[[#All],[SKU]:[Costs]], 12, 0)</f>
        <v>9.1478115447106294</v>
      </c>
      <c r="N59" s="1">
        <f>VLOOKUP($H59, Table1[[#All],[SKU]:[Costs]], 2, 0)</f>
        <v>87.755432354001002</v>
      </c>
      <c r="R59" s="30" t="str">
        <v>SKU99</v>
      </c>
      <c r="S59" s="30" t="str">
        <f>_xlfn.XLOOKUP(R59, Table1[SKU], Table1[Product Type])</f>
        <v>Haircare</v>
      </c>
      <c r="T59" s="30" t="str">
        <f>VLOOKUP('Order Tracker'!R59, Table1[[#All],[SKU]:[Costs]], 21, 0)</f>
        <v>Rail</v>
      </c>
      <c r="U59" s="30" t="str">
        <f>VLOOKUP('Order Tracker'!$R59, Table1[[#All],[SKU]:[Costs]], 22, 0)</f>
        <v>Route B</v>
      </c>
      <c r="V59" s="76">
        <f>VLOOKUP('Order Tracker'!$R59, Table1[[#All],[SKU]:[Costs]], 23, 0)</f>
        <v>210.743008964246</v>
      </c>
      <c r="W59" s="76">
        <f>VLOOKUP('Order Tracker'!$R59, Table1[[#All],[SKU]:[Costs]], 18, 0)</f>
        <v>38.072898520625998</v>
      </c>
      <c r="X59" s="76">
        <f>VLOOKUP('Order Tracker'!$R59, Table1[[#All],[SKU]:[Costs]], 2, 0)</f>
        <v>68.517832699276596</v>
      </c>
    </row>
    <row r="60" spans="1:24" x14ac:dyDescent="0.3">
      <c r="A60" s="4" t="s">
        <v>112</v>
      </c>
      <c r="B60" s="62">
        <f>Table1[[#This Row],[Number Of Products Sold]]/90</f>
        <v>9.9555555555555557</v>
      </c>
      <c r="C60" s="14">
        <f>B60*(Table1[[#This Row],[Lead Times]]+Table1[[#This Row],[Shipping Times]])</f>
        <v>119.46666666666667</v>
      </c>
      <c r="D60" s="2">
        <v>81</v>
      </c>
      <c r="E60" s="63" t="str">
        <f t="shared" si="0"/>
        <v>Yes</v>
      </c>
      <c r="F60" t="str">
        <f>IF((Table1[[#This Row],[Stock Levels]]+Table3[[#This Row],[Availability]])&lt;Table3[[#This Row],[Reorder Point]], "Yes", "No")</f>
        <v>Yes</v>
      </c>
      <c r="H60" t="str">
        <v>SKU71</v>
      </c>
      <c r="I60" t="str" cm="1">
        <f t="array" ref="I60">_xlfn.XLOOKUP(H60, Table1[[#All],[SKU]], Table1[[#All],[Product Type]])</f>
        <v>Cosmetics</v>
      </c>
      <c r="J60" t="str">
        <f>VLOOKUP(H60, Table1[[#All],[SKU]:[Costs]], 11, 0)</f>
        <v>Carrier A</v>
      </c>
      <c r="K60" t="str">
        <f>VLOOKUP($H60, Table1[[#All],[SKU]:[Costs]], 13, 0)</f>
        <v>Supplier 2</v>
      </c>
      <c r="L60" t="str">
        <f>VLOOKUP($H60, Table1[[#All],[SKU]:[Costs]], 14, 0)</f>
        <v>Bangalore</v>
      </c>
      <c r="M60" s="1">
        <f>VLOOKUP($H60, Table1[[#All],[SKU]:[Costs]], 12, 0)</f>
        <v>9.2281903170525101</v>
      </c>
      <c r="N60" s="1">
        <f>VLOOKUP($H60, Table1[[#All],[SKU]:[Costs]], 2, 0)</f>
        <v>6.3815331627479601</v>
      </c>
    </row>
    <row r="61" spans="1:24" x14ac:dyDescent="0.3">
      <c r="A61" s="4" t="s">
        <v>113</v>
      </c>
      <c r="B61" s="62">
        <f>Table1[[#This Row],[Number Of Products Sold]]/90</f>
        <v>5.3777777777777782</v>
      </c>
      <c r="C61" s="14">
        <f>B61*(Table1[[#This Row],[Lead Times]]+Table1[[#This Row],[Shipping Times]])</f>
        <v>123.6888888888889</v>
      </c>
      <c r="D61" s="2">
        <v>30</v>
      </c>
      <c r="E61" s="63" t="str">
        <f t="shared" si="0"/>
        <v>Yes</v>
      </c>
      <c r="F61" t="str">
        <f>IF((Table1[[#This Row],[Stock Levels]]+Table3[[#This Row],[Availability]])&lt;Table3[[#This Row],[Reorder Point]], "Yes", "No")</f>
        <v>No</v>
      </c>
      <c r="H61" t="str">
        <v>SKU72</v>
      </c>
      <c r="I61" t="str" cm="1">
        <f t="array" ref="I61">_xlfn.XLOOKUP(H61, Table1[[#All],[SKU]], Table1[[#All],[Product Type]])</f>
        <v>Cosmetics</v>
      </c>
      <c r="J61" t="str">
        <f>VLOOKUP(H61, Table1[[#All],[SKU]:[Costs]], 11, 0)</f>
        <v>Carrier A</v>
      </c>
      <c r="K61" t="str">
        <f>VLOOKUP($H61, Table1[[#All],[SKU]:[Costs]], 13, 0)</f>
        <v>Supplier 1</v>
      </c>
      <c r="L61" t="str">
        <f>VLOOKUP($H61, Table1[[#All],[SKU]:[Costs]], 14, 0)</f>
        <v>Bangalore</v>
      </c>
      <c r="M61" s="1">
        <f>VLOOKUP($H61, Table1[[#All],[SKU]:[Costs]], 12, 0)</f>
        <v>6.5996141596895397</v>
      </c>
      <c r="N61" s="1">
        <f>VLOOKUP($H61, Table1[[#All],[SKU]:[Costs]], 2, 0)</f>
        <v>90.204427520528</v>
      </c>
    </row>
    <row r="62" spans="1:24" x14ac:dyDescent="0.3">
      <c r="A62" s="4" t="s">
        <v>114</v>
      </c>
      <c r="B62" s="62">
        <f>Table1[[#This Row],[Number Of Products Sold]]/90</f>
        <v>4.2222222222222223</v>
      </c>
      <c r="C62" s="14">
        <f>B62*(Table1[[#This Row],[Lead Times]]+Table1[[#This Row],[Shipping Times]])</f>
        <v>147.77777777777777</v>
      </c>
      <c r="D62" s="2">
        <v>16</v>
      </c>
      <c r="E62" s="63" t="str">
        <f t="shared" si="0"/>
        <v>Yes</v>
      </c>
      <c r="F62" t="str">
        <f>IF((Table1[[#This Row],[Stock Levels]]+Table3[[#This Row],[Availability]])&lt;Table3[[#This Row],[Reorder Point]], "Yes", "No")</f>
        <v>Yes</v>
      </c>
      <c r="H62" t="str">
        <v>SKU73</v>
      </c>
      <c r="I62" t="str" cm="1">
        <f t="array" ref="I62">_xlfn.XLOOKUP(H62, Table1[[#All],[SKU]], Table1[[#All],[Product Type]])</f>
        <v>Cosmetics</v>
      </c>
      <c r="J62" t="str">
        <f>VLOOKUP(H62, Table1[[#All],[SKU]:[Costs]], 11, 0)</f>
        <v>Carrier B</v>
      </c>
      <c r="K62" t="str">
        <f>VLOOKUP($H62, Table1[[#All],[SKU]:[Costs]], 13, 0)</f>
        <v>Supplier 4</v>
      </c>
      <c r="L62" t="str">
        <f>VLOOKUP($H62, Table1[[#All],[SKU]:[Costs]], 14, 0)</f>
        <v>Chennai</v>
      </c>
      <c r="M62" s="1">
        <f>VLOOKUP($H62, Table1[[#All],[SKU]:[Costs]], 12, 0)</f>
        <v>1.5129368369160701</v>
      </c>
      <c r="N62" s="1">
        <f>VLOOKUP($H62, Table1[[#All],[SKU]:[Costs]], 2, 0)</f>
        <v>83.851017681304597</v>
      </c>
    </row>
    <row r="63" spans="1:24" x14ac:dyDescent="0.3">
      <c r="A63" s="4" t="s">
        <v>115</v>
      </c>
      <c r="B63" s="62">
        <f>Table1[[#This Row],[Number Of Products Sold]]/90</f>
        <v>1.3</v>
      </c>
      <c r="C63" s="14">
        <f>B63*(Table1[[#This Row],[Lead Times]]+Table1[[#This Row],[Shipping Times]])</f>
        <v>39</v>
      </c>
      <c r="D63" s="2">
        <v>23</v>
      </c>
      <c r="E63" s="63" t="str">
        <f t="shared" si="0"/>
        <v>Yes</v>
      </c>
      <c r="F63" t="str">
        <f>IF((Table1[[#This Row],[Stock Levels]]+Table3[[#This Row],[Availability]])&lt;Table3[[#This Row],[Reorder Point]], "Yes", "No")</f>
        <v>No</v>
      </c>
      <c r="H63" t="str">
        <v>SKU74</v>
      </c>
      <c r="I63" t="str" cm="1">
        <f t="array" ref="I63">_xlfn.XLOOKUP(H63, Table1[[#All],[SKU]], Table1[[#All],[Product Type]])</f>
        <v>Haircare</v>
      </c>
      <c r="J63" t="str">
        <f>VLOOKUP(H63, Table1[[#All],[SKU]:[Costs]], 11, 0)</f>
        <v>Carrier A</v>
      </c>
      <c r="K63" t="str">
        <f>VLOOKUP($H63, Table1[[#All],[SKU]:[Costs]], 13, 0)</f>
        <v>Supplier 4</v>
      </c>
      <c r="L63" t="str">
        <f>VLOOKUP($H63, Table1[[#All],[SKU]:[Costs]], 14, 0)</f>
        <v>Delhi</v>
      </c>
      <c r="M63" s="1">
        <f>VLOOKUP($H63, Table1[[#All],[SKU]:[Costs]], 12, 0)</f>
        <v>5.2376546500374399</v>
      </c>
      <c r="N63" s="1">
        <f>VLOOKUP($H63, Table1[[#All],[SKU]:[Costs]], 2, 0)</f>
        <v>3.1700114135661499</v>
      </c>
    </row>
    <row r="64" spans="1:24" x14ac:dyDescent="0.3">
      <c r="A64" s="4" t="s">
        <v>116</v>
      </c>
      <c r="B64" s="62">
        <f>Table1[[#This Row],[Number Of Products Sold]]/90</f>
        <v>3</v>
      </c>
      <c r="C64" s="14">
        <f>B64*(Table1[[#This Row],[Lead Times]]+Table1[[#This Row],[Shipping Times]])</f>
        <v>27</v>
      </c>
      <c r="D64" s="2">
        <v>89</v>
      </c>
      <c r="E64" s="63" t="str">
        <f t="shared" si="0"/>
        <v>No</v>
      </c>
      <c r="F64" t="str">
        <f>IF((Table1[[#This Row],[Stock Levels]]+Table3[[#This Row],[Availability]])&lt;Table3[[#This Row],[Reorder Point]], "Yes", "No")</f>
        <v>No</v>
      </c>
      <c r="H64" t="str">
        <v>SKU75</v>
      </c>
      <c r="I64" t="str" cm="1">
        <f t="array" ref="I64">_xlfn.XLOOKUP(H64, Table1[[#All],[SKU]], Table1[[#All],[Product Type]])</f>
        <v>Skincare</v>
      </c>
      <c r="J64" t="str">
        <f>VLOOKUP(H64, Table1[[#All],[SKU]:[Costs]], 11, 0)</f>
        <v>Carrier C</v>
      </c>
      <c r="K64" t="str">
        <f>VLOOKUP($H64, Table1[[#All],[SKU]:[Costs]], 13, 0)</f>
        <v>Supplier 1</v>
      </c>
      <c r="L64" t="str">
        <f>VLOOKUP($H64, Table1[[#All],[SKU]:[Costs]], 14, 0)</f>
        <v>Chennai</v>
      </c>
      <c r="M64" s="1">
        <f>VLOOKUP($H64, Table1[[#All],[SKU]:[Costs]], 12, 0)</f>
        <v>2.47389776104546</v>
      </c>
      <c r="N64" s="1">
        <f>VLOOKUP($H64, Table1[[#All],[SKU]:[Costs]], 2, 0)</f>
        <v>92.996884233970604</v>
      </c>
    </row>
    <row r="65" spans="1:14" x14ac:dyDescent="0.3">
      <c r="A65" s="4" t="s">
        <v>117</v>
      </c>
      <c r="B65" s="62">
        <f>Table1[[#This Row],[Number Of Products Sold]]/90</f>
        <v>2.7333333333333334</v>
      </c>
      <c r="C65" s="14">
        <f>B65*(Table1[[#This Row],[Lead Times]]+Table1[[#This Row],[Shipping Times]])</f>
        <v>62.866666666666667</v>
      </c>
      <c r="D65" s="2">
        <v>55</v>
      </c>
      <c r="E65" s="63" t="str">
        <f t="shared" si="0"/>
        <v>Yes</v>
      </c>
      <c r="F65" t="str">
        <f>IF((Table1[[#This Row],[Stock Levels]]+Table3[[#This Row],[Availability]])&lt;Table3[[#This Row],[Reorder Point]], "Yes", "No")</f>
        <v>No</v>
      </c>
      <c r="H65" t="str">
        <v>SKU76</v>
      </c>
      <c r="I65" t="str" cm="1">
        <f t="array" ref="I65">_xlfn.XLOOKUP(H65, Table1[[#All],[SKU]], Table1[[#All],[Product Type]])</f>
        <v>Haircare</v>
      </c>
      <c r="J65" t="str">
        <f>VLOOKUP(H65, Table1[[#All],[SKU]:[Costs]], 11, 0)</f>
        <v>Carrier A</v>
      </c>
      <c r="K65" t="str">
        <f>VLOOKUP($H65, Table1[[#All],[SKU]:[Costs]], 13, 0)</f>
        <v>Supplier 2</v>
      </c>
      <c r="L65" t="str">
        <f>VLOOKUP($H65, Table1[[#All],[SKU]:[Costs]], 14, 0)</f>
        <v>Bangalore</v>
      </c>
      <c r="M65" s="1">
        <f>VLOOKUP($H65, Table1[[#All],[SKU]:[Costs]], 12, 0)</f>
        <v>7.0545383368369201</v>
      </c>
      <c r="N65" s="1">
        <f>VLOOKUP($H65, Table1[[#All],[SKU]:[Costs]], 2, 0)</f>
        <v>69.108799547430294</v>
      </c>
    </row>
    <row r="66" spans="1:14" x14ac:dyDescent="0.3">
      <c r="A66" s="4" t="s">
        <v>118</v>
      </c>
      <c r="B66" s="62">
        <f>Table1[[#This Row],[Number Of Products Sold]]/90</f>
        <v>1.4888888888888889</v>
      </c>
      <c r="C66" s="14">
        <f>B66*(Table1[[#This Row],[Lead Times]]+Table1[[#This Row],[Shipping Times]])</f>
        <v>49.133333333333333</v>
      </c>
      <c r="D66" s="2">
        <v>11</v>
      </c>
      <c r="E66" s="63" t="str">
        <f t="shared" si="0"/>
        <v>Yes</v>
      </c>
      <c r="F66" t="str">
        <f>IF((Table1[[#This Row],[Stock Levels]]+Table3[[#This Row],[Availability]])&lt;Table3[[#This Row],[Reorder Point]], "Yes", "No")</f>
        <v>No</v>
      </c>
      <c r="H66" t="str">
        <v>SKU77</v>
      </c>
      <c r="I66" t="str" cm="1">
        <f t="array" ref="I66">_xlfn.XLOOKUP(H66, Table1[[#All],[SKU]], Table1[[#All],[Product Type]])</f>
        <v>Haircare</v>
      </c>
      <c r="J66" t="str">
        <f>VLOOKUP(H66, Table1[[#All],[SKU]:[Costs]], 11, 0)</f>
        <v>Carrier B</v>
      </c>
      <c r="K66" t="str">
        <f>VLOOKUP($H66, Table1[[#All],[SKU]:[Costs]], 13, 0)</f>
        <v>Supplier 1</v>
      </c>
      <c r="L66" t="str">
        <f>VLOOKUP($H66, Table1[[#All],[SKU]:[Costs]], 14, 0)</f>
        <v>Kolkata</v>
      </c>
      <c r="M66" s="1">
        <f>VLOOKUP($H66, Table1[[#All],[SKU]:[Costs]], 12, 0)</f>
        <v>6.7809466256178901</v>
      </c>
      <c r="N66" s="1">
        <f>VLOOKUP($H66, Table1[[#All],[SKU]:[Costs]], 2, 0)</f>
        <v>57.449742958971399</v>
      </c>
    </row>
    <row r="67" spans="1:14" x14ac:dyDescent="0.3">
      <c r="A67" s="4" t="s">
        <v>119</v>
      </c>
      <c r="B67" s="62">
        <f>Table1[[#This Row],[Number Of Products Sold]]/90</f>
        <v>5.0777777777777775</v>
      </c>
      <c r="C67" s="14">
        <f>B67*(Table1[[#This Row],[Lead Times]]+Table1[[#This Row],[Shipping Times]])</f>
        <v>162.48888888888888</v>
      </c>
      <c r="D67" s="2">
        <v>72</v>
      </c>
      <c r="E67" s="63" t="str">
        <f t="shared" ref="E67:E101" si="7">IF(D67&lt;C67, "Yes", "No")</f>
        <v>Yes</v>
      </c>
      <c r="F67" t="str">
        <f>IF((Table1[[#This Row],[Stock Levels]]+Table3[[#This Row],[Availability]])&lt;Table3[[#This Row],[Reorder Point]], "Yes", "No")</f>
        <v>Yes</v>
      </c>
      <c r="H67" t="str">
        <v>SKU78</v>
      </c>
      <c r="I67" t="str" cm="1">
        <f t="array" ref="I67">_xlfn.XLOOKUP(H67, Table1[[#All],[SKU]], Table1[[#All],[Product Type]])</f>
        <v>Haircare</v>
      </c>
      <c r="J67" t="str">
        <f>VLOOKUP(H67, Table1[[#All],[SKU]:[Costs]], 11, 0)</f>
        <v>Carrier B</v>
      </c>
      <c r="K67" t="str">
        <f>VLOOKUP($H67, Table1[[#All],[SKU]:[Costs]], 13, 0)</f>
        <v>Supplier 5</v>
      </c>
      <c r="L67" t="str">
        <f>VLOOKUP($H67, Table1[[#All],[SKU]:[Costs]], 14, 0)</f>
        <v>Mumbai</v>
      </c>
      <c r="M67" s="1">
        <f>VLOOKUP($H67, Table1[[#All],[SKU]:[Costs]], 12, 0)</f>
        <v>8.4670497708619905</v>
      </c>
      <c r="N67" s="1">
        <f>VLOOKUP($H67, Table1[[#All],[SKU]:[Costs]], 2, 0)</f>
        <v>6.30688317611191</v>
      </c>
    </row>
    <row r="68" spans="1:14" x14ac:dyDescent="0.3">
      <c r="A68" s="4" t="s">
        <v>120</v>
      </c>
      <c r="B68" s="62">
        <f>Table1[[#This Row],[Number Of Products Sold]]/90</f>
        <v>7.822222222222222</v>
      </c>
      <c r="C68" s="14">
        <f>B68*(Table1[[#This Row],[Lead Times]]+Table1[[#This Row],[Shipping Times]])</f>
        <v>195.55555555555554</v>
      </c>
      <c r="D68" s="2">
        <v>52</v>
      </c>
      <c r="E68" s="63" t="str">
        <f t="shared" si="7"/>
        <v>Yes</v>
      </c>
      <c r="F68" t="str">
        <f>IF((Table1[[#This Row],[Stock Levels]]+Table3[[#This Row],[Availability]])&lt;Table3[[#This Row],[Reorder Point]], "Yes", "No")</f>
        <v>Yes</v>
      </c>
      <c r="H68" t="str">
        <v>SKU79</v>
      </c>
      <c r="I68" t="str" cm="1">
        <f t="array" ref="I68">_xlfn.XLOOKUP(H68, Table1[[#All],[SKU]], Table1[[#All],[Product Type]])</f>
        <v>Haircare</v>
      </c>
      <c r="J68" t="str">
        <f>VLOOKUP(H68, Table1[[#All],[SKU]:[Costs]], 11, 0)</f>
        <v>Carrier B</v>
      </c>
      <c r="K68" t="str">
        <f>VLOOKUP($H68, Table1[[#All],[SKU]:[Costs]], 13, 0)</f>
        <v>Supplier 3</v>
      </c>
      <c r="L68" t="str">
        <f>VLOOKUP($H68, Table1[[#All],[SKU]:[Costs]], 14, 0)</f>
        <v>Bangalore</v>
      </c>
      <c r="M68" s="1">
        <f>VLOOKUP($H68, Table1[[#All],[SKU]:[Costs]], 12, 0)</f>
        <v>6.49632536429504</v>
      </c>
      <c r="N68" s="1">
        <f>VLOOKUP($H68, Table1[[#All],[SKU]:[Costs]], 2, 0)</f>
        <v>57.057031221103202</v>
      </c>
    </row>
    <row r="69" spans="1:14" x14ac:dyDescent="0.3">
      <c r="A69" s="4" t="s">
        <v>121</v>
      </c>
      <c r="B69" s="62">
        <f>Table1[[#This Row],[Number Of Products Sold]]/90</f>
        <v>5.7</v>
      </c>
      <c r="C69" s="14">
        <f>B69*(Table1[[#This Row],[Lead Times]]+Table1[[#This Row],[Shipping Times]])</f>
        <v>102.60000000000001</v>
      </c>
      <c r="D69" s="2">
        <v>16</v>
      </c>
      <c r="E69" s="63" t="str">
        <f t="shared" si="7"/>
        <v>Yes</v>
      </c>
      <c r="F69" t="str">
        <f>IF((Table1[[#This Row],[Stock Levels]]+Table3[[#This Row],[Availability]])&lt;Table3[[#This Row],[Reorder Point]], "Yes", "No")</f>
        <v>Yes</v>
      </c>
      <c r="H69" t="str">
        <v>SKU80</v>
      </c>
      <c r="I69" t="str" cm="1">
        <f t="array" ref="I69">_xlfn.XLOOKUP(H69, Table1[[#All],[SKU]], Table1[[#All],[Product Type]])</f>
        <v>Skincare</v>
      </c>
      <c r="J69" t="str">
        <f>VLOOKUP(H69, Table1[[#All],[SKU]:[Costs]], 11, 0)</f>
        <v>Carrier C</v>
      </c>
      <c r="K69" t="str">
        <f>VLOOKUP($H69, Table1[[#All],[SKU]:[Costs]], 13, 0)</f>
        <v>Supplier 3</v>
      </c>
      <c r="L69" t="str">
        <f>VLOOKUP($H69, Table1[[#All],[SKU]:[Costs]], 14, 0)</f>
        <v>Chennai</v>
      </c>
      <c r="M69" s="1">
        <f>VLOOKUP($H69, Table1[[#All],[SKU]:[Costs]], 12, 0)</f>
        <v>2.8331846794189701</v>
      </c>
      <c r="N69" s="1">
        <f>VLOOKUP($H69, Table1[[#All],[SKU]:[Costs]], 2, 0)</f>
        <v>91.128318350444303</v>
      </c>
    </row>
    <row r="70" spans="1:14" x14ac:dyDescent="0.3">
      <c r="A70" s="4" t="s">
        <v>122</v>
      </c>
      <c r="B70" s="62">
        <f>Table1[[#This Row],[Number Of Products Sold]]/90</f>
        <v>1.8111111111111111</v>
      </c>
      <c r="C70" s="14">
        <f>B70*(Table1[[#This Row],[Lead Times]]+Table1[[#This Row],[Shipping Times]])</f>
        <v>28.977777777777778</v>
      </c>
      <c r="D70" s="2">
        <v>29</v>
      </c>
      <c r="E70" s="63" t="str">
        <f t="shared" si="7"/>
        <v>No</v>
      </c>
      <c r="F70" t="str">
        <f>IF((Table1[[#This Row],[Stock Levels]]+Table3[[#This Row],[Availability]])&lt;Table3[[#This Row],[Reorder Point]], "Yes", "No")</f>
        <v>No</v>
      </c>
      <c r="H70" t="str">
        <v>SKU81</v>
      </c>
      <c r="I70" t="str" cm="1">
        <f t="array" ref="I70">_xlfn.XLOOKUP(H70, Table1[[#All],[SKU]], Table1[[#All],[Product Type]])</f>
        <v>Haircare</v>
      </c>
      <c r="J70" t="str">
        <f>VLOOKUP(H70, Table1[[#All],[SKU]:[Costs]], 11, 0)</f>
        <v>Carrier B</v>
      </c>
      <c r="K70" t="str">
        <f>VLOOKUP($H70, Table1[[#All],[SKU]:[Costs]], 13, 0)</f>
        <v>Supplier 3</v>
      </c>
      <c r="L70" t="str">
        <f>VLOOKUP($H70, Table1[[#All],[SKU]:[Costs]], 14, 0)</f>
        <v>Delhi</v>
      </c>
      <c r="M70" s="1">
        <f>VLOOKUP($H70, Table1[[#All],[SKU]:[Costs]], 12, 0)</f>
        <v>4.0662775015120403</v>
      </c>
      <c r="N70" s="1">
        <f>VLOOKUP($H70, Table1[[#All],[SKU]:[Costs]], 2, 0)</f>
        <v>72.819206930318202</v>
      </c>
    </row>
    <row r="71" spans="1:14" x14ac:dyDescent="0.3">
      <c r="A71" s="4" t="s">
        <v>123</v>
      </c>
      <c r="B71" s="62">
        <f>Table1[[#This Row],[Number Of Products Sold]]/90</f>
        <v>5.677777777777778</v>
      </c>
      <c r="C71" s="14">
        <f>B71*(Table1[[#This Row],[Lead Times]]+Table1[[#This Row],[Shipping Times]])</f>
        <v>22.711111111111112</v>
      </c>
      <c r="D71" s="2">
        <v>62</v>
      </c>
      <c r="E71" s="63" t="str">
        <f t="shared" si="7"/>
        <v>No</v>
      </c>
      <c r="F71" t="str">
        <f>IF((Table1[[#This Row],[Stock Levels]]+Table3[[#This Row],[Availability]])&lt;Table3[[#This Row],[Reorder Point]], "Yes", "No")</f>
        <v>No</v>
      </c>
      <c r="H71" t="str">
        <v>SKU82</v>
      </c>
      <c r="I71" t="str" cm="1">
        <f t="array" ref="I71">_xlfn.XLOOKUP(H71, Table1[[#All],[SKU]], Table1[[#All],[Product Type]])</f>
        <v>Skincare</v>
      </c>
      <c r="J71" t="str">
        <f>VLOOKUP(H71, Table1[[#All],[SKU]:[Costs]], 11, 0)</f>
        <v>Carrier A</v>
      </c>
      <c r="K71" t="str">
        <f>VLOOKUP($H71, Table1[[#All],[SKU]:[Costs]], 13, 0)</f>
        <v>Supplier 2</v>
      </c>
      <c r="L71" t="str">
        <f>VLOOKUP($H71, Table1[[#All],[SKU]:[Costs]], 14, 0)</f>
        <v>Mumbai</v>
      </c>
      <c r="M71" s="1">
        <f>VLOOKUP($H71, Table1[[#All],[SKU]:[Costs]], 12, 0)</f>
        <v>4.7081818735419301</v>
      </c>
      <c r="N71" s="1">
        <f>VLOOKUP($H71, Table1[[#All],[SKU]:[Costs]], 2, 0)</f>
        <v>17.034930739467899</v>
      </c>
    </row>
    <row r="72" spans="1:14" x14ac:dyDescent="0.3">
      <c r="A72" s="4" t="s">
        <v>124</v>
      </c>
      <c r="B72" s="62">
        <f>Table1[[#This Row],[Number Of Products Sold]]/90</f>
        <v>0.35555555555555557</v>
      </c>
      <c r="C72" s="14">
        <f>B72*(Table1[[#This Row],[Lead Times]]+Table1[[#This Row],[Shipping Times]])</f>
        <v>5.6888888888888891</v>
      </c>
      <c r="D72" s="2">
        <v>90</v>
      </c>
      <c r="E72" s="63" t="str">
        <f t="shared" si="7"/>
        <v>No</v>
      </c>
      <c r="F72" t="str">
        <f>IF((Table1[[#This Row],[Stock Levels]]+Table3[[#This Row],[Availability]])&lt;Table3[[#This Row],[Reorder Point]], "Yes", "No")</f>
        <v>No</v>
      </c>
      <c r="H72" t="str">
        <v>SKU83</v>
      </c>
      <c r="I72" t="str" cm="1">
        <f t="array" ref="I72">_xlfn.XLOOKUP(H72, Table1[[#All],[SKU]], Table1[[#All],[Product Type]])</f>
        <v>Haircare</v>
      </c>
      <c r="J72" t="str">
        <f>VLOOKUP(H72, Table1[[#All],[SKU]:[Costs]], 11, 0)</f>
        <v>Carrier B</v>
      </c>
      <c r="K72" t="str">
        <f>VLOOKUP($H72, Table1[[#All],[SKU]:[Costs]], 13, 0)</f>
        <v>Supplier 1</v>
      </c>
      <c r="L72" t="str">
        <f>VLOOKUP($H72, Table1[[#All],[SKU]:[Costs]], 14, 0)</f>
        <v>Bangalore</v>
      </c>
      <c r="M72" s="1">
        <f>VLOOKUP($H72, Table1[[#All],[SKU]:[Costs]], 12, 0)</f>
        <v>4.94983957799694</v>
      </c>
      <c r="N72" s="1">
        <f>VLOOKUP($H72, Table1[[#All],[SKU]:[Costs]], 2, 0)</f>
        <v>68.911246211606297</v>
      </c>
    </row>
    <row r="73" spans="1:14" x14ac:dyDescent="0.3">
      <c r="A73" s="4" t="s">
        <v>125</v>
      </c>
      <c r="B73" s="62">
        <f>Table1[[#This Row],[Number Of Products Sold]]/90</f>
        <v>7.0777777777777775</v>
      </c>
      <c r="C73" s="14">
        <f>B73*(Table1[[#This Row],[Lead Times]]+Table1[[#This Row],[Shipping Times]])</f>
        <v>56.62222222222222</v>
      </c>
      <c r="D73" s="2">
        <v>14</v>
      </c>
      <c r="E73" s="63" t="str">
        <f t="shared" si="7"/>
        <v>Yes</v>
      </c>
      <c r="F73" t="str">
        <f>IF((Table1[[#This Row],[Stock Levels]]+Table3[[#This Row],[Availability]])&lt;Table3[[#This Row],[Reorder Point]], "Yes", "No")</f>
        <v>No</v>
      </c>
      <c r="H73" t="str">
        <v>SKU84</v>
      </c>
      <c r="I73" t="str" cm="1">
        <f t="array" ref="I73">_xlfn.XLOOKUP(H73, Table1[[#All],[SKU]], Table1[[#All],[Product Type]])</f>
        <v>Haircare</v>
      </c>
      <c r="J73" t="str">
        <f>VLOOKUP(H73, Table1[[#All],[SKU]:[Costs]], 11, 0)</f>
        <v>Carrier A</v>
      </c>
      <c r="K73" t="str">
        <f>VLOOKUP($H73, Table1[[#All],[SKU]:[Costs]], 13, 0)</f>
        <v>Supplier 5</v>
      </c>
      <c r="L73" t="str">
        <f>VLOOKUP($H73, Table1[[#All],[SKU]:[Costs]], 14, 0)</f>
        <v>Chennai</v>
      </c>
      <c r="M73" s="1">
        <f>VLOOKUP($H73, Table1[[#All],[SKU]:[Costs]], 12, 0)</f>
        <v>8.3816156249226292</v>
      </c>
      <c r="N73" s="1">
        <f>VLOOKUP($H73, Table1[[#All],[SKU]:[Costs]], 2, 0)</f>
        <v>89.104367292102197</v>
      </c>
    </row>
    <row r="74" spans="1:14" x14ac:dyDescent="0.3">
      <c r="A74" s="4" t="s">
        <v>126</v>
      </c>
      <c r="B74" s="62">
        <f>Table1[[#This Row],[Number Of Products Sold]]/90</f>
        <v>5.3111111111111109</v>
      </c>
      <c r="C74" s="14">
        <f>B74*(Table1[[#This Row],[Lead Times]]+Table1[[#This Row],[Shipping Times]])</f>
        <v>201.82222222222222</v>
      </c>
      <c r="D74" s="2">
        <v>88</v>
      </c>
      <c r="E74" s="63" t="str">
        <f t="shared" si="7"/>
        <v>Yes</v>
      </c>
      <c r="F74" t="str">
        <f>IF((Table1[[#This Row],[Stock Levels]]+Table3[[#This Row],[Availability]])&lt;Table3[[#This Row],[Reorder Point]], "Yes", "No")</f>
        <v>Yes</v>
      </c>
      <c r="H74" t="str">
        <v>SKU86</v>
      </c>
      <c r="I74" t="str" cm="1">
        <f t="array" ref="I74">_xlfn.XLOOKUP(H74, Table1[[#All],[SKU]], Table1[[#All],[Product Type]])</f>
        <v>Skincare</v>
      </c>
      <c r="J74" t="str">
        <f>VLOOKUP(H74, Table1[[#All],[SKU]:[Costs]], 11, 0)</f>
        <v>Carrier B</v>
      </c>
      <c r="K74" t="str">
        <f>VLOOKUP($H74, Table1[[#All],[SKU]:[Costs]], 13, 0)</f>
        <v>Supplier 1</v>
      </c>
      <c r="L74" t="str">
        <f>VLOOKUP($H74, Table1[[#All],[SKU]:[Costs]], 14, 0)</f>
        <v>Mumbai</v>
      </c>
      <c r="M74" s="1">
        <f>VLOOKUP($H74, Table1[[#All],[SKU]:[Costs]], 12, 0)</f>
        <v>1.4543053101535499</v>
      </c>
      <c r="N74" s="1">
        <f>VLOOKUP($H74, Table1[[#All],[SKU]:[Costs]], 2, 0)</f>
        <v>19.9981769404042</v>
      </c>
    </row>
    <row r="75" spans="1:14" x14ac:dyDescent="0.3">
      <c r="A75" s="4" t="s">
        <v>127</v>
      </c>
      <c r="B75" s="62">
        <f>Table1[[#This Row],[Number Of Products Sold]]/90</f>
        <v>4.166666666666667</v>
      </c>
      <c r="C75" s="14">
        <f>B75*(Table1[[#This Row],[Lead Times]]+Table1[[#This Row],[Shipping Times]])</f>
        <v>125.00000000000001</v>
      </c>
      <c r="D75" s="2">
        <v>41</v>
      </c>
      <c r="E75" s="63" t="str">
        <f t="shared" si="7"/>
        <v>Yes</v>
      </c>
      <c r="F75" t="str">
        <f>IF((Table1[[#This Row],[Stock Levels]]+Table3[[#This Row],[Availability]])&lt;Table3[[#This Row],[Reorder Point]], "Yes", "No")</f>
        <v>Yes</v>
      </c>
      <c r="H75" t="str">
        <v>SKU88</v>
      </c>
      <c r="I75" t="str" cm="1">
        <f t="array" ref="I75">_xlfn.XLOOKUP(H75, Table1[[#All],[SKU]], Table1[[#All],[Product Type]])</f>
        <v>Cosmetics</v>
      </c>
      <c r="J75" t="str">
        <f>VLOOKUP(H75, Table1[[#All],[SKU]:[Costs]], 11, 0)</f>
        <v>Carrier A</v>
      </c>
      <c r="K75" t="str">
        <f>VLOOKUP($H75, Table1[[#All],[SKU]:[Costs]], 13, 0)</f>
        <v>Supplier 2</v>
      </c>
      <c r="L75" t="str">
        <f>VLOOKUP($H75, Table1[[#All],[SKU]:[Costs]], 14, 0)</f>
        <v>Mumbai</v>
      </c>
      <c r="M75" s="1">
        <f>VLOOKUP($H75, Table1[[#All],[SKU]:[Costs]], 12, 0)</f>
        <v>3.8012531329310701</v>
      </c>
      <c r="N75" s="1">
        <f>VLOOKUP($H75, Table1[[#All],[SKU]:[Costs]], 2, 0)</f>
        <v>75.270406975724995</v>
      </c>
    </row>
    <row r="76" spans="1:14" x14ac:dyDescent="0.3">
      <c r="A76" s="4" t="s">
        <v>128</v>
      </c>
      <c r="B76" s="62">
        <f>Table1[[#This Row],[Number Of Products Sold]]/90</f>
        <v>10.044444444444444</v>
      </c>
      <c r="C76" s="14">
        <f>B76*(Table1[[#This Row],[Lead Times]]+Table1[[#This Row],[Shipping Times]])</f>
        <v>110.48888888888888</v>
      </c>
      <c r="D76" s="2">
        <v>64</v>
      </c>
      <c r="E76" s="63" t="str">
        <f t="shared" si="7"/>
        <v>Yes</v>
      </c>
      <c r="F76" t="str">
        <f>IF((Table1[[#This Row],[Stock Levels]]+Table3[[#This Row],[Availability]])&lt;Table3[[#This Row],[Reorder Point]], "Yes", "No")</f>
        <v>Yes</v>
      </c>
      <c r="H76" t="str">
        <v>SKU89</v>
      </c>
      <c r="I76" t="str" cm="1">
        <f t="array" ref="I76">_xlfn.XLOOKUP(H76, Table1[[#All],[SKU]], Table1[[#All],[Product Type]])</f>
        <v>Cosmetics</v>
      </c>
      <c r="J76" t="str">
        <f>VLOOKUP(H76, Table1[[#All],[SKU]:[Costs]], 11, 0)</f>
        <v>Carrier B</v>
      </c>
      <c r="K76" t="str">
        <f>VLOOKUP($H76, Table1[[#All],[SKU]:[Costs]], 13, 0)</f>
        <v>Supplier 1</v>
      </c>
      <c r="L76" t="str">
        <f>VLOOKUP($H76, Table1[[#All],[SKU]:[Costs]], 14, 0)</f>
        <v>Kolkata</v>
      </c>
      <c r="M76" s="1">
        <f>VLOOKUP($H76, Table1[[#All],[SKU]:[Costs]], 12, 0)</f>
        <v>9.9298162452772498</v>
      </c>
      <c r="N76" s="1">
        <f>VLOOKUP($H76, Table1[[#All],[SKU]:[Costs]], 2, 0)</f>
        <v>97.760085581938597</v>
      </c>
    </row>
    <row r="77" spans="1:14" x14ac:dyDescent="0.3">
      <c r="A77" s="4" t="s">
        <v>129</v>
      </c>
      <c r="B77" s="62">
        <f>Table1[[#This Row],[Number Of Products Sold]]/90</f>
        <v>1.1777777777777778</v>
      </c>
      <c r="C77" s="14">
        <f>B77*(Table1[[#This Row],[Lead Times]]+Table1[[#This Row],[Shipping Times]])</f>
        <v>35.333333333333336</v>
      </c>
      <c r="D77" s="2">
        <v>29</v>
      </c>
      <c r="E77" s="63" t="str">
        <f t="shared" si="7"/>
        <v>Yes</v>
      </c>
      <c r="F77" t="str">
        <f>IF((Table1[[#This Row],[Stock Levels]]+Table3[[#This Row],[Availability]])&lt;Table3[[#This Row],[Reorder Point]], "Yes", "No")</f>
        <v>No</v>
      </c>
      <c r="H77" t="str">
        <v>SKU90</v>
      </c>
      <c r="I77" t="str" cm="1">
        <f t="array" ref="I77">_xlfn.XLOOKUP(H77, Table1[[#All],[SKU]], Table1[[#All],[Product Type]])</f>
        <v>Skincare</v>
      </c>
      <c r="J77" t="str">
        <f>VLOOKUP(H77, Table1[[#All],[SKU]:[Costs]], 11, 0)</f>
        <v>Carrier B</v>
      </c>
      <c r="K77" t="str">
        <f>VLOOKUP($H77, Table1[[#All],[SKU]:[Costs]], 13, 0)</f>
        <v>Supplier 3</v>
      </c>
      <c r="L77" t="str">
        <f>VLOOKUP($H77, Table1[[#All],[SKU]:[Costs]], 14, 0)</f>
        <v>Bangalore</v>
      </c>
      <c r="M77" s="1">
        <f>VLOOKUP($H77, Table1[[#All],[SKU]:[Costs]], 12, 0)</f>
        <v>7.6744307081126903</v>
      </c>
      <c r="N77" s="1">
        <f>VLOOKUP($H77, Table1[[#All],[SKU]:[Costs]], 2, 0)</f>
        <v>13.881913501359101</v>
      </c>
    </row>
    <row r="78" spans="1:14" x14ac:dyDescent="0.3">
      <c r="A78" s="4" t="s">
        <v>130</v>
      </c>
      <c r="B78" s="62">
        <f>Table1[[#This Row],[Number Of Products Sold]]/90</f>
        <v>2.6777777777777776</v>
      </c>
      <c r="C78" s="14">
        <f>B78*(Table1[[#This Row],[Lead Times]]+Table1[[#This Row],[Shipping Times]])</f>
        <v>29.455555555555552</v>
      </c>
      <c r="D78" s="2">
        <v>23</v>
      </c>
      <c r="E78" s="63" t="str">
        <f t="shared" si="7"/>
        <v>Yes</v>
      </c>
      <c r="F78" t="str">
        <f>IF((Table1[[#This Row],[Stock Levels]]+Table3[[#This Row],[Availability]])&lt;Table3[[#This Row],[Reorder Point]], "Yes", "No")</f>
        <v>No</v>
      </c>
      <c r="H78" t="str">
        <v>SKU91</v>
      </c>
      <c r="I78" t="str" cm="1">
        <f t="array" ref="I78">_xlfn.XLOOKUP(H78, Table1[[#All],[SKU]], Table1[[#All],[Product Type]])</f>
        <v>Cosmetics</v>
      </c>
      <c r="J78" t="str">
        <f>VLOOKUP(H78, Table1[[#All],[SKU]:[Costs]], 11, 0)</f>
        <v>Carrier B</v>
      </c>
      <c r="K78" t="str">
        <f>VLOOKUP($H78, Table1[[#All],[SKU]:[Costs]], 13, 0)</f>
        <v>Supplier 4</v>
      </c>
      <c r="L78" t="str">
        <f>VLOOKUP($H78, Table1[[#All],[SKU]:[Costs]], 14, 0)</f>
        <v>Delhi</v>
      </c>
      <c r="M78" s="1">
        <f>VLOOKUP($H78, Table1[[#All],[SKU]:[Costs]], 12, 0)</f>
        <v>7.4715140844011403</v>
      </c>
      <c r="N78" s="1">
        <f>VLOOKUP($H78, Table1[[#All],[SKU]:[Costs]], 2, 0)</f>
        <v>62.111965463961702</v>
      </c>
    </row>
    <row r="79" spans="1:14" x14ac:dyDescent="0.3">
      <c r="A79" s="4" t="s">
        <v>131</v>
      </c>
      <c r="B79" s="62">
        <f>Table1[[#This Row],[Number Of Products Sold]]/90</f>
        <v>3.9888888888888889</v>
      </c>
      <c r="C79" s="14">
        <f>B79*(Table1[[#This Row],[Lead Times]]+Table1[[#This Row],[Shipping Times]])</f>
        <v>127.64444444444445</v>
      </c>
      <c r="D79" s="2">
        <v>14</v>
      </c>
      <c r="E79" s="63" t="str">
        <f t="shared" si="7"/>
        <v>Yes</v>
      </c>
      <c r="F79" t="str">
        <f>IF((Table1[[#This Row],[Stock Levels]]+Table3[[#This Row],[Availability]])&lt;Table3[[#This Row],[Reorder Point]], "Yes", "No")</f>
        <v>Yes</v>
      </c>
      <c r="H79" t="str">
        <v>SKU92</v>
      </c>
      <c r="I79" t="str" cm="1">
        <f t="array" ref="I79">_xlfn.XLOOKUP(H79, Table1[[#All],[SKU]], Table1[[#All],[Product Type]])</f>
        <v>Cosmetics</v>
      </c>
      <c r="J79" t="str">
        <f>VLOOKUP(H79, Table1[[#All],[SKU]:[Costs]], 11, 0)</f>
        <v>Carrier B</v>
      </c>
      <c r="K79" t="str">
        <f>VLOOKUP($H79, Table1[[#All],[SKU]:[Costs]], 13, 0)</f>
        <v>Supplier 2</v>
      </c>
      <c r="L79" t="str">
        <f>VLOOKUP($H79, Table1[[#All],[SKU]:[Costs]], 14, 0)</f>
        <v>Mumbai</v>
      </c>
      <c r="M79" s="1">
        <f>VLOOKUP($H79, Table1[[#All],[SKU]:[Costs]], 12, 0)</f>
        <v>4.4695000261236002</v>
      </c>
      <c r="N79" s="1">
        <f>VLOOKUP($H79, Table1[[#All],[SKU]:[Costs]], 2, 0)</f>
        <v>47.714233075820196</v>
      </c>
    </row>
    <row r="80" spans="1:14" x14ac:dyDescent="0.3">
      <c r="A80" s="4" t="s">
        <v>132</v>
      </c>
      <c r="B80" s="62">
        <f>Table1[[#This Row],[Number Of Products Sold]]/90</f>
        <v>10.511111111111111</v>
      </c>
      <c r="C80" s="14">
        <f>B80*(Table1[[#This Row],[Lead Times]]+Table1[[#This Row],[Shipping Times]])</f>
        <v>94.6</v>
      </c>
      <c r="D80" s="2">
        <v>50</v>
      </c>
      <c r="E80" s="63" t="str">
        <f t="shared" si="7"/>
        <v>Yes</v>
      </c>
      <c r="F80" t="str">
        <f>IF((Table1[[#This Row],[Stock Levels]]+Table3[[#This Row],[Availability]])&lt;Table3[[#This Row],[Reorder Point]], "Yes", "No")</f>
        <v>Yes</v>
      </c>
      <c r="H80" t="str">
        <v>SKU94</v>
      </c>
      <c r="I80" t="str" cm="1">
        <f t="array" ref="I80">_xlfn.XLOOKUP(H80, Table1[[#All],[SKU]], Table1[[#All],[Product Type]])</f>
        <v>Cosmetics</v>
      </c>
      <c r="J80" t="str">
        <f>VLOOKUP(H80, Table1[[#All],[SKU]:[Costs]], 11, 0)</f>
        <v>Carrier B</v>
      </c>
      <c r="K80" t="str">
        <f>VLOOKUP($H80, Table1[[#All],[SKU]:[Costs]], 13, 0)</f>
        <v>Supplier 2</v>
      </c>
      <c r="L80" t="str">
        <f>VLOOKUP($H80, Table1[[#All],[SKU]:[Costs]], 14, 0)</f>
        <v>Delhi</v>
      </c>
      <c r="M80" s="1">
        <f>VLOOKUP($H80, Table1[[#All],[SKU]:[Costs]], 12, 0)</f>
        <v>6.9429459420325799</v>
      </c>
      <c r="N80" s="1">
        <f>VLOOKUP($H80, Table1[[#All],[SKU]:[Costs]], 2, 0)</f>
        <v>3.0376887246314102</v>
      </c>
    </row>
    <row r="81" spans="1:14" x14ac:dyDescent="0.3">
      <c r="A81" s="4" t="s">
        <v>133</v>
      </c>
      <c r="B81" s="62">
        <f>Table1[[#This Row],[Number Of Products Sold]]/90</f>
        <v>2.2000000000000002</v>
      </c>
      <c r="C81" s="14">
        <f>B81*(Table1[[#This Row],[Lead Times]]+Table1[[#This Row],[Shipping Times]])</f>
        <v>57.2</v>
      </c>
      <c r="D81" s="2">
        <v>56</v>
      </c>
      <c r="E81" s="63" t="str">
        <f t="shared" si="7"/>
        <v>Yes</v>
      </c>
      <c r="F81" t="str">
        <f>IF((Table1[[#This Row],[Stock Levels]]+Table3[[#This Row],[Availability]])&lt;Table3[[#This Row],[Reorder Point]], "Yes", "No")</f>
        <v>No</v>
      </c>
      <c r="H81" t="str">
        <v>SKU95</v>
      </c>
      <c r="I81" t="str" cm="1">
        <f t="array" ref="I81">_xlfn.XLOOKUP(H81, Table1[[#All],[SKU]], Table1[[#All],[Product Type]])</f>
        <v>Haircare</v>
      </c>
      <c r="J81" t="str">
        <f>VLOOKUP(H81, Table1[[#All],[SKU]:[Costs]], 11, 0)</f>
        <v>Carrier B</v>
      </c>
      <c r="K81" t="str">
        <f>VLOOKUP($H81, Table1[[#All],[SKU]:[Costs]], 13, 0)</f>
        <v>Supplier 4</v>
      </c>
      <c r="L81" t="str">
        <f>VLOOKUP($H81, Table1[[#All],[SKU]:[Costs]], 14, 0)</f>
        <v>Mumbai</v>
      </c>
      <c r="M81" s="1">
        <f>VLOOKUP($H81, Table1[[#All],[SKU]:[Costs]], 12, 0)</f>
        <v>8.6303388696027508</v>
      </c>
      <c r="N81" s="1">
        <f>VLOOKUP($H81, Table1[[#All],[SKU]:[Costs]], 2, 0)</f>
        <v>77.903927219447695</v>
      </c>
    </row>
    <row r="82" spans="1:14" x14ac:dyDescent="0.3">
      <c r="A82" s="4" t="s">
        <v>134</v>
      </c>
      <c r="B82" s="62">
        <f>Table1[[#This Row],[Number Of Products Sold]]/90</f>
        <v>9.6888888888888882</v>
      </c>
      <c r="C82" s="14">
        <f>B82*(Table1[[#This Row],[Lead Times]]+Table1[[#This Row],[Shipping Times]])</f>
        <v>155.02222222222221</v>
      </c>
      <c r="D82" s="2">
        <v>75</v>
      </c>
      <c r="E82" s="63" t="str">
        <f t="shared" si="7"/>
        <v>Yes</v>
      </c>
      <c r="F82" t="str">
        <f>IF((Table1[[#This Row],[Stock Levels]]+Table3[[#This Row],[Availability]])&lt;Table3[[#This Row],[Reorder Point]], "Yes", "No")</f>
        <v>Yes</v>
      </c>
      <c r="H82" t="str">
        <v>SKU98</v>
      </c>
      <c r="I82" t="str" cm="1">
        <f t="array" ref="I82">_xlfn.XLOOKUP(H82, Table1[[#All],[SKU]], Table1[[#All],[Product Type]])</f>
        <v>Skincare</v>
      </c>
      <c r="J82" t="str">
        <f>VLOOKUP(H82, Table1[[#All],[SKU]:[Costs]], 11, 0)</f>
        <v>Carrier B</v>
      </c>
      <c r="K82" t="str">
        <f>VLOOKUP($H82, Table1[[#All],[SKU]:[Costs]], 13, 0)</f>
        <v>Supplier 5</v>
      </c>
      <c r="L82" t="str">
        <f>VLOOKUP($H82, Table1[[#All],[SKU]:[Costs]], 14, 0)</f>
        <v>Chennai</v>
      </c>
      <c r="M82" s="1">
        <f>VLOOKUP($H82, Table1[[#All],[SKU]:[Costs]], 12, 0)</f>
        <v>1.4098010951380699</v>
      </c>
      <c r="N82" s="1">
        <f>VLOOKUP($H82, Table1[[#All],[SKU]:[Costs]], 2, 0)</f>
        <v>19.754604866878601</v>
      </c>
    </row>
    <row r="83" spans="1:14" x14ac:dyDescent="0.3">
      <c r="A83" s="4" t="s">
        <v>135</v>
      </c>
      <c r="B83" s="62">
        <f>Table1[[#This Row],[Number Of Products Sold]]/90</f>
        <v>8.6</v>
      </c>
      <c r="C83" s="14">
        <f>B83*(Table1[[#This Row],[Lead Times]]+Table1[[#This Row],[Shipping Times]])</f>
        <v>94.6</v>
      </c>
      <c r="D83" s="2">
        <v>9</v>
      </c>
      <c r="E83" s="63" t="str">
        <f t="shared" si="7"/>
        <v>Yes</v>
      </c>
      <c r="F83" t="str">
        <f>IF((Table1[[#This Row],[Stock Levels]]+Table3[[#This Row],[Availability]])&lt;Table3[[#This Row],[Reorder Point]], "Yes", "No")</f>
        <v>Yes</v>
      </c>
      <c r="H83" t="str">
        <v>SKU99</v>
      </c>
      <c r="I83" t="str" cm="1">
        <f t="array" ref="I83">_xlfn.XLOOKUP(H83, Table1[[#All],[SKU]], Table1[[#All],[Product Type]])</f>
        <v>Haircare</v>
      </c>
      <c r="J83" t="str">
        <f>VLOOKUP(H83, Table1[[#All],[SKU]:[Costs]], 11, 0)</f>
        <v>Carrier B</v>
      </c>
      <c r="K83" t="str">
        <f>VLOOKUP($H83, Table1[[#All],[SKU]:[Costs]], 13, 0)</f>
        <v>Supplier 2</v>
      </c>
      <c r="L83" t="str">
        <f>VLOOKUP($H83, Table1[[#All],[SKU]:[Costs]], 14, 0)</f>
        <v>Chennai</v>
      </c>
      <c r="M83" s="1">
        <f>VLOOKUP($H83, Table1[[#All],[SKU]:[Costs]], 12, 0)</f>
        <v>1.3110237561206199</v>
      </c>
      <c r="N83" s="1">
        <f>VLOOKUP($H83, Table1[[#All],[SKU]:[Costs]], 2, 0)</f>
        <v>68.517832699276596</v>
      </c>
    </row>
    <row r="84" spans="1:14" x14ac:dyDescent="0.3">
      <c r="A84" s="4" t="s">
        <v>136</v>
      </c>
      <c r="B84" s="62">
        <f>Table1[[#This Row],[Number Of Products Sold]]/90</f>
        <v>3.7333333333333334</v>
      </c>
      <c r="C84" s="14">
        <f>B84*(Table1[[#This Row],[Lead Times]]+Table1[[#This Row],[Shipping Times]])</f>
        <v>74.666666666666671</v>
      </c>
      <c r="D84" s="2">
        <v>13</v>
      </c>
      <c r="E84" s="63" t="str">
        <f t="shared" si="7"/>
        <v>Yes</v>
      </c>
      <c r="F84" t="str">
        <f>IF((Table1[[#This Row],[Stock Levels]]+Table3[[#This Row],[Availability]])&lt;Table3[[#This Row],[Reorder Point]], "Yes", "No")</f>
        <v>Yes</v>
      </c>
    </row>
    <row r="85" spans="1:14" x14ac:dyDescent="0.3">
      <c r="A85" s="4" t="s">
        <v>137</v>
      </c>
      <c r="B85" s="62">
        <f>Table1[[#This Row],[Number Of Products Sold]]/90</f>
        <v>7.3666666666666663</v>
      </c>
      <c r="C85" s="14">
        <f>B85*(Table1[[#This Row],[Lead Times]]+Table1[[#This Row],[Shipping Times]])</f>
        <v>235.73333333333332</v>
      </c>
      <c r="D85" s="2">
        <v>82</v>
      </c>
      <c r="E85" s="63" t="str">
        <f t="shared" si="7"/>
        <v>Yes</v>
      </c>
      <c r="F85" t="str">
        <f>IF((Table1[[#This Row],[Stock Levels]]+Table3[[#This Row],[Availability]])&lt;Table3[[#This Row],[Reorder Point]], "Yes", "No")</f>
        <v>Yes</v>
      </c>
    </row>
    <row r="86" spans="1:14" x14ac:dyDescent="0.3">
      <c r="A86" s="4" t="s">
        <v>138</v>
      </c>
      <c r="B86" s="62">
        <f>Table1[[#This Row],[Number Of Products Sold]]/90</f>
        <v>6.8666666666666663</v>
      </c>
      <c r="C86" s="14">
        <f>B86*(Table1[[#This Row],[Lead Times]]+Table1[[#This Row],[Shipping Times]])</f>
        <v>247.2</v>
      </c>
      <c r="D86" s="2">
        <v>99</v>
      </c>
      <c r="E86" s="63" t="str">
        <f t="shared" si="7"/>
        <v>Yes</v>
      </c>
      <c r="F86" t="str">
        <f>IF((Table1[[#This Row],[Stock Levels]]+Table3[[#This Row],[Availability]])&lt;Table3[[#This Row],[Reorder Point]], "Yes", "No")</f>
        <v>Yes</v>
      </c>
    </row>
    <row r="87" spans="1:14" x14ac:dyDescent="0.3">
      <c r="A87" s="4" t="s">
        <v>139</v>
      </c>
      <c r="B87" s="62">
        <f>Table1[[#This Row],[Number Of Products Sold]]/90</f>
        <v>0.27777777777777779</v>
      </c>
      <c r="C87" s="14">
        <f>B87*(Table1[[#This Row],[Lead Times]]+Table1[[#This Row],[Shipping Times]])</f>
        <v>5.5555555555555554</v>
      </c>
      <c r="D87" s="2">
        <v>83</v>
      </c>
      <c r="E87" s="63" t="str">
        <f t="shared" si="7"/>
        <v>No</v>
      </c>
      <c r="F87" t="str">
        <f>IF((Table1[[#This Row],[Stock Levels]]+Table3[[#This Row],[Availability]])&lt;Table3[[#This Row],[Reorder Point]], "Yes", "No")</f>
        <v>No</v>
      </c>
    </row>
    <row r="88" spans="1:14" x14ac:dyDescent="0.3">
      <c r="A88" s="4" t="s">
        <v>140</v>
      </c>
      <c r="B88" s="62">
        <f>Table1[[#This Row],[Number Of Products Sold]]/90</f>
        <v>2.4777777777777779</v>
      </c>
      <c r="C88" s="14">
        <f>B88*(Table1[[#This Row],[Lead Times]]+Table1[[#This Row],[Shipping Times]])</f>
        <v>49.555555555555557</v>
      </c>
      <c r="D88" s="2">
        <v>18</v>
      </c>
      <c r="E88" s="63" t="str">
        <f t="shared" si="7"/>
        <v>Yes</v>
      </c>
      <c r="F88" t="str">
        <f>IF((Table1[[#This Row],[Stock Levels]]+Table3[[#This Row],[Availability]])&lt;Table3[[#This Row],[Reorder Point]], "Yes", "No")</f>
        <v>No</v>
      </c>
    </row>
    <row r="89" spans="1:14" x14ac:dyDescent="0.3">
      <c r="A89" s="4" t="s">
        <v>141</v>
      </c>
      <c r="B89" s="62">
        <f>Table1[[#This Row],[Number Of Products Sold]]/90</f>
        <v>0.87777777777777777</v>
      </c>
      <c r="C89" s="14">
        <f>B89*(Table1[[#This Row],[Lead Times]]+Table1[[#This Row],[Shipping Times]])</f>
        <v>14.922222222222222</v>
      </c>
      <c r="D89" s="2">
        <v>24</v>
      </c>
      <c r="E89" s="63" t="str">
        <f t="shared" si="7"/>
        <v>No</v>
      </c>
      <c r="F89" t="str">
        <f>IF((Table1[[#This Row],[Stock Levels]]+Table3[[#This Row],[Availability]])&lt;Table3[[#This Row],[Reorder Point]], "Yes", "No")</f>
        <v>No</v>
      </c>
    </row>
    <row r="90" spans="1:14" x14ac:dyDescent="0.3">
      <c r="A90" s="4" t="s">
        <v>142</v>
      </c>
      <c r="B90" s="62">
        <f>Table1[[#This Row],[Number Of Products Sold]]/90</f>
        <v>8.1888888888888882</v>
      </c>
      <c r="C90" s="14">
        <f>B90*(Table1[[#This Row],[Lead Times]]+Table1[[#This Row],[Shipping Times]])</f>
        <v>204.7222222222222</v>
      </c>
      <c r="D90" s="2">
        <v>58</v>
      </c>
      <c r="E90" s="63" t="str">
        <f t="shared" si="7"/>
        <v>Yes</v>
      </c>
      <c r="F90" t="str">
        <f>IF((Table1[[#This Row],[Stock Levels]]+Table3[[#This Row],[Availability]])&lt;Table3[[#This Row],[Reorder Point]], "Yes", "No")</f>
        <v>Yes</v>
      </c>
    </row>
    <row r="91" spans="1:14" x14ac:dyDescent="0.3">
      <c r="A91" s="4" t="s">
        <v>143</v>
      </c>
      <c r="B91" s="62">
        <f>Table1[[#This Row],[Number Of Products Sold]]/90</f>
        <v>1.4888888888888889</v>
      </c>
      <c r="C91" s="14">
        <f>B91*(Table1[[#This Row],[Lead Times]]+Table1[[#This Row],[Shipping Times]])</f>
        <v>13.4</v>
      </c>
      <c r="D91" s="2">
        <v>10</v>
      </c>
      <c r="E91" s="63" t="str">
        <f t="shared" si="7"/>
        <v>Yes</v>
      </c>
      <c r="F91" t="str">
        <f>IF((Table1[[#This Row],[Stock Levels]]+Table3[[#This Row],[Availability]])&lt;Table3[[#This Row],[Reorder Point]], "Yes", "No")</f>
        <v>No</v>
      </c>
    </row>
    <row r="92" spans="1:14" x14ac:dyDescent="0.3">
      <c r="A92" s="4" t="s">
        <v>144</v>
      </c>
      <c r="B92" s="62">
        <f>Table1[[#This Row],[Number Of Products Sold]]/90</f>
        <v>3.5555555555555554</v>
      </c>
      <c r="C92" s="14">
        <f>B92*(Table1[[#This Row],[Lead Times]]+Table1[[#This Row],[Shipping Times]])</f>
        <v>88.888888888888886</v>
      </c>
      <c r="D92" s="2">
        <v>56</v>
      </c>
      <c r="E92" s="63" t="str">
        <f t="shared" si="7"/>
        <v>Yes</v>
      </c>
      <c r="F92" t="str">
        <f>IF((Table1[[#This Row],[Stock Levels]]+Table3[[#This Row],[Availability]])&lt;Table3[[#This Row],[Reorder Point]], "Yes", "No")</f>
        <v>No</v>
      </c>
    </row>
    <row r="93" spans="1:14" x14ac:dyDescent="0.3">
      <c r="A93" s="4" t="s">
        <v>145</v>
      </c>
      <c r="B93" s="62">
        <f>Table1[[#This Row],[Number Of Products Sold]]/90</f>
        <v>10.177777777777777</v>
      </c>
      <c r="C93" s="14">
        <f>B93*(Table1[[#This Row],[Lead Times]]+Table1[[#This Row],[Shipping Times]])</f>
        <v>295.15555555555557</v>
      </c>
      <c r="D93" s="2">
        <v>90</v>
      </c>
      <c r="E93" s="63" t="str">
        <f t="shared" si="7"/>
        <v>Yes</v>
      </c>
      <c r="F93" t="str">
        <f>IF((Table1[[#This Row],[Stock Levels]]+Table3[[#This Row],[Availability]])&lt;Table3[[#This Row],[Reorder Point]], "Yes", "No")</f>
        <v>Yes</v>
      </c>
    </row>
    <row r="94" spans="1:14" x14ac:dyDescent="0.3">
      <c r="A94" s="4" t="s">
        <v>146</v>
      </c>
      <c r="B94" s="62">
        <f>Table1[[#This Row],[Number Of Products Sold]]/90</f>
        <v>3.0666666666666669</v>
      </c>
      <c r="C94" s="14">
        <f>B94*(Table1[[#This Row],[Lead Times]]+Table1[[#This Row],[Shipping Times]])</f>
        <v>101.2</v>
      </c>
      <c r="D94" s="2">
        <v>44</v>
      </c>
      <c r="E94" s="63" t="str">
        <f t="shared" si="7"/>
        <v>Yes</v>
      </c>
      <c r="F94" t="str">
        <f>IF((Table1[[#This Row],[Stock Levels]]+Table3[[#This Row],[Availability]])&lt;Table3[[#This Row],[Reorder Point]], "Yes", "No")</f>
        <v>No</v>
      </c>
    </row>
    <row r="95" spans="1:14" x14ac:dyDescent="0.3">
      <c r="A95" s="4" t="s">
        <v>147</v>
      </c>
      <c r="B95" s="62">
        <f>Table1[[#This Row],[Number Of Products Sold]]/90</f>
        <v>1.2666666666666666</v>
      </c>
      <c r="C95" s="14">
        <f>B95*(Table1[[#This Row],[Lead Times]]+Table1[[#This Row],[Shipping Times]])</f>
        <v>22.799999999999997</v>
      </c>
      <c r="D95" s="2">
        <v>88</v>
      </c>
      <c r="E95" s="63" t="str">
        <f t="shared" si="7"/>
        <v>No</v>
      </c>
      <c r="F95" t="str">
        <f>IF((Table1[[#This Row],[Stock Levels]]+Table3[[#This Row],[Availability]])&lt;Table3[[#This Row],[Reorder Point]], "Yes", "No")</f>
        <v>No</v>
      </c>
    </row>
    <row r="96" spans="1:14" x14ac:dyDescent="0.3">
      <c r="A96" s="4" t="s">
        <v>148</v>
      </c>
      <c r="B96" s="62">
        <f>Table1[[#This Row],[Number Of Products Sold]]/90</f>
        <v>10.966666666666667</v>
      </c>
      <c r="C96" s="14">
        <f>B96*(Table1[[#This Row],[Lead Times]]+Table1[[#This Row],[Shipping Times]])</f>
        <v>383.83333333333331</v>
      </c>
      <c r="D96" s="2">
        <v>97</v>
      </c>
      <c r="E96" s="63" t="str">
        <f t="shared" si="7"/>
        <v>Yes</v>
      </c>
      <c r="F96" t="str">
        <f>IF((Table1[[#This Row],[Stock Levels]]+Table3[[#This Row],[Availability]])&lt;Table3[[#This Row],[Reorder Point]], "Yes", "No")</f>
        <v>Yes</v>
      </c>
    </row>
    <row r="97" spans="1:6" x14ac:dyDescent="0.3">
      <c r="A97" s="4" t="s">
        <v>149</v>
      </c>
      <c r="B97" s="62">
        <f>Table1[[#This Row],[Number Of Products Sold]]/90</f>
        <v>7.4666666666666668</v>
      </c>
      <c r="C97" s="14">
        <f>B97*(Table1[[#This Row],[Lead Times]]+Table1[[#This Row],[Shipping Times]])</f>
        <v>171.73333333333335</v>
      </c>
      <c r="D97" s="2">
        <v>65</v>
      </c>
      <c r="E97" s="63" t="str">
        <f t="shared" si="7"/>
        <v>Yes</v>
      </c>
      <c r="F97" t="str">
        <f>IF((Table1[[#This Row],[Stock Levels]]+Table3[[#This Row],[Availability]])&lt;Table3[[#This Row],[Reorder Point]], "Yes", "No")</f>
        <v>Yes</v>
      </c>
    </row>
    <row r="98" spans="1:6" x14ac:dyDescent="0.3">
      <c r="A98" s="4" t="s">
        <v>150</v>
      </c>
      <c r="B98" s="62">
        <f>Table1[[#This Row],[Number Of Products Sold]]/90</f>
        <v>3.6</v>
      </c>
      <c r="C98" s="14">
        <f>B98*(Table1[[#This Row],[Lead Times]]+Table1[[#This Row],[Shipping Times]])</f>
        <v>18</v>
      </c>
      <c r="D98" s="2">
        <v>29</v>
      </c>
      <c r="E98" s="63" t="str">
        <f t="shared" si="7"/>
        <v>No</v>
      </c>
      <c r="F98" t="str">
        <f>IF((Table1[[#This Row],[Stock Levels]]+Table3[[#This Row],[Availability]])&lt;Table3[[#This Row],[Reorder Point]], "Yes", "No")</f>
        <v>No</v>
      </c>
    </row>
    <row r="99" spans="1:6" x14ac:dyDescent="0.3">
      <c r="A99" s="4" t="s">
        <v>151</v>
      </c>
      <c r="B99" s="62">
        <f>Table1[[#This Row],[Number Of Products Sold]]/90</f>
        <v>0.68888888888888888</v>
      </c>
      <c r="C99" s="14">
        <f>B99*(Table1[[#This Row],[Lead Times]]+Table1[[#This Row],[Shipping Times]])</f>
        <v>19.288888888888888</v>
      </c>
      <c r="D99" s="2">
        <v>56</v>
      </c>
      <c r="E99" s="63" t="str">
        <f t="shared" si="7"/>
        <v>No</v>
      </c>
      <c r="F99" t="str">
        <f>IF((Table1[[#This Row],[Stock Levels]]+Table3[[#This Row],[Availability]])&lt;Table3[[#This Row],[Reorder Point]], "Yes", "No")</f>
        <v>No</v>
      </c>
    </row>
    <row r="100" spans="1:6" x14ac:dyDescent="0.3">
      <c r="A100" s="4" t="s">
        <v>152</v>
      </c>
      <c r="B100" s="62">
        <f>Table1[[#This Row],[Number Of Products Sold]]/90</f>
        <v>10.144444444444444</v>
      </c>
      <c r="C100" s="14">
        <f>B100*(Table1[[#This Row],[Lead Times]]+Table1[[#This Row],[Shipping Times]])</f>
        <v>81.155555555555551</v>
      </c>
      <c r="D100" s="2">
        <v>43</v>
      </c>
      <c r="E100" s="63" t="str">
        <f t="shared" si="7"/>
        <v>Yes</v>
      </c>
      <c r="F100" t="str">
        <f>IF((Table1[[#This Row],[Stock Levels]]+Table3[[#This Row],[Availability]])&lt;Table3[[#This Row],[Reorder Point]], "Yes", "No")</f>
        <v>No</v>
      </c>
    </row>
    <row r="101" spans="1:6" x14ac:dyDescent="0.3">
      <c r="A101" s="7" t="s">
        <v>153</v>
      </c>
      <c r="B101" s="64">
        <f>Table1[[#This Row],[Number Of Products Sold]]/90</f>
        <v>6.9666666666666668</v>
      </c>
      <c r="C101" s="65">
        <f>B101*(Table1[[#This Row],[Lead Times]]+Table1[[#This Row],[Shipping Times]])</f>
        <v>97.533333333333331</v>
      </c>
      <c r="D101" s="8">
        <v>17</v>
      </c>
      <c r="E101" s="66" t="str">
        <f t="shared" si="7"/>
        <v>Yes</v>
      </c>
      <c r="F101" t="str">
        <f>IF((Table1[[#This Row],[Stock Levels]]+Table3[[#This Row],[Availability]])&lt;Table3[[#This Row],[Reorder Point]], "Yes", "No")</f>
        <v>Yes</v>
      </c>
    </row>
  </sheetData>
  <conditionalFormatting sqref="D2:D101">
    <cfRule type="cellIs" dxfId="1" priority="1" operator="greaterThan">
      <formula>153</formula>
    </cfRule>
  </conditionalFormatting>
  <pageMargins left="0.7" right="0.7" top="0.75" bottom="0.75" header="0.3" footer="0.3"/>
  <legacyDrawing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AD8133-552F-4D43-BFDE-AC8FDEE43759}">
  <dimension ref="A5:H46"/>
  <sheetViews>
    <sheetView workbookViewId="0">
      <selection activeCell="A27" sqref="A27"/>
    </sheetView>
  </sheetViews>
  <sheetFormatPr defaultRowHeight="14.4" x14ac:dyDescent="0.3"/>
  <cols>
    <col min="1" max="4" width="8.88671875" style="18"/>
    <col min="5" max="5" width="11.77734375" style="18" bestFit="1" customWidth="1"/>
    <col min="6" max="16384" width="8.88671875" style="18"/>
  </cols>
  <sheetData>
    <row r="5" spans="1:3" x14ac:dyDescent="0.3">
      <c r="A5" s="19" t="s">
        <v>187</v>
      </c>
      <c r="B5" s="19"/>
      <c r="C5" s="19"/>
    </row>
    <row r="6" spans="1:3" x14ac:dyDescent="0.3">
      <c r="A6" s="20" t="s">
        <v>155</v>
      </c>
      <c r="B6" s="21" t="s">
        <v>156</v>
      </c>
      <c r="C6" s="20" t="s">
        <v>157</v>
      </c>
    </row>
    <row r="7" spans="1:3" x14ac:dyDescent="0.3">
      <c r="A7" s="22" cm="1">
        <f t="array" ref="A7:A40">_xlfn._xlws.FILTER(Table1[Defect Rates], Table1[Product Type]=A6)</f>
        <v>0.226410360849925</v>
      </c>
      <c r="B7" s="22" cm="1">
        <f t="array" ref="B7:B46">_xlfn._xlws.FILTER(Table1[Defect Rates], Table1[Product Type]=B6)</f>
        <v>4.8540680263886999</v>
      </c>
      <c r="C7" s="22" cm="1">
        <f t="array" ref="C7:C32">_xlfn._xlws.FILTER(Table1[Defect Rates], Table1[Product Type]=C6)</f>
        <v>0.39817718685065001</v>
      </c>
    </row>
    <row r="8" spans="1:3" x14ac:dyDescent="0.3">
      <c r="A8" s="22">
        <v>4.5805926191992201</v>
      </c>
      <c r="B8" s="22">
        <v>4.7466486206477496</v>
      </c>
      <c r="C8" s="22">
        <v>2.7098626911099601</v>
      </c>
    </row>
    <row r="9" spans="1:3" x14ac:dyDescent="0.3">
      <c r="A9" s="22">
        <v>2.7791935115711599</v>
      </c>
      <c r="B9" s="22">
        <v>3.1455795228330001</v>
      </c>
      <c r="C9" s="22">
        <v>0.102020754918176</v>
      </c>
    </row>
    <row r="10" spans="1:3" x14ac:dyDescent="0.3">
      <c r="A10" s="22">
        <v>2.1612537475559099</v>
      </c>
      <c r="B10" s="22">
        <v>1.0009106193041299</v>
      </c>
      <c r="C10" s="22">
        <v>1.8607567631014899E-2</v>
      </c>
    </row>
    <row r="11" spans="1:3" x14ac:dyDescent="0.3">
      <c r="A11" s="22">
        <v>2.2319391107292601</v>
      </c>
      <c r="B11" s="22">
        <v>3.8446144787675798</v>
      </c>
      <c r="C11" s="22">
        <v>1.3422915627227301</v>
      </c>
    </row>
    <row r="12" spans="1:3" x14ac:dyDescent="0.3">
      <c r="A12" s="22">
        <v>2.5912754732111098</v>
      </c>
      <c r="B12" s="22">
        <v>1.72731392835594</v>
      </c>
      <c r="C12" s="22">
        <v>2.8646678378833701</v>
      </c>
    </row>
    <row r="13" spans="1:3" x14ac:dyDescent="0.3">
      <c r="A13" s="22">
        <v>3.69131029262872</v>
      </c>
      <c r="B13" s="22">
        <v>2.1169821372994301E-2</v>
      </c>
      <c r="C13" s="22">
        <v>0.81575707929567198</v>
      </c>
    </row>
    <row r="14" spans="1:3" x14ac:dyDescent="0.3">
      <c r="A14" s="22">
        <v>3.79723121711418</v>
      </c>
      <c r="B14" s="22">
        <v>1.63107423007153</v>
      </c>
      <c r="C14" s="22">
        <v>3.8780989365884802</v>
      </c>
    </row>
    <row r="15" spans="1:3" x14ac:dyDescent="0.3">
      <c r="A15" s="22">
        <v>2.1193197367249201</v>
      </c>
      <c r="B15" s="22">
        <v>0.100682851565093</v>
      </c>
      <c r="C15" s="22">
        <v>3.54104601225092</v>
      </c>
    </row>
    <row r="16" spans="1:3" x14ac:dyDescent="0.3">
      <c r="A16" s="22">
        <v>0.96539470535239302</v>
      </c>
      <c r="B16" s="22">
        <v>2.2644057611985402</v>
      </c>
      <c r="C16" s="22">
        <v>0.54115409806058101</v>
      </c>
    </row>
    <row r="17" spans="1:8" x14ac:dyDescent="0.3">
      <c r="A17" s="22">
        <v>0.37230476798509698</v>
      </c>
      <c r="B17" s="22">
        <v>1.01256308925804</v>
      </c>
      <c r="C17" s="22">
        <v>0.613326899164507</v>
      </c>
    </row>
    <row r="18" spans="1:8" x14ac:dyDescent="0.3">
      <c r="A18" s="22">
        <v>3.2196046120841002</v>
      </c>
      <c r="B18" s="22">
        <v>3.64645086541702</v>
      </c>
      <c r="C18" s="22">
        <v>2.9626263204548802</v>
      </c>
    </row>
    <row r="19" spans="1:8" x14ac:dyDescent="0.3">
      <c r="A19" s="22">
        <v>3.6486105925361998</v>
      </c>
      <c r="B19" s="22">
        <v>4.2314165735345304</v>
      </c>
      <c r="C19" s="22">
        <v>2.8258139854001301</v>
      </c>
    </row>
    <row r="20" spans="1:8" x14ac:dyDescent="0.3">
      <c r="A20" s="22">
        <v>1.6981125407144</v>
      </c>
      <c r="B20" s="22">
        <v>2.9890000066550702</v>
      </c>
      <c r="C20" s="22">
        <v>4.7548008046711798</v>
      </c>
    </row>
    <row r="21" spans="1:8" x14ac:dyDescent="0.3">
      <c r="A21" s="22">
        <v>1.77295117208355</v>
      </c>
      <c r="B21" s="22">
        <v>1.94603611938611</v>
      </c>
      <c r="C21" s="22">
        <v>0.44719401546382298</v>
      </c>
    </row>
    <row r="22" spans="1:8" x14ac:dyDescent="0.3">
      <c r="A22" s="22">
        <v>2.4787719755397402</v>
      </c>
      <c r="B22" s="22">
        <v>0.64660455937205397</v>
      </c>
      <c r="C22" s="22">
        <v>1.87400140404437</v>
      </c>
    </row>
    <row r="23" spans="1:8" x14ac:dyDescent="0.3">
      <c r="A23" s="22">
        <v>4.5489196593963799</v>
      </c>
      <c r="B23" s="22">
        <v>3.8055333792433501</v>
      </c>
      <c r="C23" s="22">
        <v>2.07875060787496</v>
      </c>
    </row>
    <row r="24" spans="1:8" x14ac:dyDescent="0.3">
      <c r="A24" s="22">
        <v>2.5111748302126999</v>
      </c>
      <c r="B24" s="22">
        <v>2.61028808484811</v>
      </c>
      <c r="C24" s="22">
        <v>3.2133296074383</v>
      </c>
    </row>
    <row r="25" spans="1:8" x14ac:dyDescent="0.3">
      <c r="A25" s="22">
        <v>4.3674705382050503</v>
      </c>
      <c r="B25" s="22">
        <v>1.4519722039968099</v>
      </c>
      <c r="C25" s="22">
        <v>4.6205460645137002</v>
      </c>
      <c r="E25" s="19"/>
      <c r="F25" s="19" t="s">
        <v>155</v>
      </c>
      <c r="G25" s="19" t="s">
        <v>156</v>
      </c>
      <c r="H25" s="19" t="s">
        <v>157</v>
      </c>
    </row>
    <row r="26" spans="1:8" x14ac:dyDescent="0.3">
      <c r="A26" s="22">
        <v>1.9834678721741801</v>
      </c>
      <c r="B26" s="22">
        <v>4.2132694305865597</v>
      </c>
      <c r="C26" s="22">
        <v>1.3744289997457499</v>
      </c>
      <c r="E26" s="19" t="s">
        <v>176</v>
      </c>
      <c r="F26" s="19">
        <f>_xlfn.QUARTILE.INC(_xlfn.ANCHORARRAY(A7), 1)</f>
        <v>1.7168221985566876</v>
      </c>
      <c r="G26" s="19">
        <f>_xlfn.QUARTILE.INC(_xlfn.ANCHORARRAY(B7), 1)</f>
        <v>1.2079755421478975</v>
      </c>
      <c r="H26" s="19">
        <f>_xlfn.QUARTILE.INC(_xlfn.ANCHORARRAY(C7), 1)</f>
        <v>0.61649563892572878</v>
      </c>
    </row>
    <row r="27" spans="1:8" x14ac:dyDescent="0.3">
      <c r="A27" s="22">
        <v>1.8305755986122301</v>
      </c>
      <c r="B27" s="22">
        <v>4.5302262398259602E-2</v>
      </c>
      <c r="C27" s="22">
        <v>0.722204401882931</v>
      </c>
      <c r="E27" s="19" t="s">
        <v>177</v>
      </c>
      <c r="F27" s="19">
        <f>_xlfn.QUARTILE.INC(_xlfn.ANCHORARRAY(A7), 3)</f>
        <v>3.6806353676055901</v>
      </c>
      <c r="G27" s="19">
        <f>_xlfn.QUARTILE.INC(_xlfn.ANCHORARRAY(B7), 3)</f>
        <v>3.6362451841408525</v>
      </c>
      <c r="H27" s="19">
        <f>_xlfn.QUARTILE.INC(_xlfn.ANCHORARRAY(C7), 3)</f>
        <v>2.9381366998120027</v>
      </c>
    </row>
    <row r="28" spans="1:8" x14ac:dyDescent="0.3">
      <c r="A28" s="22">
        <v>0.39661272410993498</v>
      </c>
      <c r="B28" s="22">
        <v>4.9392552886209398</v>
      </c>
      <c r="C28" s="22">
        <v>1.9076657339590699</v>
      </c>
      <c r="E28" s="19" t="s">
        <v>178</v>
      </c>
      <c r="F28" s="19">
        <f>F27-F26</f>
        <v>1.9638131690489025</v>
      </c>
      <c r="G28" s="19">
        <f t="shared" ref="G28:H28" si="0">G27-G26</f>
        <v>2.428269641992955</v>
      </c>
      <c r="H28" s="19">
        <f t="shared" si="0"/>
        <v>2.3216410608862739</v>
      </c>
    </row>
    <row r="29" spans="1:8" x14ac:dyDescent="0.3">
      <c r="A29" s="22">
        <v>2.1800374515822099</v>
      </c>
      <c r="B29" s="22">
        <v>0.38057358671321301</v>
      </c>
      <c r="C29" s="22">
        <v>0.62600185820939402</v>
      </c>
      <c r="E29" s="19" t="s">
        <v>179</v>
      </c>
      <c r="F29" s="19">
        <f>F26-(F28*1.5)</f>
        <v>-1.2288975550166659</v>
      </c>
      <c r="G29" s="19">
        <f t="shared" ref="G29:H29" si="1">G26-(G28*1.5)</f>
        <v>-2.4344289208415351</v>
      </c>
      <c r="H29" s="19">
        <f t="shared" si="1"/>
        <v>-2.8659659524036822</v>
      </c>
    </row>
    <row r="30" spans="1:8" x14ac:dyDescent="0.3">
      <c r="A30" s="22">
        <v>3.0551418183075398</v>
      </c>
      <c r="B30" s="22">
        <v>2.1224716191438202</v>
      </c>
      <c r="C30" s="22">
        <v>0.33343182522473902</v>
      </c>
      <c r="E30" s="19" t="s">
        <v>180</v>
      </c>
      <c r="F30" s="19">
        <f>F27+(F28*1.5)</f>
        <v>6.6263551211789435</v>
      </c>
      <c r="G30" s="19">
        <f t="shared" ref="G30:H30" si="2">G27+(G28*1.5)</f>
        <v>7.2786496471302851</v>
      </c>
      <c r="H30" s="19">
        <f t="shared" si="2"/>
        <v>6.4205982911414132</v>
      </c>
    </row>
    <row r="31" spans="1:8" x14ac:dyDescent="0.3">
      <c r="A31" s="22">
        <v>4.0968813324704501</v>
      </c>
      <c r="B31" s="22">
        <v>1.41034757607602</v>
      </c>
      <c r="C31" s="22">
        <v>1.4636074984727701</v>
      </c>
      <c r="E31" s="19" t="s">
        <v>182</v>
      </c>
      <c r="F31" s="22">
        <f>MIN(_xlfn.ANCHORARRAY(A7))</f>
        <v>0.16587162748060799</v>
      </c>
      <c r="G31" s="22">
        <f>MIN(_xlfn.ANCHORARRAY(B7))</f>
        <v>2.1169821372994301E-2</v>
      </c>
      <c r="H31" s="22">
        <f>MIN(_xlfn.ANCHORARRAY(C7))</f>
        <v>1.8607567631014899E-2</v>
      </c>
    </row>
    <row r="32" spans="1:8" x14ac:dyDescent="0.3">
      <c r="A32" s="22">
        <v>0.16587162748060799</v>
      </c>
      <c r="B32" s="22">
        <v>1.1737554953874501</v>
      </c>
      <c r="C32" s="22">
        <v>3.8720476814821301</v>
      </c>
      <c r="E32" s="19" t="s">
        <v>183</v>
      </c>
      <c r="F32" s="22">
        <f>MAX(_xlfn.ANCHORARRAY(A7))</f>
        <v>4.8434565771180402</v>
      </c>
      <c r="G32" s="22">
        <f>MAX(_xlfn.ANCHORARRAY(B7))</f>
        <v>4.9392552886209398</v>
      </c>
      <c r="H32" s="22">
        <f>MAX(_xlfn.ANCHORARRAY(C7))</f>
        <v>4.7548008046711798</v>
      </c>
    </row>
    <row r="33" spans="1:8" x14ac:dyDescent="0.3">
      <c r="A33" s="22">
        <v>2.54754712154871</v>
      </c>
      <c r="B33" s="22">
        <v>1.7303747198591899</v>
      </c>
      <c r="C33" s="22"/>
      <c r="E33" s="19" t="s">
        <v>181</v>
      </c>
      <c r="F33" s="22">
        <f>AVERAGE(_xlfn.ANCHORARRAY(A7))</f>
        <v>2.4831501929246214</v>
      </c>
      <c r="G33" s="22">
        <f>AVERAGE(_xlfn.ANCHORARRAY(B7))</f>
        <v>2.3346807819802327</v>
      </c>
      <c r="H33" s="22">
        <f>AVERAGE(_xlfn.ANCHORARRAY(C7))</f>
        <v>1.9192869782813149</v>
      </c>
    </row>
    <row r="34" spans="1:8" x14ac:dyDescent="0.3">
      <c r="A34" s="22">
        <v>0.77300613406724705</v>
      </c>
      <c r="B34" s="22">
        <v>2.8530906166490499</v>
      </c>
      <c r="C34" s="22"/>
      <c r="E34" s="19" t="s">
        <v>188</v>
      </c>
      <c r="F34" s="22">
        <f>MEDIAN(_xlfn.ANCHORARRAY(A7))</f>
        <v>2.4949734028762203</v>
      </c>
      <c r="G34" s="22">
        <f>MEDIAN(_xlfn.ANCHORARRAY(B7))</f>
        <v>2.0869922749550298</v>
      </c>
      <c r="H34" s="22">
        <f>MEDIAN(_xlfn.ANCHORARRAY(C7))</f>
        <v>1.66880445125857</v>
      </c>
    </row>
    <row r="35" spans="1:8" x14ac:dyDescent="0.3">
      <c r="A35" s="22">
        <v>4.8434565771180402</v>
      </c>
      <c r="B35" s="22">
        <v>3.6328432903821302</v>
      </c>
      <c r="C35" s="22"/>
    </row>
    <row r="36" spans="1:8" x14ac:dyDescent="0.3">
      <c r="A36" s="22">
        <v>3.6937377878392699</v>
      </c>
      <c r="B36" s="22">
        <v>0.15948631471751401</v>
      </c>
      <c r="C36" s="22"/>
    </row>
    <row r="37" spans="1:8" x14ac:dyDescent="0.3">
      <c r="A37" s="22">
        <v>4.1657817954241398</v>
      </c>
      <c r="B37" s="22">
        <v>4.9110959548423301</v>
      </c>
      <c r="C37" s="22"/>
    </row>
    <row r="38" spans="1:8" x14ac:dyDescent="0.3">
      <c r="A38" s="22">
        <v>1.21088212958506</v>
      </c>
      <c r="B38" s="22">
        <v>3.44806328834026</v>
      </c>
      <c r="C38" s="22"/>
    </row>
    <row r="39" spans="1:8" x14ac:dyDescent="0.3">
      <c r="A39" s="22">
        <v>3.3762378347179798</v>
      </c>
      <c r="B39" s="22">
        <v>0.131955444311814</v>
      </c>
      <c r="C39" s="22"/>
    </row>
    <row r="40" spans="1:8" x14ac:dyDescent="0.3">
      <c r="A40" s="22">
        <v>0.34602729070550298</v>
      </c>
      <c r="B40" s="22">
        <v>1.3623879886490999</v>
      </c>
      <c r="C40" s="22"/>
    </row>
    <row r="41" spans="1:8" x14ac:dyDescent="0.3">
      <c r="B41" s="18">
        <v>2.0300690886687498</v>
      </c>
    </row>
    <row r="42" spans="1:8" x14ac:dyDescent="0.3">
      <c r="B42" s="18">
        <v>2.8496621985053299</v>
      </c>
    </row>
    <row r="43" spans="1:8" x14ac:dyDescent="0.3">
      <c r="B43" s="18">
        <v>4.1378770486223502</v>
      </c>
    </row>
    <row r="44" spans="1:8" x14ac:dyDescent="0.3">
      <c r="B44" s="18">
        <v>2.0515129307662399</v>
      </c>
    </row>
    <row r="45" spans="1:8" x14ac:dyDescent="0.3">
      <c r="B45" s="18">
        <v>1.2193822244013801</v>
      </c>
    </row>
    <row r="46" spans="1:8" x14ac:dyDescent="0.3">
      <c r="B46" s="18">
        <v>2.9081221693512598</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A1DF14-1B3E-4BD6-859F-B419FF4EAC6A}">
  <dimension ref="A1:AC109"/>
  <sheetViews>
    <sheetView workbookViewId="0">
      <selection activeCell="A6" sqref="A6"/>
    </sheetView>
  </sheetViews>
  <sheetFormatPr defaultRowHeight="14.4" x14ac:dyDescent="0.3"/>
  <cols>
    <col min="1" max="1" width="6.33203125" style="18" customWidth="1"/>
    <col min="2" max="2" width="14.109375" style="18" customWidth="1"/>
    <col min="3" max="3" width="12.109375" style="18" customWidth="1"/>
    <col min="4" max="4" width="13.109375" style="18" customWidth="1"/>
    <col min="5" max="5" width="12.21875" style="18" customWidth="1"/>
    <col min="6" max="6" width="7" style="18" bestFit="1" customWidth="1"/>
    <col min="7" max="7" width="15.109375" style="18" customWidth="1"/>
    <col min="8" max="8" width="20.33203125" style="18" customWidth="1"/>
    <col min="9" max="9" width="8" style="18" bestFit="1" customWidth="1"/>
    <col min="10" max="10" width="13.33203125" style="18" customWidth="1"/>
    <col min="11" max="11" width="15.21875" style="18" customWidth="1"/>
    <col min="12" max="12" width="14.88671875" style="18" customWidth="1"/>
    <col min="13" max="13" width="17.77734375" style="18" customWidth="1"/>
    <col min="14" max="14" width="19" style="18" customWidth="1"/>
    <col min="15" max="15" width="18.88671875" style="18" customWidth="1"/>
    <col min="16" max="16" width="19" style="18" customWidth="1"/>
    <col min="17" max="17" width="8.88671875" style="18"/>
    <col min="18" max="18" width="12.5546875" style="18" bestFit="1" customWidth="1"/>
    <col min="19" max="19" width="17.6640625" style="18" bestFit="1" customWidth="1"/>
    <col min="20" max="20" width="15.6640625" style="18" bestFit="1" customWidth="1"/>
    <col min="21" max="21" width="15.5546875" style="18" bestFit="1" customWidth="1"/>
    <col min="22" max="23" width="10.77734375" style="18" bestFit="1" customWidth="1"/>
    <col min="24" max="26" width="8.88671875" style="18"/>
    <col min="27" max="27" width="12.5546875" style="18" bestFit="1" customWidth="1"/>
    <col min="28" max="28" width="27.109375" style="18" bestFit="1" customWidth="1"/>
    <col min="29" max="29" width="23.44140625" style="18" bestFit="1" customWidth="1"/>
    <col min="30" max="30" width="24.77734375" style="18" bestFit="1" customWidth="1"/>
    <col min="31" max="16384" width="8.88671875" style="18"/>
  </cols>
  <sheetData>
    <row r="1" spans="1:24" x14ac:dyDescent="0.3">
      <c r="S1" s="38" t="s">
        <v>202</v>
      </c>
      <c r="T1" s="30" t="s">
        <v>190</v>
      </c>
      <c r="U1" s="30" t="s">
        <v>191</v>
      </c>
    </row>
    <row r="2" spans="1:24" x14ac:dyDescent="0.3">
      <c r="S2" s="30" t="s">
        <v>182</v>
      </c>
      <c r="T2" s="30">
        <f>MIN(L10:L109)</f>
        <v>2.6143790849673203E-2</v>
      </c>
      <c r="U2" s="31">
        <f>MIN(M10:M109)</f>
        <v>8660.0498033965796</v>
      </c>
    </row>
    <row r="3" spans="1:24" x14ac:dyDescent="0.3">
      <c r="S3" s="30" t="s">
        <v>183</v>
      </c>
      <c r="T3" s="30">
        <f>MAX(L10:L109)</f>
        <v>100.22222222222221</v>
      </c>
      <c r="U3" s="30">
        <f>MAX(M10:M109)</f>
        <v>729685.63162618107</v>
      </c>
    </row>
    <row r="4" spans="1:24" x14ac:dyDescent="0.3">
      <c r="S4" s="30" t="s">
        <v>185</v>
      </c>
      <c r="T4" s="30">
        <f>T3-T2</f>
        <v>100.19607843137254</v>
      </c>
      <c r="U4" s="31">
        <f>U3-U2</f>
        <v>721025.5818227845</v>
      </c>
    </row>
    <row r="9" spans="1:24" x14ac:dyDescent="0.3">
      <c r="A9" s="25" t="s">
        <v>1</v>
      </c>
      <c r="B9" s="10" t="s">
        <v>154</v>
      </c>
      <c r="C9" s="10" t="s">
        <v>3</v>
      </c>
      <c r="D9" s="10" t="s">
        <v>167</v>
      </c>
      <c r="E9" s="10" t="s">
        <v>168</v>
      </c>
      <c r="F9" s="10" t="s">
        <v>2</v>
      </c>
      <c r="G9" s="10" t="s">
        <v>171</v>
      </c>
      <c r="H9" s="10" t="s">
        <v>174</v>
      </c>
      <c r="I9" s="10" t="s">
        <v>23</v>
      </c>
      <c r="J9" s="10" t="s">
        <v>175</v>
      </c>
      <c r="K9" s="10" t="s">
        <v>189</v>
      </c>
      <c r="L9" s="18" t="s">
        <v>190</v>
      </c>
      <c r="M9" s="18" t="s">
        <v>191</v>
      </c>
      <c r="N9" s="18" t="s">
        <v>192</v>
      </c>
      <c r="O9" s="18" t="s">
        <v>193</v>
      </c>
      <c r="P9" s="18" t="s">
        <v>194</v>
      </c>
    </row>
    <row r="10" spans="1:24" x14ac:dyDescent="0.3">
      <c r="A10" s="26" t="s">
        <v>25</v>
      </c>
      <c r="B10" s="15" t="s">
        <v>155</v>
      </c>
      <c r="C10" s="15">
        <v>55</v>
      </c>
      <c r="D10" s="15">
        <v>58</v>
      </c>
      <c r="E10" s="15">
        <v>7</v>
      </c>
      <c r="F10" s="23">
        <v>69.808005542115694</v>
      </c>
      <c r="G10" s="23">
        <v>2.9565721394308002</v>
      </c>
      <c r="H10" s="23">
        <v>46.279879240508301</v>
      </c>
      <c r="I10" s="23">
        <v>187.75207545920301</v>
      </c>
      <c r="J10" s="15">
        <v>0.226410360849925</v>
      </c>
      <c r="K10" s="11">
        <v>8.9111111111111114</v>
      </c>
      <c r="L10" s="18">
        <f t="shared" ref="L10:L41" si="0">(E10/C10)*K10</f>
        <v>1.1341414141414141</v>
      </c>
      <c r="M10" s="24">
        <f>(C10+D10)*(F10+G10+H10+I10)*(1+J10)</f>
        <v>42517.204396328067</v>
      </c>
      <c r="N10" s="18">
        <f>(L10-$T$2)/$T$4</f>
        <v>1.105829330486865E-2</v>
      </c>
      <c r="O10" s="18">
        <f>(M10-$U$2)/$U$4</f>
        <v>4.6956939457458789E-2</v>
      </c>
      <c r="P10" s="24">
        <f>(0.5*N10)+(0.5*O10)</f>
        <v>2.9007616381163719E-2</v>
      </c>
    </row>
    <row r="11" spans="1:24" x14ac:dyDescent="0.3">
      <c r="A11" s="4" t="s">
        <v>34</v>
      </c>
      <c r="B11" s="2" t="s">
        <v>156</v>
      </c>
      <c r="C11" s="2">
        <v>95</v>
      </c>
      <c r="D11" s="2">
        <v>53</v>
      </c>
      <c r="E11" s="2">
        <v>30</v>
      </c>
      <c r="F11" s="3">
        <v>14.8435232750843</v>
      </c>
      <c r="G11" s="3">
        <v>9.7165747714313095</v>
      </c>
      <c r="H11" s="3">
        <v>33.616768953730002</v>
      </c>
      <c r="I11" s="3">
        <v>503.06557914966902</v>
      </c>
      <c r="J11" s="2">
        <v>4.8540680263886999</v>
      </c>
      <c r="K11" s="12">
        <v>8.1777777777777771</v>
      </c>
      <c r="L11" s="18">
        <f t="shared" si="0"/>
        <v>2.5824561403508768</v>
      </c>
      <c r="M11" s="24">
        <f t="shared" ref="M11:M74" si="1">(C11+D11)*(F11+G11+H11+I11)*(1+J11)</f>
        <v>486261.61594064272</v>
      </c>
      <c r="N11" s="18">
        <f t="shared" ref="N11:N74" si="2">(L11-$T$2)/$T$4</f>
        <v>2.5513097813025715E-2</v>
      </c>
      <c r="O11" s="18">
        <f t="shared" ref="O11:O74" si="3">(M11-$U$2)/$U$4</f>
        <v>0.66239198466418947</v>
      </c>
      <c r="P11" s="24">
        <f t="shared" ref="P11:P74" si="4">(0.5*N11)+(0.5*O11)</f>
        <v>0.34395254123860758</v>
      </c>
    </row>
    <row r="12" spans="1:24" x14ac:dyDescent="0.3">
      <c r="A12" s="26" t="s">
        <v>37</v>
      </c>
      <c r="B12" s="15" t="s">
        <v>155</v>
      </c>
      <c r="C12" s="15">
        <v>34</v>
      </c>
      <c r="D12" s="15">
        <v>1</v>
      </c>
      <c r="E12" s="15">
        <v>10</v>
      </c>
      <c r="F12" s="23">
        <v>11.319683293090501</v>
      </c>
      <c r="G12" s="23">
        <v>8.0544792617321495</v>
      </c>
      <c r="H12" s="23">
        <v>30.6880193482842</v>
      </c>
      <c r="I12" s="23">
        <v>141.920281771519</v>
      </c>
      <c r="J12" s="15">
        <v>4.5805926191992201</v>
      </c>
      <c r="K12" s="11">
        <v>8.8888888888888892E-2</v>
      </c>
      <c r="L12" s="18">
        <f t="shared" si="0"/>
        <v>2.6143790849673203E-2</v>
      </c>
      <c r="M12" s="24">
        <f t="shared" si="1"/>
        <v>37498.157192940482</v>
      </c>
      <c r="N12" s="18">
        <f t="shared" si="2"/>
        <v>0</v>
      </c>
      <c r="O12" s="18">
        <f t="shared" si="3"/>
        <v>3.9995955922451316E-2</v>
      </c>
      <c r="P12" s="24">
        <f t="shared" si="4"/>
        <v>1.9997977961225658E-2</v>
      </c>
    </row>
    <row r="13" spans="1:24" x14ac:dyDescent="0.3">
      <c r="A13" s="4" t="s">
        <v>42</v>
      </c>
      <c r="B13" s="2" t="s">
        <v>156</v>
      </c>
      <c r="C13" s="2">
        <v>68</v>
      </c>
      <c r="D13" s="2">
        <v>23</v>
      </c>
      <c r="E13" s="2">
        <v>13</v>
      </c>
      <c r="F13" s="3">
        <v>61.1633430164377</v>
      </c>
      <c r="G13" s="3">
        <v>1.7295685635434199</v>
      </c>
      <c r="H13" s="3">
        <v>35.624741397125</v>
      </c>
      <c r="I13" s="3">
        <v>254.776159219286</v>
      </c>
      <c r="J13" s="2">
        <v>4.7466486206477496</v>
      </c>
      <c r="K13" s="12">
        <v>0.92222222222222228</v>
      </c>
      <c r="L13" s="18">
        <f t="shared" si="0"/>
        <v>0.17630718954248367</v>
      </c>
      <c r="M13" s="24">
        <f t="shared" si="1"/>
        <v>184753.24126730213</v>
      </c>
      <c r="N13" s="18">
        <f t="shared" si="2"/>
        <v>1.4986953685583826E-3</v>
      </c>
      <c r="O13" s="18">
        <f t="shared" si="3"/>
        <v>0.24422599683458415</v>
      </c>
      <c r="P13" s="24">
        <f t="shared" si="4"/>
        <v>0.12286234610157126</v>
      </c>
    </row>
    <row r="14" spans="1:24" x14ac:dyDescent="0.3">
      <c r="A14" s="26" t="s">
        <v>49</v>
      </c>
      <c r="B14" s="15" t="s">
        <v>156</v>
      </c>
      <c r="C14" s="15">
        <v>26</v>
      </c>
      <c r="D14" s="15">
        <v>5</v>
      </c>
      <c r="E14" s="15">
        <v>3</v>
      </c>
      <c r="F14" s="23">
        <v>4.8054960363458896</v>
      </c>
      <c r="G14" s="23">
        <v>3.8905479158706702</v>
      </c>
      <c r="H14" s="23">
        <v>92.065160598712794</v>
      </c>
      <c r="I14" s="23">
        <v>923.44063171192204</v>
      </c>
      <c r="J14" s="15">
        <v>3.1455795228330001</v>
      </c>
      <c r="K14" s="11">
        <v>9.6777777777777771</v>
      </c>
      <c r="L14" s="18">
        <f t="shared" si="0"/>
        <v>1.1166666666666667</v>
      </c>
      <c r="M14" s="24">
        <f t="shared" si="1"/>
        <v>131623.21494943625</v>
      </c>
      <c r="N14" s="18">
        <f t="shared" si="2"/>
        <v>1.0883887801696022E-2</v>
      </c>
      <c r="O14" s="18">
        <f t="shared" si="3"/>
        <v>0.17053925442587398</v>
      </c>
      <c r="P14" s="24">
        <f t="shared" si="4"/>
        <v>9.0711571113785E-2</v>
      </c>
    </row>
    <row r="15" spans="1:24" x14ac:dyDescent="0.3">
      <c r="A15" s="4" t="s">
        <v>51</v>
      </c>
      <c r="B15" s="2" t="s">
        <v>155</v>
      </c>
      <c r="C15" s="2">
        <v>87</v>
      </c>
      <c r="D15" s="2">
        <v>90</v>
      </c>
      <c r="E15" s="2">
        <v>27</v>
      </c>
      <c r="F15" s="3">
        <v>1.6999760138659299</v>
      </c>
      <c r="G15" s="3">
        <v>4.4440988643822896</v>
      </c>
      <c r="H15" s="3">
        <v>56.766475557431797</v>
      </c>
      <c r="I15" s="3">
        <v>235.461236735537</v>
      </c>
      <c r="J15" s="2">
        <v>2.7791935115711599</v>
      </c>
      <c r="K15" s="12">
        <v>1.6333333333333333</v>
      </c>
      <c r="L15" s="18">
        <f t="shared" si="0"/>
        <v>0.50689655172413794</v>
      </c>
      <c r="M15" s="24">
        <f t="shared" si="1"/>
        <v>199586.03581406374</v>
      </c>
      <c r="N15" s="18">
        <f t="shared" si="2"/>
        <v>4.798119531232427E-3</v>
      </c>
      <c r="O15" s="18">
        <f t="shared" si="3"/>
        <v>0.26479779750393578</v>
      </c>
      <c r="P15" s="24">
        <f t="shared" si="4"/>
        <v>0.13479795851758411</v>
      </c>
    </row>
    <row r="16" spans="1:24" x14ac:dyDescent="0.3">
      <c r="A16" s="26" t="s">
        <v>54</v>
      </c>
      <c r="B16" s="15" t="s">
        <v>156</v>
      </c>
      <c r="C16" s="15">
        <v>48</v>
      </c>
      <c r="D16" s="15">
        <v>11</v>
      </c>
      <c r="E16" s="15">
        <v>15</v>
      </c>
      <c r="F16" s="23">
        <v>4.0783328631079403</v>
      </c>
      <c r="G16" s="23">
        <v>3.8807633029519999</v>
      </c>
      <c r="H16" s="23">
        <v>1.0850685695870601</v>
      </c>
      <c r="I16" s="23">
        <v>134.36909686103101</v>
      </c>
      <c r="J16" s="15">
        <v>1.0009106193041299</v>
      </c>
      <c r="K16" s="11">
        <v>0.72222222222222221</v>
      </c>
      <c r="L16" s="18">
        <f t="shared" si="0"/>
        <v>0.22569444444444445</v>
      </c>
      <c r="M16" s="24">
        <f t="shared" si="1"/>
        <v>16930.469966592216</v>
      </c>
      <c r="N16" s="18">
        <f t="shared" si="2"/>
        <v>1.9916014350945862E-3</v>
      </c>
      <c r="O16" s="18">
        <f t="shared" si="3"/>
        <v>1.1470356075699352E-2</v>
      </c>
      <c r="P16" s="24">
        <f t="shared" si="4"/>
        <v>6.7309787553969692E-3</v>
      </c>
      <c r="R16" s="30" t="s">
        <v>201</v>
      </c>
      <c r="S16" s="30" t="s">
        <v>200</v>
      </c>
      <c r="T16" s="30" t="s">
        <v>199</v>
      </c>
      <c r="V16" s="117" t="s">
        <v>206</v>
      </c>
      <c r="W16" s="118"/>
      <c r="X16" s="119"/>
    </row>
    <row r="17" spans="1:29" ht="43.2" x14ac:dyDescent="0.3">
      <c r="A17" s="4" t="s">
        <v>58</v>
      </c>
      <c r="B17" s="2" t="s">
        <v>157</v>
      </c>
      <c r="C17" s="2">
        <v>59</v>
      </c>
      <c r="D17" s="2">
        <v>93</v>
      </c>
      <c r="E17" s="2">
        <v>17</v>
      </c>
      <c r="F17" s="3">
        <v>42.958384382459997</v>
      </c>
      <c r="G17" s="3">
        <v>2.3483387844177801</v>
      </c>
      <c r="H17" s="3">
        <v>99.466108603599096</v>
      </c>
      <c r="I17" s="3">
        <v>802.05631181755803</v>
      </c>
      <c r="J17" s="2">
        <v>0.39817718685065001</v>
      </c>
      <c r="K17" s="12">
        <v>4.7333333333333334</v>
      </c>
      <c r="L17" s="18">
        <f t="shared" si="0"/>
        <v>1.3638418079096046</v>
      </c>
      <c r="M17" s="24">
        <f t="shared" si="1"/>
        <v>201222.90607833958</v>
      </c>
      <c r="N17" s="18">
        <f t="shared" si="2"/>
        <v>1.3350802127212624E-2</v>
      </c>
      <c r="O17" s="18">
        <f t="shared" si="3"/>
        <v>0.26706799471405107</v>
      </c>
      <c r="P17" s="24">
        <f t="shared" si="4"/>
        <v>0.14020939842063185</v>
      </c>
      <c r="R17" s="30" t="str" cm="1">
        <f t="array" ref="R17:R21">_xlfn._xlws.FILTER(Table2[SKU], Table2[Consolidated Score]&gt;0.38)</f>
        <v>SKU40</v>
      </c>
      <c r="S17" s="30" t="str">
        <f>_xlfn.XLOOKUP(R17, Table2[SKU], Table2[Product Type])</f>
        <v>Skincare</v>
      </c>
      <c r="T17" s="31">
        <f>VLOOKUP(R17,Table2[#All], 16, 0)</f>
        <v>0.48165054231723992</v>
      </c>
      <c r="V17" s="47" t="s">
        <v>1</v>
      </c>
      <c r="W17" s="47" t="s">
        <v>154</v>
      </c>
      <c r="X17" s="51" t="s">
        <v>194</v>
      </c>
    </row>
    <row r="18" spans="1:29" x14ac:dyDescent="0.3">
      <c r="A18" s="26" t="s">
        <v>59</v>
      </c>
      <c r="B18" s="15" t="s">
        <v>157</v>
      </c>
      <c r="C18" s="15">
        <v>78</v>
      </c>
      <c r="D18" s="15">
        <v>5</v>
      </c>
      <c r="E18" s="15">
        <v>10</v>
      </c>
      <c r="F18" s="23">
        <v>68.717596748527299</v>
      </c>
      <c r="G18" s="23">
        <v>3.4047338570830199</v>
      </c>
      <c r="H18" s="23">
        <v>11.423027139565599</v>
      </c>
      <c r="I18" s="23">
        <v>505.55713422546398</v>
      </c>
      <c r="J18" s="15">
        <v>2.7098626911099601</v>
      </c>
      <c r="K18" s="11">
        <v>1.6666666666666667</v>
      </c>
      <c r="L18" s="18">
        <f t="shared" si="0"/>
        <v>0.21367521367521367</v>
      </c>
      <c r="M18" s="24">
        <f t="shared" si="1"/>
        <v>181395.61656474791</v>
      </c>
      <c r="N18" s="18">
        <f t="shared" si="2"/>
        <v>1.8716443373977623E-3</v>
      </c>
      <c r="O18" s="18">
        <f t="shared" si="3"/>
        <v>0.23956926233417156</v>
      </c>
      <c r="P18" s="24">
        <f t="shared" si="4"/>
        <v>0.12072045333578466</v>
      </c>
      <c r="R18" s="30" t="str">
        <v>SKU42</v>
      </c>
      <c r="S18" s="30" t="str">
        <f>_xlfn.XLOOKUP(R18, Table2[SKU], Table2[Product Type])</f>
        <v>Skincare</v>
      </c>
      <c r="T18" s="31">
        <f>VLOOKUP(R18,Table2[#All], 16, 0)</f>
        <v>0.38476675212993733</v>
      </c>
      <c r="V18" s="48" t="s">
        <v>25</v>
      </c>
      <c r="W18" s="48" t="s">
        <v>155</v>
      </c>
      <c r="X18" s="49">
        <v>2.9007616381163719E-2</v>
      </c>
    </row>
    <row r="19" spans="1:29" x14ac:dyDescent="0.3">
      <c r="A19" s="4" t="s">
        <v>60</v>
      </c>
      <c r="B19" s="2" t="s">
        <v>156</v>
      </c>
      <c r="C19" s="2">
        <v>35</v>
      </c>
      <c r="D19" s="2">
        <v>14</v>
      </c>
      <c r="E19" s="2">
        <v>27</v>
      </c>
      <c r="F19" s="3">
        <v>64.0157329412785</v>
      </c>
      <c r="G19" s="3">
        <v>7.1666452910482104</v>
      </c>
      <c r="H19" s="3">
        <v>47.957601634951502</v>
      </c>
      <c r="I19" s="3">
        <v>995.92946149864099</v>
      </c>
      <c r="J19" s="2">
        <v>3.8446144787675798</v>
      </c>
      <c r="K19" s="12">
        <v>10.888888888888889</v>
      </c>
      <c r="L19" s="18">
        <f t="shared" si="0"/>
        <v>8.4</v>
      </c>
      <c r="M19" s="24">
        <f t="shared" si="1"/>
        <v>264701.99646315788</v>
      </c>
      <c r="N19" s="18">
        <f t="shared" si="2"/>
        <v>8.3574690150032632E-2</v>
      </c>
      <c r="O19" s="18">
        <f t="shared" si="3"/>
        <v>0.35510799216371208</v>
      </c>
      <c r="P19" s="24">
        <f t="shared" si="4"/>
        <v>0.21934134115687237</v>
      </c>
      <c r="R19" s="30" t="str">
        <v>SKU52</v>
      </c>
      <c r="S19" s="30" t="str">
        <f>_xlfn.XLOOKUP(R19, Table2[SKU], Table2[Product Type])</f>
        <v>Skincare</v>
      </c>
      <c r="T19" s="31">
        <f>VLOOKUP(R19,Table2[#All], 16, 0)</f>
        <v>0.59515161883525114</v>
      </c>
      <c r="V19" s="48" t="s">
        <v>63</v>
      </c>
      <c r="W19" s="48" t="s">
        <v>156</v>
      </c>
      <c r="X19" s="49">
        <v>0.16783057141936827</v>
      </c>
    </row>
    <row r="20" spans="1:29" x14ac:dyDescent="0.3">
      <c r="A20" s="26" t="s">
        <v>63</v>
      </c>
      <c r="B20" s="15" t="s">
        <v>156</v>
      </c>
      <c r="C20" s="15">
        <v>11</v>
      </c>
      <c r="D20" s="15">
        <v>51</v>
      </c>
      <c r="E20" s="15">
        <v>13</v>
      </c>
      <c r="F20" s="23">
        <v>15.707795681912099</v>
      </c>
      <c r="G20" s="23">
        <v>8.6732112112786108</v>
      </c>
      <c r="H20" s="23">
        <v>96.527352785310896</v>
      </c>
      <c r="I20" s="23">
        <v>806.10317770292295</v>
      </c>
      <c r="J20" s="15">
        <v>1.72731392835594</v>
      </c>
      <c r="K20" s="11">
        <v>11.066666666666666</v>
      </c>
      <c r="L20" s="18">
        <f t="shared" si="0"/>
        <v>13.07878787878788</v>
      </c>
      <c r="M20" s="24">
        <f t="shared" si="1"/>
        <v>156751.59161411476</v>
      </c>
      <c r="N20" s="18">
        <f t="shared" si="2"/>
        <v>0.13027100753128151</v>
      </c>
      <c r="O20" s="18">
        <f t="shared" si="3"/>
        <v>0.20539013530745504</v>
      </c>
      <c r="P20" s="24">
        <f t="shared" si="4"/>
        <v>0.16783057141936827</v>
      </c>
      <c r="R20" s="30" t="str">
        <v>SKU84</v>
      </c>
      <c r="S20" s="30" t="str">
        <f>_xlfn.XLOOKUP(R20, Table2[SKU], Table2[Product Type])</f>
        <v>Haircare</v>
      </c>
      <c r="T20" s="31">
        <f>VLOOKUP(R20,Table2[#All], 16, 0)</f>
        <v>0.41878470252980632</v>
      </c>
      <c r="V20" s="50" t="s">
        <v>65</v>
      </c>
      <c r="W20" s="50" t="s">
        <v>156</v>
      </c>
      <c r="X20" s="49">
        <v>3.1660569885117222E-2</v>
      </c>
    </row>
    <row r="21" spans="1:29" x14ac:dyDescent="0.3">
      <c r="A21" s="4" t="s">
        <v>65</v>
      </c>
      <c r="B21" s="2" t="s">
        <v>156</v>
      </c>
      <c r="C21" s="2">
        <v>95</v>
      </c>
      <c r="D21" s="2">
        <v>46</v>
      </c>
      <c r="E21" s="2">
        <v>23</v>
      </c>
      <c r="F21" s="3">
        <v>90.635459982288594</v>
      </c>
      <c r="G21" s="3">
        <v>4.5239431243166601</v>
      </c>
      <c r="H21" s="3">
        <v>27.5923630866636</v>
      </c>
      <c r="I21" s="3">
        <v>126.72303340940699</v>
      </c>
      <c r="J21" s="2">
        <v>2.1169821372994301E-2</v>
      </c>
      <c r="K21" s="12">
        <v>10.666666666666666</v>
      </c>
      <c r="L21" s="18">
        <f t="shared" si="0"/>
        <v>2.5824561403508772</v>
      </c>
      <c r="M21" s="24">
        <f t="shared" si="1"/>
        <v>35920.615253173251</v>
      </c>
      <c r="N21" s="18">
        <f t="shared" si="2"/>
        <v>2.5513097813025718E-2</v>
      </c>
      <c r="O21" s="18">
        <f t="shared" si="3"/>
        <v>3.780804195720873E-2</v>
      </c>
      <c r="P21" s="24">
        <f t="shared" si="4"/>
        <v>3.1660569885117222E-2</v>
      </c>
      <c r="R21" s="30" t="str">
        <v>SKU93</v>
      </c>
      <c r="S21" s="30" t="str">
        <f>_xlfn.XLOOKUP(R21, Table2[SKU], Table2[Product Type])</f>
        <v>Haircare</v>
      </c>
      <c r="T21" s="31">
        <f>VLOOKUP(R21,Table2[#All], 16, 0)</f>
        <v>0.50109062740912058</v>
      </c>
      <c r="V21" s="48" t="s">
        <v>66</v>
      </c>
      <c r="W21" s="48" t="s">
        <v>155</v>
      </c>
      <c r="X21" s="49">
        <v>0.16446540276252053</v>
      </c>
    </row>
    <row r="22" spans="1:29" x14ac:dyDescent="0.3">
      <c r="A22" s="26" t="s">
        <v>66</v>
      </c>
      <c r="B22" s="15" t="s">
        <v>155</v>
      </c>
      <c r="C22" s="15">
        <v>41</v>
      </c>
      <c r="D22" s="15">
        <v>100</v>
      </c>
      <c r="E22" s="15">
        <v>30</v>
      </c>
      <c r="F22" s="23">
        <v>71.213389075359999</v>
      </c>
      <c r="G22" s="23">
        <v>1.32527401018452</v>
      </c>
      <c r="H22" s="23">
        <v>32.321286213424003</v>
      </c>
      <c r="I22" s="23">
        <v>402.96878907376998</v>
      </c>
      <c r="J22" s="15">
        <v>2.1612537475559099</v>
      </c>
      <c r="K22" s="11">
        <v>3.7333333333333334</v>
      </c>
      <c r="L22" s="18">
        <f t="shared" si="0"/>
        <v>2.7317073170731705</v>
      </c>
      <c r="M22" s="24">
        <f t="shared" si="1"/>
        <v>226357.94582393469</v>
      </c>
      <c r="N22" s="18">
        <f t="shared" si="2"/>
        <v>2.7002688813580897E-2</v>
      </c>
      <c r="O22" s="18">
        <f t="shared" si="3"/>
        <v>0.30192811671146014</v>
      </c>
      <c r="P22" s="24">
        <f t="shared" si="4"/>
        <v>0.16446540276252053</v>
      </c>
      <c r="V22" s="50" t="s">
        <v>67</v>
      </c>
      <c r="W22" s="50" t="s">
        <v>156</v>
      </c>
      <c r="X22" s="49">
        <v>0.11998057514793647</v>
      </c>
    </row>
    <row r="23" spans="1:29" ht="28.8" x14ac:dyDescent="0.3">
      <c r="A23" s="4" t="s">
        <v>67</v>
      </c>
      <c r="B23" s="2" t="s">
        <v>156</v>
      </c>
      <c r="C23" s="2">
        <v>5</v>
      </c>
      <c r="D23" s="2">
        <v>80</v>
      </c>
      <c r="E23" s="2">
        <v>8</v>
      </c>
      <c r="F23" s="3">
        <v>16.160393317379899</v>
      </c>
      <c r="G23" s="3">
        <v>9.5372830611083295</v>
      </c>
      <c r="H23" s="3">
        <v>97.829050110173199</v>
      </c>
      <c r="I23" s="3">
        <v>547.24100516096803</v>
      </c>
      <c r="J23" s="2">
        <v>1.63107423007153</v>
      </c>
      <c r="K23" s="12">
        <v>2.7666666666666666</v>
      </c>
      <c r="L23" s="18">
        <f t="shared" si="0"/>
        <v>4.4266666666666667</v>
      </c>
      <c r="M23" s="24">
        <f t="shared" si="1"/>
        <v>150011.3739140844</v>
      </c>
      <c r="N23" s="18">
        <f t="shared" si="2"/>
        <v>4.3919112850619703E-2</v>
      </c>
      <c r="O23" s="18">
        <f t="shared" si="3"/>
        <v>0.19604203744525325</v>
      </c>
      <c r="P23" s="24">
        <f t="shared" si="4"/>
        <v>0.11998057514793647</v>
      </c>
      <c r="R23" s="37" t="s">
        <v>203</v>
      </c>
      <c r="S23" s="37" t="s">
        <v>197</v>
      </c>
      <c r="T23" s="33" t="s">
        <v>154</v>
      </c>
      <c r="V23" s="48" t="s">
        <v>68</v>
      </c>
      <c r="W23" s="48" t="s">
        <v>156</v>
      </c>
      <c r="X23" s="49">
        <v>9.1895629535862999E-2</v>
      </c>
    </row>
    <row r="24" spans="1:29" x14ac:dyDescent="0.3">
      <c r="A24" s="26" t="s">
        <v>68</v>
      </c>
      <c r="B24" s="15" t="s">
        <v>156</v>
      </c>
      <c r="C24" s="15">
        <v>26</v>
      </c>
      <c r="D24" s="15">
        <v>54</v>
      </c>
      <c r="E24" s="15">
        <v>29</v>
      </c>
      <c r="F24" s="23">
        <v>99.171328638624104</v>
      </c>
      <c r="G24" s="23">
        <v>2.0397701894493299</v>
      </c>
      <c r="H24" s="23">
        <v>5.7914366298629796</v>
      </c>
      <c r="I24" s="23">
        <v>929.23528996088896</v>
      </c>
      <c r="J24" s="15">
        <v>0.100682851565093</v>
      </c>
      <c r="K24" s="11">
        <v>6.2444444444444445</v>
      </c>
      <c r="L24" s="18">
        <f t="shared" si="0"/>
        <v>6.9649572649572651</v>
      </c>
      <c r="M24" s="24">
        <f t="shared" si="1"/>
        <v>91245.536366528308</v>
      </c>
      <c r="N24" s="18">
        <f t="shared" si="2"/>
        <v>6.92523458276883E-2</v>
      </c>
      <c r="O24" s="18">
        <f t="shared" si="3"/>
        <v>0.1145389132440377</v>
      </c>
      <c r="P24" s="24">
        <f t="shared" si="4"/>
        <v>9.1895629535862999E-2</v>
      </c>
      <c r="R24" s="44" t="s">
        <v>106</v>
      </c>
      <c r="S24" s="35">
        <v>0.59515161883525114</v>
      </c>
      <c r="T24" s="36" t="str" cm="1">
        <f t="array" ref="T24">_xlfn.XLOOKUP(R24, Table2[[#All],[SKU]], Table2[[#All],[Product Type]])</f>
        <v>Skincare</v>
      </c>
      <c r="V24" s="50" t="s">
        <v>69</v>
      </c>
      <c r="W24" s="50" t="s">
        <v>156</v>
      </c>
      <c r="X24" s="49">
        <v>5.7724455734777462E-2</v>
      </c>
    </row>
    <row r="25" spans="1:29" x14ac:dyDescent="0.3">
      <c r="A25" s="4" t="s">
        <v>69</v>
      </c>
      <c r="B25" s="2" t="s">
        <v>156</v>
      </c>
      <c r="C25" s="2">
        <v>94</v>
      </c>
      <c r="D25" s="2">
        <v>9</v>
      </c>
      <c r="E25" s="2">
        <v>8</v>
      </c>
      <c r="F25" s="3">
        <v>36.989244928626903</v>
      </c>
      <c r="G25" s="3">
        <v>2.4220397232752</v>
      </c>
      <c r="H25" s="3">
        <v>97.121281751474299</v>
      </c>
      <c r="I25" s="3">
        <v>127.861800001625</v>
      </c>
      <c r="J25" s="2">
        <v>2.2644057611985402</v>
      </c>
      <c r="K25" s="12">
        <v>5.2111111111111112</v>
      </c>
      <c r="L25" s="18">
        <f t="shared" si="0"/>
        <v>0.44349881796690305</v>
      </c>
      <c r="M25" s="24">
        <f t="shared" si="1"/>
        <v>88898.320770855207</v>
      </c>
      <c r="N25" s="18">
        <f t="shared" si="2"/>
        <v>4.1653828538118828E-3</v>
      </c>
      <c r="O25" s="18">
        <f t="shared" si="3"/>
        <v>0.11128352861574305</v>
      </c>
      <c r="P25" s="24">
        <f t="shared" si="4"/>
        <v>5.7724455734777462E-2</v>
      </c>
      <c r="R25" s="44" t="s">
        <v>147</v>
      </c>
      <c r="S25" s="35">
        <v>0.50109062740912058</v>
      </c>
      <c r="T25" s="36" t="str" cm="1">
        <f t="array" ref="T25">_xlfn.XLOOKUP(R25, Table2[[#All],[SKU]], Table2[[#All],[Product Type]])</f>
        <v>Haircare</v>
      </c>
      <c r="V25" s="48" t="s">
        <v>70</v>
      </c>
      <c r="W25" s="48" t="s">
        <v>156</v>
      </c>
      <c r="X25" s="49">
        <v>9.6140889200355975E-2</v>
      </c>
    </row>
    <row r="26" spans="1:29" x14ac:dyDescent="0.3">
      <c r="A26" s="26" t="s">
        <v>70</v>
      </c>
      <c r="B26" s="15" t="s">
        <v>156</v>
      </c>
      <c r="C26" s="15">
        <v>74</v>
      </c>
      <c r="D26" s="15">
        <v>2</v>
      </c>
      <c r="E26" s="15">
        <v>5</v>
      </c>
      <c r="F26" s="23">
        <v>7.5471721097912701</v>
      </c>
      <c r="G26" s="23">
        <v>4.1913245857054999</v>
      </c>
      <c r="H26" s="23">
        <v>77.106342497849994</v>
      </c>
      <c r="I26" s="23">
        <v>865.52577977123997</v>
      </c>
      <c r="J26" s="15">
        <v>1.01256308925804</v>
      </c>
      <c r="K26" s="11">
        <v>3.1111111111111112</v>
      </c>
      <c r="L26" s="18">
        <f t="shared" si="0"/>
        <v>0.21021021021021022</v>
      </c>
      <c r="M26" s="24">
        <f t="shared" si="1"/>
        <v>145975.56217123623</v>
      </c>
      <c r="N26" s="18">
        <f t="shared" si="2"/>
        <v>1.8370621110347142E-3</v>
      </c>
      <c r="O26" s="18">
        <f t="shared" si="3"/>
        <v>0.19044471628967724</v>
      </c>
      <c r="P26" s="24">
        <f t="shared" si="4"/>
        <v>9.6140889200355975E-2</v>
      </c>
      <c r="R26" s="44" t="s">
        <v>94</v>
      </c>
      <c r="S26" s="35">
        <v>0.48165054231723992</v>
      </c>
      <c r="T26" s="36" t="str" cm="1">
        <f t="array" ref="T26">_xlfn.XLOOKUP(R26, Table2[[#All],[SKU]], Table2[[#All],[Product Type]])</f>
        <v>Skincare</v>
      </c>
      <c r="V26" s="50" t="s">
        <v>71</v>
      </c>
      <c r="W26" s="50" t="s">
        <v>157</v>
      </c>
      <c r="X26" s="49">
        <v>7.33110510079409E-2</v>
      </c>
    </row>
    <row r="27" spans="1:29" x14ac:dyDescent="0.3">
      <c r="A27" s="4" t="s">
        <v>71</v>
      </c>
      <c r="B27" s="2" t="s">
        <v>157</v>
      </c>
      <c r="C27" s="2">
        <v>82</v>
      </c>
      <c r="D27" s="2">
        <v>45</v>
      </c>
      <c r="E27" s="2">
        <v>17</v>
      </c>
      <c r="F27" s="3">
        <v>81.462534369237005</v>
      </c>
      <c r="G27" s="3">
        <v>3.5854189582323399</v>
      </c>
      <c r="H27" s="3">
        <v>47.679680368355299</v>
      </c>
      <c r="I27" s="3">
        <v>670.93439079241</v>
      </c>
      <c r="J27" s="2">
        <v>0.102020754918176</v>
      </c>
      <c r="K27" s="12">
        <v>1.4</v>
      </c>
      <c r="L27" s="18">
        <f t="shared" si="0"/>
        <v>0.29024390243902437</v>
      </c>
      <c r="M27" s="24">
        <f t="shared" si="1"/>
        <v>112477.83332755044</v>
      </c>
      <c r="N27" s="18">
        <f t="shared" si="2"/>
        <v>2.6358328162537983E-3</v>
      </c>
      <c r="O27" s="18">
        <f t="shared" si="3"/>
        <v>0.14398626919962801</v>
      </c>
      <c r="P27" s="24">
        <f t="shared" si="4"/>
        <v>7.33110510079409E-2</v>
      </c>
      <c r="R27" s="44" t="s">
        <v>138</v>
      </c>
      <c r="S27" s="35">
        <v>0.41878470252980632</v>
      </c>
      <c r="T27" s="36" t="str" cm="1">
        <f t="array" ref="T27">_xlfn.XLOOKUP(R27, Table2[[#All],[SKU]], Table2[[#All],[Product Type]])</f>
        <v>Haircare</v>
      </c>
      <c r="V27" s="48" t="s">
        <v>72</v>
      </c>
      <c r="W27" s="48" t="s">
        <v>155</v>
      </c>
      <c r="X27" s="49">
        <v>5.7725659972714005E-2</v>
      </c>
      <c r="AA27" s="45"/>
      <c r="AB27" s="46"/>
      <c r="AC27" s="45"/>
    </row>
    <row r="28" spans="1:29" x14ac:dyDescent="0.3">
      <c r="A28" s="26" t="s">
        <v>72</v>
      </c>
      <c r="B28" s="15" t="s">
        <v>155</v>
      </c>
      <c r="C28" s="15">
        <v>23</v>
      </c>
      <c r="D28" s="15">
        <v>10</v>
      </c>
      <c r="E28" s="15">
        <v>10</v>
      </c>
      <c r="F28" s="23">
        <v>36.4436277704609</v>
      </c>
      <c r="G28" s="23">
        <v>4.3392247141107001</v>
      </c>
      <c r="H28" s="23">
        <v>27.107980854843898</v>
      </c>
      <c r="I28" s="23">
        <v>593.48025872065102</v>
      </c>
      <c r="J28" s="15">
        <v>2.2319391107292601</v>
      </c>
      <c r="K28" s="11">
        <v>6.8888888888888893</v>
      </c>
      <c r="L28" s="18">
        <f t="shared" si="0"/>
        <v>2.9951690821256038</v>
      </c>
      <c r="M28" s="24">
        <f t="shared" si="1"/>
        <v>70537.86627144349</v>
      </c>
      <c r="N28" s="18">
        <f t="shared" si="2"/>
        <v>2.9632150656569958E-2</v>
      </c>
      <c r="O28" s="18">
        <f t="shared" si="3"/>
        <v>8.5819169288858049E-2</v>
      </c>
      <c r="P28" s="24">
        <f t="shared" si="4"/>
        <v>5.7725659972714005E-2</v>
      </c>
      <c r="R28" s="44" t="s">
        <v>96</v>
      </c>
      <c r="S28" s="35">
        <v>0.38476675212993733</v>
      </c>
      <c r="T28" s="36" t="str" cm="1">
        <f t="array" ref="T28">_xlfn.XLOOKUP(R28, Table2[[#All],[SKU]], Table2[[#All],[Product Type]])</f>
        <v>Skincare</v>
      </c>
      <c r="V28" s="50" t="s">
        <v>73</v>
      </c>
      <c r="W28" s="50" t="s">
        <v>156</v>
      </c>
      <c r="X28" s="49">
        <v>0.28854244273923824</v>
      </c>
    </row>
    <row r="29" spans="1:29" x14ac:dyDescent="0.3">
      <c r="A29" s="4" t="s">
        <v>73</v>
      </c>
      <c r="B29" s="2" t="s">
        <v>156</v>
      </c>
      <c r="C29" s="2">
        <v>100</v>
      </c>
      <c r="D29" s="2">
        <v>48</v>
      </c>
      <c r="E29" s="2">
        <v>11</v>
      </c>
      <c r="F29" s="3">
        <v>51.123870087964697</v>
      </c>
      <c r="G29" s="3">
        <v>4.7426358828418698</v>
      </c>
      <c r="H29" s="3">
        <v>82.373320587990193</v>
      </c>
      <c r="I29" s="3">
        <v>477.30763109090299</v>
      </c>
      <c r="J29" s="2">
        <v>3.64645086541702</v>
      </c>
      <c r="K29" s="12">
        <v>2.0777777777777779</v>
      </c>
      <c r="L29" s="18">
        <f t="shared" si="0"/>
        <v>0.22855555555555557</v>
      </c>
      <c r="M29" s="24">
        <f t="shared" si="1"/>
        <v>423296.43056065065</v>
      </c>
      <c r="N29" s="18">
        <f t="shared" si="2"/>
        <v>2.0201565557729944E-3</v>
      </c>
      <c r="O29" s="18">
        <f t="shared" si="3"/>
        <v>0.57506472892270344</v>
      </c>
      <c r="P29" s="24">
        <f t="shared" si="4"/>
        <v>0.28854244273923824</v>
      </c>
      <c r="R29" s="34" t="s">
        <v>126</v>
      </c>
      <c r="S29" s="35">
        <v>0.35444798882903389</v>
      </c>
      <c r="T29" s="36" t="str" cm="1">
        <f t="array" ref="T29">_xlfn.XLOOKUP(R29, Table2[[#All],[SKU]], Table2[[#All],[Product Type]])</f>
        <v>Cosmetics</v>
      </c>
      <c r="V29" s="48" t="s">
        <v>37</v>
      </c>
      <c r="W29" s="48" t="s">
        <v>155</v>
      </c>
      <c r="X29" s="49">
        <v>1.9997977961225658E-2</v>
      </c>
    </row>
    <row r="30" spans="1:29" x14ac:dyDescent="0.3">
      <c r="A30" s="26" t="s">
        <v>74</v>
      </c>
      <c r="B30" s="15" t="s">
        <v>156</v>
      </c>
      <c r="C30" s="15">
        <v>22</v>
      </c>
      <c r="D30" s="15">
        <v>27</v>
      </c>
      <c r="E30" s="15">
        <v>12</v>
      </c>
      <c r="F30" s="23">
        <v>96.341072439963298</v>
      </c>
      <c r="G30" s="23">
        <v>8.8783346509268402</v>
      </c>
      <c r="H30" s="23">
        <v>65.686259608488598</v>
      </c>
      <c r="I30" s="23">
        <v>493.871215316205</v>
      </c>
      <c r="J30" s="15">
        <v>4.2314165735345304</v>
      </c>
      <c r="K30" s="11">
        <v>3.5555555555555554</v>
      </c>
      <c r="L30" s="18">
        <f t="shared" si="0"/>
        <v>1.9393939393939392</v>
      </c>
      <c r="M30" s="24">
        <f t="shared" si="1"/>
        <v>170408.51511566777</v>
      </c>
      <c r="N30" s="18">
        <f t="shared" si="2"/>
        <v>1.9095060190950603E-2</v>
      </c>
      <c r="O30" s="18">
        <f t="shared" si="3"/>
        <v>0.22433110473468076</v>
      </c>
      <c r="P30" s="24">
        <f t="shared" si="4"/>
        <v>0.12171308246281569</v>
      </c>
      <c r="R30" s="34" t="s">
        <v>34</v>
      </c>
      <c r="S30" s="35">
        <v>0.34395254123860758</v>
      </c>
      <c r="T30" s="36" t="str" cm="1">
        <f t="array" ref="T30">_xlfn.XLOOKUP(R30, Table2[[#All],[SKU]], Table2[[#All],[Product Type]])</f>
        <v>Skincare</v>
      </c>
      <c r="V30" s="48" t="s">
        <v>74</v>
      </c>
      <c r="W30" s="48" t="s">
        <v>156</v>
      </c>
      <c r="X30" s="49">
        <v>0.12171308246281569</v>
      </c>
    </row>
    <row r="31" spans="1:29" x14ac:dyDescent="0.3">
      <c r="A31" s="4" t="s">
        <v>75</v>
      </c>
      <c r="B31" s="2" t="s">
        <v>157</v>
      </c>
      <c r="C31" s="2">
        <v>60</v>
      </c>
      <c r="D31" s="2">
        <v>69</v>
      </c>
      <c r="E31" s="2">
        <v>25</v>
      </c>
      <c r="F31" s="3">
        <v>84.893868984950799</v>
      </c>
      <c r="G31" s="3">
        <v>6.0378837692182898</v>
      </c>
      <c r="H31" s="3">
        <v>61.735728954160898</v>
      </c>
      <c r="I31" s="3">
        <v>523.36091472015801</v>
      </c>
      <c r="J31" s="2">
        <v>1.8607567631014899E-2</v>
      </c>
      <c r="K31" s="12">
        <v>6.677777777777778</v>
      </c>
      <c r="L31" s="18">
        <f t="shared" si="0"/>
        <v>2.7824074074074074</v>
      </c>
      <c r="M31" s="24">
        <f t="shared" si="1"/>
        <v>88830.385629081778</v>
      </c>
      <c r="N31" s="18">
        <f t="shared" si="2"/>
        <v>2.7508697542944122E-2</v>
      </c>
      <c r="O31" s="18">
        <f t="shared" si="3"/>
        <v>0.1111893084611659</v>
      </c>
      <c r="P31" s="24">
        <f t="shared" si="4"/>
        <v>6.9349003002055015E-2</v>
      </c>
      <c r="R31" s="34" t="s">
        <v>131</v>
      </c>
      <c r="S31" s="35">
        <v>0.3305521252567033</v>
      </c>
      <c r="T31" s="36" t="str" cm="1">
        <f t="array" ref="T31">_xlfn.XLOOKUP(R31, Table2[[#All],[SKU]], Table2[[#All],[Product Type]])</f>
        <v>Haircare</v>
      </c>
      <c r="V31" s="50" t="s">
        <v>75</v>
      </c>
      <c r="W31" s="50" t="s">
        <v>157</v>
      </c>
      <c r="X31" s="49">
        <v>6.9349003002055015E-2</v>
      </c>
    </row>
    <row r="32" spans="1:29" x14ac:dyDescent="0.3">
      <c r="A32" s="26" t="s">
        <v>76</v>
      </c>
      <c r="B32" s="15" t="s">
        <v>155</v>
      </c>
      <c r="C32" s="15">
        <v>55</v>
      </c>
      <c r="D32" s="15">
        <v>71</v>
      </c>
      <c r="E32" s="15">
        <v>1</v>
      </c>
      <c r="F32" s="23">
        <v>27.679780886501899</v>
      </c>
      <c r="G32" s="23">
        <v>9.5676489209230393</v>
      </c>
      <c r="H32" s="23">
        <v>50.120839612977299</v>
      </c>
      <c r="I32" s="23">
        <v>205.57199582694699</v>
      </c>
      <c r="J32" s="15">
        <v>2.5912754732111098</v>
      </c>
      <c r="K32" s="11">
        <v>9.8222222222222229</v>
      </c>
      <c r="L32" s="18">
        <f t="shared" si="0"/>
        <v>0.1785858585858586</v>
      </c>
      <c r="M32" s="24">
        <f t="shared" si="1"/>
        <v>132555.677902044</v>
      </c>
      <c r="N32" s="18">
        <f t="shared" si="2"/>
        <v>1.5214374666429463E-3</v>
      </c>
      <c r="O32" s="18">
        <f t="shared" si="3"/>
        <v>0.1718324997366027</v>
      </c>
      <c r="P32" s="24">
        <f t="shared" si="4"/>
        <v>8.6676968601622814E-2</v>
      </c>
      <c r="R32" s="34" t="s">
        <v>119</v>
      </c>
      <c r="S32" s="35">
        <v>0.31838214000796455</v>
      </c>
      <c r="T32" s="36" t="str" cm="1">
        <f t="array" ref="T32">_xlfn.XLOOKUP(R32, Table2[[#All],[SKU]], Table2[[#All],[Product Type]])</f>
        <v>Skincare</v>
      </c>
      <c r="V32" s="48" t="s">
        <v>76</v>
      </c>
      <c r="W32" s="48" t="s">
        <v>155</v>
      </c>
      <c r="X32" s="49">
        <v>8.6676968601622814E-2</v>
      </c>
    </row>
    <row r="33" spans="1:24" x14ac:dyDescent="0.3">
      <c r="A33" s="4" t="s">
        <v>77</v>
      </c>
      <c r="B33" s="2" t="s">
        <v>157</v>
      </c>
      <c r="C33" s="2">
        <v>30</v>
      </c>
      <c r="D33" s="2">
        <v>84</v>
      </c>
      <c r="E33" s="2">
        <v>5</v>
      </c>
      <c r="F33" s="3">
        <v>4.3243411858641601</v>
      </c>
      <c r="G33" s="3">
        <v>2.92485760114555</v>
      </c>
      <c r="H33" s="3">
        <v>98.6099572427038</v>
      </c>
      <c r="I33" s="3">
        <v>196.329446112412</v>
      </c>
      <c r="J33" s="2">
        <v>1.3422915627227301</v>
      </c>
      <c r="K33" s="12">
        <v>4.3444444444444441</v>
      </c>
      <c r="L33" s="18">
        <f t="shared" si="0"/>
        <v>0.72407407407407398</v>
      </c>
      <c r="M33" s="24">
        <f t="shared" si="1"/>
        <v>80690.77469892634</v>
      </c>
      <c r="N33" s="18">
        <f t="shared" si="2"/>
        <v>6.9656447053707323E-3</v>
      </c>
      <c r="O33" s="18">
        <f t="shared" si="3"/>
        <v>9.9900373456144095E-2</v>
      </c>
      <c r="P33" s="24">
        <f t="shared" si="4"/>
        <v>5.3433009080757411E-2</v>
      </c>
      <c r="R33" s="34" t="s">
        <v>134</v>
      </c>
      <c r="S33" s="35">
        <v>0.29465276007412455</v>
      </c>
      <c r="T33" s="36" t="str" cm="1">
        <f t="array" ref="T33">_xlfn.XLOOKUP(R33, Table2[[#All],[SKU]], Table2[[#All],[Product Type]])</f>
        <v>Skincare</v>
      </c>
      <c r="V33" s="50" t="s">
        <v>77</v>
      </c>
      <c r="W33" s="50" t="s">
        <v>157</v>
      </c>
      <c r="X33" s="49">
        <v>5.3433009080757411E-2</v>
      </c>
    </row>
    <row r="34" spans="1:24" x14ac:dyDescent="0.3">
      <c r="A34" s="26" t="s">
        <v>78</v>
      </c>
      <c r="B34" s="15" t="s">
        <v>155</v>
      </c>
      <c r="C34" s="15">
        <v>32</v>
      </c>
      <c r="D34" s="15">
        <v>4</v>
      </c>
      <c r="E34" s="15">
        <v>26</v>
      </c>
      <c r="F34" s="23">
        <v>4.1563083593111001</v>
      </c>
      <c r="G34" s="23">
        <v>9.7412916892843597</v>
      </c>
      <c r="H34" s="23">
        <v>40.382359702924802</v>
      </c>
      <c r="I34" s="23">
        <v>758.72477260293795</v>
      </c>
      <c r="J34" s="15">
        <v>3.69131029262872</v>
      </c>
      <c r="K34" s="11">
        <v>2.3222222222222224</v>
      </c>
      <c r="L34" s="18">
        <f t="shared" si="0"/>
        <v>1.8868055555555556</v>
      </c>
      <c r="M34" s="24">
        <f t="shared" si="1"/>
        <v>137306.06887861178</v>
      </c>
      <c r="N34" s="18">
        <f t="shared" si="2"/>
        <v>1.8570205479452057E-2</v>
      </c>
      <c r="O34" s="18">
        <f t="shared" si="3"/>
        <v>0.17842088036598144</v>
      </c>
      <c r="P34" s="24">
        <f t="shared" si="4"/>
        <v>9.8495542922716756E-2</v>
      </c>
      <c r="R34" s="40" t="s">
        <v>196</v>
      </c>
      <c r="S34" s="16">
        <v>0.4023431798627789</v>
      </c>
      <c r="V34" s="48" t="s">
        <v>78</v>
      </c>
      <c r="W34" s="48" t="s">
        <v>155</v>
      </c>
      <c r="X34" s="49">
        <v>9.8495542922716756E-2</v>
      </c>
    </row>
    <row r="35" spans="1:24" x14ac:dyDescent="0.3">
      <c r="A35" s="4" t="s">
        <v>79</v>
      </c>
      <c r="B35" s="2" t="s">
        <v>155</v>
      </c>
      <c r="C35" s="2">
        <v>73</v>
      </c>
      <c r="D35" s="2">
        <v>82</v>
      </c>
      <c r="E35" s="2">
        <v>11</v>
      </c>
      <c r="F35" s="3">
        <v>39.629343985092603</v>
      </c>
      <c r="G35" s="3">
        <v>2.2310736812817198</v>
      </c>
      <c r="H35" s="3">
        <v>78.280383118415301</v>
      </c>
      <c r="I35" s="3">
        <v>458.53594573920901</v>
      </c>
      <c r="J35" s="2">
        <v>3.79723121711418</v>
      </c>
      <c r="K35" s="12">
        <v>1.5777777777777777</v>
      </c>
      <c r="L35" s="18">
        <f t="shared" si="0"/>
        <v>0.23774733637747333</v>
      </c>
      <c r="M35" s="24">
        <f t="shared" si="1"/>
        <v>430287.15372166439</v>
      </c>
      <c r="N35" s="18">
        <f t="shared" si="2"/>
        <v>2.1118944856982013E-3</v>
      </c>
      <c r="O35" s="18">
        <f t="shared" si="3"/>
        <v>0.58476025615121152</v>
      </c>
      <c r="P35" s="24">
        <f t="shared" si="4"/>
        <v>0.29343607531845484</v>
      </c>
      <c r="V35" s="50" t="s">
        <v>79</v>
      </c>
      <c r="W35" s="50" t="s">
        <v>155</v>
      </c>
      <c r="X35" s="49">
        <v>0.29343607531845484</v>
      </c>
    </row>
    <row r="36" spans="1:24" ht="28.8" x14ac:dyDescent="0.3">
      <c r="A36" s="26" t="s">
        <v>80</v>
      </c>
      <c r="B36" s="15" t="s">
        <v>155</v>
      </c>
      <c r="C36" s="15">
        <v>9</v>
      </c>
      <c r="D36" s="15">
        <v>59</v>
      </c>
      <c r="E36" s="15">
        <v>16</v>
      </c>
      <c r="F36" s="23">
        <v>97.446946617892806</v>
      </c>
      <c r="G36" s="23">
        <v>6.5075486210785503</v>
      </c>
      <c r="H36" s="23">
        <v>15.972229757181699</v>
      </c>
      <c r="I36" s="23">
        <v>617.86691645837698</v>
      </c>
      <c r="J36" s="15">
        <v>2.1193197367249201</v>
      </c>
      <c r="K36" s="11">
        <v>3.9222222222222221</v>
      </c>
      <c r="L36" s="18">
        <f t="shared" si="0"/>
        <v>6.9728395061728392</v>
      </c>
      <c r="M36" s="24">
        <f t="shared" si="1"/>
        <v>156496.17018451</v>
      </c>
      <c r="N36" s="18">
        <f t="shared" si="2"/>
        <v>6.933101398854824E-2</v>
      </c>
      <c r="O36" s="18">
        <f t="shared" si="3"/>
        <v>0.20503588791867439</v>
      </c>
      <c r="P36" s="24">
        <f t="shared" si="4"/>
        <v>0.13718345095361131</v>
      </c>
      <c r="R36" s="42" t="s">
        <v>204</v>
      </c>
      <c r="S36" s="42" t="s">
        <v>197</v>
      </c>
      <c r="T36" s="33" t="s">
        <v>154</v>
      </c>
      <c r="V36" s="48" t="s">
        <v>80</v>
      </c>
      <c r="W36" s="48" t="s">
        <v>155</v>
      </c>
      <c r="X36" s="49">
        <v>0.13718345095361131</v>
      </c>
    </row>
    <row r="37" spans="1:24" x14ac:dyDescent="0.3">
      <c r="A37" s="4" t="s">
        <v>81</v>
      </c>
      <c r="B37" s="2" t="s">
        <v>157</v>
      </c>
      <c r="C37" s="2">
        <v>42</v>
      </c>
      <c r="D37" s="2">
        <v>47</v>
      </c>
      <c r="E37" s="2">
        <v>9</v>
      </c>
      <c r="F37" s="3">
        <v>92.557360812401996</v>
      </c>
      <c r="G37" s="3">
        <v>7.4067509529980704</v>
      </c>
      <c r="H37" s="3">
        <v>10.5282450700421</v>
      </c>
      <c r="I37" s="3">
        <v>762.45918215568304</v>
      </c>
      <c r="J37" s="2">
        <v>2.8646678378833701</v>
      </c>
      <c r="K37" s="12">
        <v>3.911111111111111</v>
      </c>
      <c r="L37" s="18">
        <f t="shared" si="0"/>
        <v>0.838095238095238</v>
      </c>
      <c r="M37" s="24">
        <f t="shared" si="1"/>
        <v>300256.42857251148</v>
      </c>
      <c r="N37" s="18">
        <f t="shared" si="2"/>
        <v>8.1036250116484944E-3</v>
      </c>
      <c r="O37" s="18">
        <f t="shared" si="3"/>
        <v>0.40441890845529554</v>
      </c>
      <c r="P37" s="24">
        <f t="shared" si="4"/>
        <v>0.20626126673347203</v>
      </c>
      <c r="R37" s="34" t="s">
        <v>25</v>
      </c>
      <c r="S37" s="35">
        <v>2.9007616381163719E-2</v>
      </c>
      <c r="T37" s="36" t="str" cm="1">
        <f t="array" ref="T37">_xlfn.XLOOKUP(R37, Table2[[#All],[SKU]], Table2[[#All],[Product Type]])</f>
        <v>Haircare</v>
      </c>
      <c r="V37" s="50" t="s">
        <v>81</v>
      </c>
      <c r="W37" s="50" t="s">
        <v>157</v>
      </c>
      <c r="X37" s="49">
        <v>0.20626126673347203</v>
      </c>
    </row>
    <row r="38" spans="1:24" x14ac:dyDescent="0.3">
      <c r="A38" s="26" t="s">
        <v>82</v>
      </c>
      <c r="B38" s="15" t="s">
        <v>157</v>
      </c>
      <c r="C38" s="15">
        <v>12</v>
      </c>
      <c r="D38" s="15">
        <v>48</v>
      </c>
      <c r="E38" s="15">
        <v>15</v>
      </c>
      <c r="F38" s="23">
        <v>2.3972747055971402</v>
      </c>
      <c r="G38" s="23">
        <v>9.8981405080692202</v>
      </c>
      <c r="H38" s="23">
        <v>59.429381810691503</v>
      </c>
      <c r="I38" s="23">
        <v>123.437027511827</v>
      </c>
      <c r="J38" s="15">
        <v>0.81575707929567198</v>
      </c>
      <c r="K38" s="11">
        <v>4.3777777777777782</v>
      </c>
      <c r="L38" s="18">
        <f t="shared" si="0"/>
        <v>5.4722222222222232</v>
      </c>
      <c r="M38" s="24">
        <f t="shared" si="1"/>
        <v>21261.987870590245</v>
      </c>
      <c r="N38" s="18">
        <f t="shared" si="2"/>
        <v>5.4354207436399231E-2</v>
      </c>
      <c r="O38" s="18">
        <f t="shared" si="3"/>
        <v>1.7477796051750909E-2</v>
      </c>
      <c r="P38" s="24">
        <f t="shared" si="4"/>
        <v>3.5916001744075068E-2</v>
      </c>
      <c r="R38" s="34" t="s">
        <v>37</v>
      </c>
      <c r="S38" s="35">
        <v>1.9997977961225658E-2</v>
      </c>
      <c r="T38" s="36" t="str" cm="1">
        <f t="array" ref="T38">_xlfn.XLOOKUP(R38, Table2[[#All],[SKU]], Table2[[#All],[Product Type]])</f>
        <v>Haircare</v>
      </c>
      <c r="V38" s="48" t="s">
        <v>82</v>
      </c>
      <c r="W38" s="48" t="s">
        <v>157</v>
      </c>
      <c r="X38" s="49">
        <v>3.5916001744075068E-2</v>
      </c>
    </row>
    <row r="39" spans="1:24" x14ac:dyDescent="0.3">
      <c r="A39" s="4" t="s">
        <v>83</v>
      </c>
      <c r="B39" s="2" t="s">
        <v>157</v>
      </c>
      <c r="C39" s="2">
        <v>3</v>
      </c>
      <c r="D39" s="2">
        <v>45</v>
      </c>
      <c r="E39" s="2">
        <v>5</v>
      </c>
      <c r="F39" s="3">
        <v>63.447559185207297</v>
      </c>
      <c r="G39" s="3">
        <v>8.1009731453970293</v>
      </c>
      <c r="H39" s="3">
        <v>39.292875586065698</v>
      </c>
      <c r="I39" s="3">
        <v>764.93537594070801</v>
      </c>
      <c r="J39" s="2">
        <v>3.8780989365884802</v>
      </c>
      <c r="K39" s="12">
        <v>2.8111111111111109</v>
      </c>
      <c r="L39" s="18">
        <f t="shared" si="0"/>
        <v>4.6851851851851851</v>
      </c>
      <c r="M39" s="24">
        <f t="shared" si="1"/>
        <v>205062.03830513064</v>
      </c>
      <c r="N39" s="18">
        <f t="shared" si="2"/>
        <v>4.6499238964992397E-2</v>
      </c>
      <c r="O39" s="18">
        <f t="shared" si="3"/>
        <v>0.27239253842453298</v>
      </c>
      <c r="P39" s="24">
        <f t="shared" si="4"/>
        <v>0.1594458886947627</v>
      </c>
      <c r="R39" s="34" t="s">
        <v>54</v>
      </c>
      <c r="S39" s="35">
        <v>6.7309787553969692E-3</v>
      </c>
      <c r="T39" s="36" t="str" cm="1">
        <f t="array" ref="T39">_xlfn.XLOOKUP(R39, Table2[[#All],[SKU]], Table2[[#All],[Product Type]])</f>
        <v>Skincare</v>
      </c>
      <c r="V39" s="50" t="s">
        <v>83</v>
      </c>
      <c r="W39" s="50" t="s">
        <v>157</v>
      </c>
      <c r="X39" s="49">
        <v>0.1594458886947627</v>
      </c>
    </row>
    <row r="40" spans="1:24" x14ac:dyDescent="0.3">
      <c r="A40" s="26" t="s">
        <v>84</v>
      </c>
      <c r="B40" s="15" t="s">
        <v>155</v>
      </c>
      <c r="C40" s="15">
        <v>10</v>
      </c>
      <c r="D40" s="15">
        <v>60</v>
      </c>
      <c r="E40" s="15">
        <v>26</v>
      </c>
      <c r="F40" s="23">
        <v>8.0228592105263896</v>
      </c>
      <c r="G40" s="23">
        <v>8.9545283153180097</v>
      </c>
      <c r="H40" s="23">
        <v>51.634893400109299</v>
      </c>
      <c r="I40" s="23">
        <v>880.08098824716103</v>
      </c>
      <c r="J40" s="15">
        <v>0.96539470535239302</v>
      </c>
      <c r="K40" s="11">
        <v>3.6333333333333333</v>
      </c>
      <c r="L40" s="18">
        <f t="shared" si="0"/>
        <v>9.4466666666666672</v>
      </c>
      <c r="M40" s="24">
        <f t="shared" si="1"/>
        <v>130518.97097654046</v>
      </c>
      <c r="N40" s="18">
        <f t="shared" si="2"/>
        <v>9.4020874103065893E-2</v>
      </c>
      <c r="O40" s="18">
        <f t="shared" si="3"/>
        <v>0.16900776372605136</v>
      </c>
      <c r="P40" s="24">
        <f t="shared" si="4"/>
        <v>0.13151431891455861</v>
      </c>
      <c r="R40" s="34" t="s">
        <v>121</v>
      </c>
      <c r="S40" s="35">
        <v>1.5869414546640578E-2</v>
      </c>
      <c r="T40" s="36" t="str" cm="1">
        <f t="array" ref="T40">_xlfn.XLOOKUP(R40, Table2[[#All],[SKU]], Table2[[#All],[Product Type]])</f>
        <v>Skincare</v>
      </c>
      <c r="V40" s="50" t="s">
        <v>42</v>
      </c>
      <c r="W40" s="50" t="s">
        <v>156</v>
      </c>
      <c r="X40" s="49">
        <v>0.12286234610157126</v>
      </c>
    </row>
    <row r="41" spans="1:24" x14ac:dyDescent="0.3">
      <c r="A41" s="4" t="s">
        <v>85</v>
      </c>
      <c r="B41" s="2" t="s">
        <v>156</v>
      </c>
      <c r="C41" s="2">
        <v>28</v>
      </c>
      <c r="D41" s="2">
        <v>6</v>
      </c>
      <c r="E41" s="2">
        <v>17</v>
      </c>
      <c r="F41" s="3">
        <v>50.847393051718697</v>
      </c>
      <c r="G41" s="3">
        <v>2.6796609649813998</v>
      </c>
      <c r="H41" s="3">
        <v>60.251145661598002</v>
      </c>
      <c r="I41" s="3">
        <v>609.379206618426</v>
      </c>
      <c r="J41" s="2">
        <v>2.9890000066550702</v>
      </c>
      <c r="K41" s="12">
        <v>1.8666666666666667</v>
      </c>
      <c r="L41" s="18">
        <f t="shared" si="0"/>
        <v>1.1333333333333333</v>
      </c>
      <c r="M41" s="24">
        <f t="shared" si="1"/>
        <v>98078.946550030058</v>
      </c>
      <c r="N41" s="18">
        <f t="shared" si="2"/>
        <v>1.1050228310502284E-2</v>
      </c>
      <c r="O41" s="18">
        <f t="shared" si="3"/>
        <v>0.12401626100502364</v>
      </c>
      <c r="P41" s="24">
        <f t="shared" si="4"/>
        <v>6.7533244657762961E-2</v>
      </c>
      <c r="R41" s="34" t="s">
        <v>122</v>
      </c>
      <c r="S41" s="35">
        <v>2.2513363917278859E-2</v>
      </c>
      <c r="T41" s="36" t="str" cm="1">
        <f t="array" ref="T41">_xlfn.XLOOKUP(R41, Table2[[#All],[SKU]], Table2[[#All],[Product Type]])</f>
        <v>Haircare</v>
      </c>
      <c r="V41" s="48" t="s">
        <v>84</v>
      </c>
      <c r="W41" s="48" t="s">
        <v>155</v>
      </c>
      <c r="X41" s="49">
        <v>0.13151431891455861</v>
      </c>
    </row>
    <row r="42" spans="1:24" x14ac:dyDescent="0.3">
      <c r="A42" s="26" t="s">
        <v>86</v>
      </c>
      <c r="B42" s="15" t="s">
        <v>156</v>
      </c>
      <c r="C42" s="15">
        <v>43</v>
      </c>
      <c r="D42" s="15">
        <v>89</v>
      </c>
      <c r="E42" s="15">
        <v>13</v>
      </c>
      <c r="F42" s="23">
        <v>79.209936015656695</v>
      </c>
      <c r="G42" s="23">
        <v>6.5991049012385803</v>
      </c>
      <c r="H42" s="23">
        <v>29.6924671537497</v>
      </c>
      <c r="I42" s="23">
        <v>761.17390951487698</v>
      </c>
      <c r="J42" s="15">
        <v>1.94603611938611</v>
      </c>
      <c r="K42" s="11">
        <v>8.6777777777777771</v>
      </c>
      <c r="L42" s="18">
        <f t="shared" ref="L42:L73" si="5">(E42/C42)*K42</f>
        <v>2.6235142118863046</v>
      </c>
      <c r="M42" s="24">
        <f t="shared" si="1"/>
        <v>340918.70276439999</v>
      </c>
      <c r="N42" s="18">
        <f t="shared" si="2"/>
        <v>2.5922875043614131E-2</v>
      </c>
      <c r="O42" s="18">
        <f t="shared" si="3"/>
        <v>0.46081395908455686</v>
      </c>
      <c r="P42" s="24">
        <f t="shared" si="4"/>
        <v>0.24336841706408549</v>
      </c>
      <c r="R42" s="28" t="s">
        <v>196</v>
      </c>
      <c r="S42" s="17">
        <v>1.8823870312341156E-2</v>
      </c>
      <c r="V42" s="50" t="s">
        <v>85</v>
      </c>
      <c r="W42" s="50" t="s">
        <v>156</v>
      </c>
      <c r="X42" s="49">
        <v>6.7533244657762961E-2</v>
      </c>
    </row>
    <row r="43" spans="1:24" x14ac:dyDescent="0.3">
      <c r="A43" s="4" t="s">
        <v>87</v>
      </c>
      <c r="B43" s="2" t="s">
        <v>157</v>
      </c>
      <c r="C43" s="2">
        <v>63</v>
      </c>
      <c r="D43" s="2">
        <v>4</v>
      </c>
      <c r="E43" s="2">
        <v>17</v>
      </c>
      <c r="F43" s="3">
        <v>64.795435000155607</v>
      </c>
      <c r="G43" s="3">
        <v>4.85827050343664</v>
      </c>
      <c r="H43" s="3">
        <v>23.853427512896101</v>
      </c>
      <c r="I43" s="3">
        <v>371.25529551987103</v>
      </c>
      <c r="J43" s="2">
        <v>3.54104601225092</v>
      </c>
      <c r="K43" s="12">
        <v>6.8444444444444441</v>
      </c>
      <c r="L43" s="18">
        <f t="shared" si="5"/>
        <v>1.8469135802469134</v>
      </c>
      <c r="M43" s="24">
        <f t="shared" si="1"/>
        <v>141404.00737418889</v>
      </c>
      <c r="N43" s="18">
        <f t="shared" si="2"/>
        <v>1.8172066391244475E-2</v>
      </c>
      <c r="O43" s="18">
        <f t="shared" si="3"/>
        <v>0.18410436594386809</v>
      </c>
      <c r="P43" s="24">
        <f t="shared" si="4"/>
        <v>0.10113821616755628</v>
      </c>
      <c r="V43" s="48" t="s">
        <v>86</v>
      </c>
      <c r="W43" s="48" t="s">
        <v>156</v>
      </c>
      <c r="X43" s="49">
        <v>0.24336841706408549</v>
      </c>
    </row>
    <row r="44" spans="1:24" ht="43.2" x14ac:dyDescent="0.3">
      <c r="A44" s="26" t="s">
        <v>88</v>
      </c>
      <c r="B44" s="15" t="s">
        <v>156</v>
      </c>
      <c r="C44" s="15">
        <v>96</v>
      </c>
      <c r="D44" s="15">
        <v>1</v>
      </c>
      <c r="E44" s="15">
        <v>26</v>
      </c>
      <c r="F44" s="23">
        <v>37.467592329842397</v>
      </c>
      <c r="G44" s="23">
        <v>1.0194875708221101</v>
      </c>
      <c r="H44" s="23">
        <v>10.754272815029299</v>
      </c>
      <c r="I44" s="23">
        <v>510.35800043352299</v>
      </c>
      <c r="J44" s="15">
        <v>0.64660455937205397</v>
      </c>
      <c r="K44" s="11">
        <v>6.6888888888888891</v>
      </c>
      <c r="L44" s="18">
        <f t="shared" si="5"/>
        <v>1.811574074074074</v>
      </c>
      <c r="M44" s="24">
        <f t="shared" si="1"/>
        <v>89379.568092763788</v>
      </c>
      <c r="N44" s="18">
        <f t="shared" si="2"/>
        <v>1.7819362904979343E-2</v>
      </c>
      <c r="O44" s="18">
        <f t="shared" si="3"/>
        <v>0.11195097694773144</v>
      </c>
      <c r="P44" s="24">
        <f t="shared" si="4"/>
        <v>6.4885169926355388E-2</v>
      </c>
      <c r="R44" s="43" t="s">
        <v>205</v>
      </c>
      <c r="S44" s="14" t="s">
        <v>186</v>
      </c>
      <c r="T44" s="14" t="s">
        <v>182</v>
      </c>
      <c r="U44" s="14" t="s">
        <v>183</v>
      </c>
      <c r="V44" s="50" t="s">
        <v>87</v>
      </c>
      <c r="W44" s="50" t="s">
        <v>157</v>
      </c>
      <c r="X44" s="49">
        <v>0.10113821616755628</v>
      </c>
    </row>
    <row r="45" spans="1:24" x14ac:dyDescent="0.3">
      <c r="A45" s="4" t="s">
        <v>89</v>
      </c>
      <c r="B45" s="2" t="s">
        <v>157</v>
      </c>
      <c r="C45" s="2">
        <v>11</v>
      </c>
      <c r="D45" s="2">
        <v>42</v>
      </c>
      <c r="E45" s="2">
        <v>27</v>
      </c>
      <c r="F45" s="3">
        <v>84.957786816350406</v>
      </c>
      <c r="G45" s="3">
        <v>5.2881899903273997</v>
      </c>
      <c r="H45" s="3">
        <v>58.004787044743701</v>
      </c>
      <c r="I45" s="3">
        <v>553.42047123035502</v>
      </c>
      <c r="J45" s="2">
        <v>0.54115409806058101</v>
      </c>
      <c r="K45" s="12">
        <v>4.9888888888888889</v>
      </c>
      <c r="L45" s="18">
        <f t="shared" si="5"/>
        <v>12.245454545454546</v>
      </c>
      <c r="M45" s="24">
        <f t="shared" si="1"/>
        <v>57313.325470187992</v>
      </c>
      <c r="N45" s="18">
        <f t="shared" si="2"/>
        <v>0.1219539820909684</v>
      </c>
      <c r="O45" s="18">
        <f t="shared" si="3"/>
        <v>6.7477877197912706E-2</v>
      </c>
      <c r="P45" s="24">
        <f t="shared" si="4"/>
        <v>9.4715929644440561E-2</v>
      </c>
      <c r="R45" s="40" t="s">
        <v>157</v>
      </c>
      <c r="S45" s="16">
        <v>0.13364297912393722</v>
      </c>
      <c r="T45" s="16">
        <v>3.5916001744075068E-2</v>
      </c>
      <c r="U45" s="16">
        <v>0.35444798882903389</v>
      </c>
      <c r="V45" s="48" t="s">
        <v>88</v>
      </c>
      <c r="W45" s="48" t="s">
        <v>156</v>
      </c>
      <c r="X45" s="49">
        <v>6.4885169926355388E-2</v>
      </c>
    </row>
    <row r="46" spans="1:24" x14ac:dyDescent="0.3">
      <c r="A46" s="26" t="s">
        <v>90</v>
      </c>
      <c r="B46" s="15" t="s">
        <v>156</v>
      </c>
      <c r="C46" s="15">
        <v>34</v>
      </c>
      <c r="D46" s="15">
        <v>18</v>
      </c>
      <c r="E46" s="15">
        <v>23</v>
      </c>
      <c r="F46" s="23">
        <v>9.81300257875405</v>
      </c>
      <c r="G46" s="23">
        <v>2.1079512671590801</v>
      </c>
      <c r="H46" s="23">
        <v>45.531364237162101</v>
      </c>
      <c r="I46" s="23">
        <v>403.80897424817999</v>
      </c>
      <c r="J46" s="15">
        <v>3.8055333792433501</v>
      </c>
      <c r="K46" s="11">
        <v>10.7</v>
      </c>
      <c r="L46" s="18">
        <f t="shared" si="5"/>
        <v>7.2382352941176471</v>
      </c>
      <c r="M46" s="24">
        <f t="shared" si="1"/>
        <v>115263.53991624013</v>
      </c>
      <c r="N46" s="18">
        <f t="shared" si="2"/>
        <v>7.197977821265493E-2</v>
      </c>
      <c r="O46" s="18">
        <f t="shared" si="3"/>
        <v>0.14784980283687746</v>
      </c>
      <c r="P46" s="24">
        <f t="shared" si="4"/>
        <v>0.10991479052476619</v>
      </c>
      <c r="R46" s="40" t="s">
        <v>155</v>
      </c>
      <c r="S46" s="16">
        <v>0.14404357683011174</v>
      </c>
      <c r="T46" s="16">
        <v>1.9997977961225658E-2</v>
      </c>
      <c r="U46" s="16">
        <v>0.50109062740912058</v>
      </c>
      <c r="V46" s="50" t="s">
        <v>89</v>
      </c>
      <c r="W46" s="50" t="s">
        <v>157</v>
      </c>
      <c r="X46" s="49">
        <v>9.4715929644440561E-2</v>
      </c>
    </row>
    <row r="47" spans="1:24" x14ac:dyDescent="0.3">
      <c r="A47" s="4" t="s">
        <v>91</v>
      </c>
      <c r="B47" s="2" t="s">
        <v>156</v>
      </c>
      <c r="C47" s="2">
        <v>5</v>
      </c>
      <c r="D47" s="2">
        <v>25</v>
      </c>
      <c r="E47" s="2">
        <v>8</v>
      </c>
      <c r="F47" s="3">
        <v>23.3998447526143</v>
      </c>
      <c r="G47" s="3">
        <v>1.53265527359043</v>
      </c>
      <c r="H47" s="3">
        <v>34.343277465075303</v>
      </c>
      <c r="I47" s="3">
        <v>183.932968043594</v>
      </c>
      <c r="J47" s="2">
        <v>2.61028808484811</v>
      </c>
      <c r="K47" s="12">
        <v>10.7</v>
      </c>
      <c r="L47" s="18">
        <f t="shared" si="5"/>
        <v>17.12</v>
      </c>
      <c r="M47" s="24">
        <f t="shared" si="1"/>
        <v>26341.609084062351</v>
      </c>
      <c r="N47" s="18">
        <f t="shared" si="2"/>
        <v>0.17060404435746904</v>
      </c>
      <c r="O47" s="18">
        <f t="shared" si="3"/>
        <v>2.4522790489577374E-2</v>
      </c>
      <c r="P47" s="24">
        <f t="shared" si="4"/>
        <v>9.7563417423523202E-2</v>
      </c>
      <c r="R47" s="40" t="s">
        <v>156</v>
      </c>
      <c r="S47" s="16">
        <v>0.1614793183379431</v>
      </c>
      <c r="T47" s="16">
        <v>6.7309787553969692E-3</v>
      </c>
      <c r="U47" s="16">
        <v>0.59515161883525114</v>
      </c>
      <c r="V47" s="48" t="s">
        <v>90</v>
      </c>
      <c r="W47" s="48" t="s">
        <v>156</v>
      </c>
      <c r="X47" s="49">
        <v>0.10991479052476619</v>
      </c>
    </row>
    <row r="48" spans="1:24" x14ac:dyDescent="0.3">
      <c r="A48" s="26" t="s">
        <v>92</v>
      </c>
      <c r="B48" s="15" t="s">
        <v>157</v>
      </c>
      <c r="C48" s="15">
        <v>75</v>
      </c>
      <c r="D48" s="15">
        <v>69</v>
      </c>
      <c r="E48" s="15">
        <v>1</v>
      </c>
      <c r="F48" s="23">
        <v>52.075930682707799</v>
      </c>
      <c r="G48" s="23">
        <v>9.2359314372492207</v>
      </c>
      <c r="H48" s="23">
        <v>5.9306936455283097</v>
      </c>
      <c r="I48" s="23">
        <v>339.67286994860598</v>
      </c>
      <c r="J48" s="15">
        <v>0.613326899164507</v>
      </c>
      <c r="K48" s="11">
        <v>7.833333333333333</v>
      </c>
      <c r="L48" s="18">
        <f t="shared" si="5"/>
        <v>0.10444444444444445</v>
      </c>
      <c r="M48" s="24">
        <f t="shared" si="1"/>
        <v>94534.214686490915</v>
      </c>
      <c r="N48" s="18">
        <f t="shared" si="2"/>
        <v>7.8147423352902814E-4</v>
      </c>
      <c r="O48" s="18">
        <f t="shared" si="3"/>
        <v>0.11910002508648951</v>
      </c>
      <c r="P48" s="24">
        <f t="shared" si="4"/>
        <v>5.9940749660009271E-2</v>
      </c>
      <c r="R48" s="40" t="s">
        <v>196</v>
      </c>
      <c r="S48" s="16">
        <v>0.14831371802963889</v>
      </c>
      <c r="T48" s="16">
        <v>6.7309787553969692E-3</v>
      </c>
      <c r="U48" s="16">
        <v>0.59515161883525114</v>
      </c>
      <c r="V48" s="50" t="s">
        <v>91</v>
      </c>
      <c r="W48" s="50" t="s">
        <v>156</v>
      </c>
      <c r="X48" s="49">
        <v>9.7563417423523202E-2</v>
      </c>
    </row>
    <row r="49" spans="1:28" x14ac:dyDescent="0.3">
      <c r="A49" s="4" t="s">
        <v>93</v>
      </c>
      <c r="B49" s="2" t="s">
        <v>156</v>
      </c>
      <c r="C49" s="2">
        <v>26</v>
      </c>
      <c r="D49" s="2">
        <v>78</v>
      </c>
      <c r="E49" s="2">
        <v>29</v>
      </c>
      <c r="F49" s="3">
        <v>19.127477265823199</v>
      </c>
      <c r="G49" s="3">
        <v>5.5625037788303802</v>
      </c>
      <c r="H49" s="3">
        <v>9.0058074287816403</v>
      </c>
      <c r="I49" s="3">
        <v>653.67299455203295</v>
      </c>
      <c r="J49" s="2">
        <v>1.4519722039968099</v>
      </c>
      <c r="K49" s="12">
        <v>1.9555555555555555</v>
      </c>
      <c r="L49" s="18">
        <f t="shared" si="5"/>
        <v>2.181196581196581</v>
      </c>
      <c r="M49" s="24">
        <f t="shared" si="1"/>
        <v>175282.55158685049</v>
      </c>
      <c r="N49" s="18">
        <f t="shared" si="2"/>
        <v>2.1508354659039591E-2</v>
      </c>
      <c r="O49" s="18">
        <f t="shared" si="3"/>
        <v>0.23109097095033004</v>
      </c>
      <c r="P49" s="24">
        <f t="shared" si="4"/>
        <v>0.12629966280468483</v>
      </c>
      <c r="V49" s="48" t="s">
        <v>92</v>
      </c>
      <c r="W49" s="48" t="s">
        <v>157</v>
      </c>
      <c r="X49" s="49">
        <v>5.9940749660009271E-2</v>
      </c>
    </row>
    <row r="50" spans="1:28" x14ac:dyDescent="0.3">
      <c r="A50" s="26" t="s">
        <v>94</v>
      </c>
      <c r="B50" s="15" t="s">
        <v>156</v>
      </c>
      <c r="C50" s="15">
        <v>97</v>
      </c>
      <c r="D50" s="15">
        <v>90</v>
      </c>
      <c r="E50" s="15">
        <v>20</v>
      </c>
      <c r="F50" s="23">
        <v>80.541424170940303</v>
      </c>
      <c r="G50" s="23">
        <v>7.2295951397364702</v>
      </c>
      <c r="H50" s="23">
        <v>88.179407104217404</v>
      </c>
      <c r="I50" s="23">
        <v>529.80872398069096</v>
      </c>
      <c r="J50" s="15">
        <v>4.2132694305865597</v>
      </c>
      <c r="K50" s="11">
        <v>10.366666666666667</v>
      </c>
      <c r="L50" s="18">
        <f t="shared" si="5"/>
        <v>2.1374570446735395</v>
      </c>
      <c r="M50" s="24">
        <f t="shared" si="1"/>
        <v>688031.45696932659</v>
      </c>
      <c r="N50" s="18">
        <f t="shared" si="2"/>
        <v>2.1071815253428022E-2</v>
      </c>
      <c r="O50" s="18">
        <f t="shared" si="3"/>
        <v>0.94222926938105178</v>
      </c>
      <c r="P50" s="24">
        <f t="shared" si="4"/>
        <v>0.48165054231723992</v>
      </c>
      <c r="V50" s="50" t="s">
        <v>93</v>
      </c>
      <c r="W50" s="50" t="s">
        <v>156</v>
      </c>
      <c r="X50" s="49">
        <v>0.12629966280468483</v>
      </c>
    </row>
    <row r="51" spans="1:28" x14ac:dyDescent="0.3">
      <c r="A51" s="4" t="s">
        <v>95</v>
      </c>
      <c r="B51" s="2" t="s">
        <v>156</v>
      </c>
      <c r="C51" s="2">
        <v>35</v>
      </c>
      <c r="D51" s="2">
        <v>64</v>
      </c>
      <c r="E51" s="2">
        <v>19</v>
      </c>
      <c r="F51" s="3">
        <v>99.113291615317095</v>
      </c>
      <c r="G51" s="3">
        <v>5.7732637437666501</v>
      </c>
      <c r="H51" s="3">
        <v>95.332064548772493</v>
      </c>
      <c r="I51" s="3">
        <v>275.52437113130901</v>
      </c>
      <c r="J51" s="2">
        <v>4.5302262398259602E-2</v>
      </c>
      <c r="K51" s="12">
        <v>6.177777777777778</v>
      </c>
      <c r="L51" s="18">
        <f t="shared" si="5"/>
        <v>3.3536507936507935</v>
      </c>
      <c r="M51" s="24">
        <f t="shared" si="1"/>
        <v>49232.227260482083</v>
      </c>
      <c r="N51" s="18">
        <f t="shared" si="2"/>
        <v>3.3209952474140346E-2</v>
      </c>
      <c r="O51" s="18">
        <f t="shared" si="3"/>
        <v>5.627009426561156E-2</v>
      </c>
      <c r="P51" s="24">
        <f t="shared" si="4"/>
        <v>4.4740023369875953E-2</v>
      </c>
      <c r="V51" s="48" t="s">
        <v>49</v>
      </c>
      <c r="W51" s="48" t="s">
        <v>156</v>
      </c>
      <c r="X51" s="49">
        <v>9.0711571113785E-2</v>
      </c>
    </row>
    <row r="52" spans="1:28" x14ac:dyDescent="0.3">
      <c r="A52" s="26" t="s">
        <v>96</v>
      </c>
      <c r="B52" s="15" t="s">
        <v>156</v>
      </c>
      <c r="C52" s="15">
        <v>98</v>
      </c>
      <c r="D52" s="15">
        <v>22</v>
      </c>
      <c r="E52" s="15">
        <v>27</v>
      </c>
      <c r="F52" s="23">
        <v>46.529167614516702</v>
      </c>
      <c r="G52" s="23">
        <v>7.5262483268515004</v>
      </c>
      <c r="H52" s="23">
        <v>96.422820639571796</v>
      </c>
      <c r="I52" s="23">
        <v>635.65712050199102</v>
      </c>
      <c r="J52" s="15">
        <v>4.9392552886209398</v>
      </c>
      <c r="K52" s="11">
        <v>1.7222222222222223</v>
      </c>
      <c r="L52" s="18">
        <f t="shared" si="5"/>
        <v>0.47448979591836732</v>
      </c>
      <c r="M52" s="24">
        <f t="shared" si="1"/>
        <v>560287.02925520507</v>
      </c>
      <c r="N52" s="18">
        <f t="shared" si="2"/>
        <v>4.4746861562628961E-3</v>
      </c>
      <c r="O52" s="18">
        <f t="shared" si="3"/>
        <v>0.76505881810361176</v>
      </c>
      <c r="P52" s="24">
        <f t="shared" si="4"/>
        <v>0.38476675212993733</v>
      </c>
      <c r="R52" s="40" t="s">
        <v>157</v>
      </c>
      <c r="S52" s="40" t="s">
        <v>155</v>
      </c>
      <c r="T52" s="40" t="s">
        <v>156</v>
      </c>
      <c r="V52" s="50" t="s">
        <v>95</v>
      </c>
      <c r="W52" s="50" t="s">
        <v>156</v>
      </c>
      <c r="X52" s="49">
        <v>4.4740023369875953E-2</v>
      </c>
    </row>
    <row r="53" spans="1:28" x14ac:dyDescent="0.3">
      <c r="A53" s="4" t="s">
        <v>97</v>
      </c>
      <c r="B53" s="2" t="s">
        <v>155</v>
      </c>
      <c r="C53" s="2">
        <v>6</v>
      </c>
      <c r="D53" s="2">
        <v>36</v>
      </c>
      <c r="E53" s="2">
        <v>29</v>
      </c>
      <c r="F53" s="3">
        <v>11.7432717763092</v>
      </c>
      <c r="G53" s="3">
        <v>3.6940212683884499</v>
      </c>
      <c r="H53" s="3">
        <v>26.2773659573324</v>
      </c>
      <c r="I53" s="3">
        <v>716.04411975933999</v>
      </c>
      <c r="J53" s="2">
        <v>0.37230476798509698</v>
      </c>
      <c r="K53" s="12">
        <v>6.6444444444444448</v>
      </c>
      <c r="L53" s="18">
        <f t="shared" si="5"/>
        <v>32.114814814814814</v>
      </c>
      <c r="M53" s="24">
        <f t="shared" si="1"/>
        <v>43674.791373225285</v>
      </c>
      <c r="N53" s="18">
        <f t="shared" si="2"/>
        <v>0.32025875190258751</v>
      </c>
      <c r="O53" s="18">
        <f t="shared" si="3"/>
        <v>4.8562412281281192E-2</v>
      </c>
      <c r="P53" s="24">
        <f t="shared" si="4"/>
        <v>0.18441058209193434</v>
      </c>
      <c r="R53" s="22" cm="1">
        <f t="array" ref="R53:R78">_xlfn._xlws.FILTER(Table2[[#All],[Consolidated Score]], Table2[[#All],[Product Type]]=R52)</f>
        <v>0.14020939842063185</v>
      </c>
      <c r="S53" s="22" cm="1">
        <f t="array" ref="S53:S86">_xlfn._xlws.FILTER(Table2[[#All],[Consolidated Score]], Table2[[#All],[Product Type]]=S52)</f>
        <v>2.9007616381163719E-2</v>
      </c>
      <c r="T53" s="22" cm="1">
        <f t="array" ref="T53:T92">_xlfn._xlws.FILTER(Table2[[#All],[Consolidated Score]], Table2[[#All],[Product Type]]=T52)</f>
        <v>0.34395254123860758</v>
      </c>
      <c r="V53" s="50" t="s">
        <v>97</v>
      </c>
      <c r="W53" s="50" t="s">
        <v>155</v>
      </c>
      <c r="X53" s="49">
        <v>0.18441058209193434</v>
      </c>
    </row>
    <row r="54" spans="1:28" x14ac:dyDescent="0.3">
      <c r="A54" s="26" t="s">
        <v>98</v>
      </c>
      <c r="B54" s="15" t="s">
        <v>157</v>
      </c>
      <c r="C54" s="15">
        <v>34</v>
      </c>
      <c r="D54" s="15">
        <v>13</v>
      </c>
      <c r="E54" s="15">
        <v>19</v>
      </c>
      <c r="F54" s="23">
        <v>51.355790913110297</v>
      </c>
      <c r="G54" s="23">
        <v>7.5774496573766896</v>
      </c>
      <c r="H54" s="23">
        <v>22.554106620887701</v>
      </c>
      <c r="I54" s="23">
        <v>610.45326961922694</v>
      </c>
      <c r="J54" s="15">
        <v>2.9626263204548802</v>
      </c>
      <c r="K54" s="11">
        <v>10.21111111111111</v>
      </c>
      <c r="L54" s="18">
        <f t="shared" si="5"/>
        <v>5.7062091503267975</v>
      </c>
      <c r="M54" s="24">
        <f t="shared" si="1"/>
        <v>128869.3987171773</v>
      </c>
      <c r="N54" s="18">
        <f t="shared" si="2"/>
        <v>5.6689497716894986E-2</v>
      </c>
      <c r="O54" s="18">
        <f t="shared" si="3"/>
        <v>0.16671994994946807</v>
      </c>
      <c r="P54" s="24">
        <f t="shared" si="4"/>
        <v>0.11170472383318153</v>
      </c>
      <c r="R54" s="22">
        <v>0.12072045333578466</v>
      </c>
      <c r="S54" s="22">
        <v>1.9997977961225658E-2</v>
      </c>
      <c r="T54" s="22">
        <v>0.12286234610157126</v>
      </c>
      <c r="V54" s="48" t="s">
        <v>98</v>
      </c>
      <c r="W54" s="48" t="s">
        <v>157</v>
      </c>
      <c r="X54" s="49">
        <v>0.11170472383318153</v>
      </c>
    </row>
    <row r="55" spans="1:28" x14ac:dyDescent="0.3">
      <c r="A55" s="4" t="s">
        <v>99</v>
      </c>
      <c r="B55" s="2" t="s">
        <v>155</v>
      </c>
      <c r="C55" s="2">
        <v>1</v>
      </c>
      <c r="D55" s="2">
        <v>93</v>
      </c>
      <c r="E55" s="2">
        <v>7</v>
      </c>
      <c r="F55" s="3">
        <v>33.784138033065503</v>
      </c>
      <c r="G55" s="3">
        <v>5.2151550087119096</v>
      </c>
      <c r="H55" s="3">
        <v>66.312544439991598</v>
      </c>
      <c r="I55" s="3">
        <v>495.30569702847299</v>
      </c>
      <c r="J55" s="2">
        <v>3.2196046120841002</v>
      </c>
      <c r="K55" s="12">
        <v>0.26666666666666666</v>
      </c>
      <c r="L55" s="18">
        <f t="shared" si="5"/>
        <v>1.8666666666666667</v>
      </c>
      <c r="M55" s="24">
        <f t="shared" si="1"/>
        <v>238230.64075949183</v>
      </c>
      <c r="N55" s="18">
        <f t="shared" si="2"/>
        <v>1.8369210697977825E-2</v>
      </c>
      <c r="O55" s="18">
        <f t="shared" si="3"/>
        <v>0.31839451573372846</v>
      </c>
      <c r="P55" s="24">
        <f t="shared" si="4"/>
        <v>0.16838186321585313</v>
      </c>
      <c r="R55" s="22">
        <v>7.33110510079409E-2</v>
      </c>
      <c r="S55" s="22">
        <v>0.13479795851758411</v>
      </c>
      <c r="T55" s="22">
        <v>9.0711571113785E-2</v>
      </c>
      <c r="V55" s="50" t="s">
        <v>99</v>
      </c>
      <c r="W55" s="50" t="s">
        <v>155</v>
      </c>
      <c r="X55" s="49">
        <v>0.16838186321585313</v>
      </c>
    </row>
    <row r="56" spans="1:28" x14ac:dyDescent="0.3">
      <c r="A56" s="26" t="s">
        <v>100</v>
      </c>
      <c r="B56" s="15" t="s">
        <v>155</v>
      </c>
      <c r="C56" s="15">
        <v>75</v>
      </c>
      <c r="D56" s="15">
        <v>92</v>
      </c>
      <c r="E56" s="15">
        <v>29</v>
      </c>
      <c r="F56" s="23">
        <v>27.082207199888899</v>
      </c>
      <c r="G56" s="23">
        <v>4.0709558370840799</v>
      </c>
      <c r="H56" s="23">
        <v>77.322353211051606</v>
      </c>
      <c r="I56" s="23">
        <v>380.43593711196399</v>
      </c>
      <c r="J56" s="15">
        <v>3.6486105925361998</v>
      </c>
      <c r="K56" s="11">
        <v>9.5444444444444443</v>
      </c>
      <c r="L56" s="18">
        <f t="shared" si="5"/>
        <v>3.6905185185185183</v>
      </c>
      <c r="M56" s="24">
        <f t="shared" si="1"/>
        <v>379550.74647055229</v>
      </c>
      <c r="N56" s="18">
        <f t="shared" si="2"/>
        <v>3.6572037399434661E-2</v>
      </c>
      <c r="O56" s="18">
        <f t="shared" si="3"/>
        <v>0.51439325596399454</v>
      </c>
      <c r="P56" s="24">
        <f t="shared" si="4"/>
        <v>0.27548264668171463</v>
      </c>
      <c r="R56" s="22">
        <v>6.9349003002055015E-2</v>
      </c>
      <c r="S56" s="22">
        <v>0.16446540276252053</v>
      </c>
      <c r="T56" s="22">
        <v>6.7309787553969692E-3</v>
      </c>
      <c r="V56" s="48" t="s">
        <v>100</v>
      </c>
      <c r="W56" s="48" t="s">
        <v>155</v>
      </c>
      <c r="X56" s="49">
        <v>0.27548264668171463</v>
      </c>
      <c r="Y56" s="115" t="s">
        <v>207</v>
      </c>
      <c r="Z56" s="116"/>
      <c r="AA56" s="116"/>
      <c r="AB56" s="116"/>
    </row>
    <row r="57" spans="1:28" ht="28.8" x14ac:dyDescent="0.3">
      <c r="A57" s="4" t="s">
        <v>101</v>
      </c>
      <c r="B57" s="2" t="s">
        <v>156</v>
      </c>
      <c r="C57" s="2">
        <v>93</v>
      </c>
      <c r="D57" s="2">
        <v>4</v>
      </c>
      <c r="E57" s="2">
        <v>15</v>
      </c>
      <c r="F57" s="3">
        <v>95.712135880936003</v>
      </c>
      <c r="G57" s="3">
        <v>8.9787507559499709</v>
      </c>
      <c r="H57" s="3">
        <v>19.7129929112936</v>
      </c>
      <c r="I57" s="3">
        <v>581.60235505058597</v>
      </c>
      <c r="J57" s="2">
        <v>0.38057358671321301</v>
      </c>
      <c r="K57" s="12">
        <v>10.111111111111111</v>
      </c>
      <c r="L57" s="18">
        <f t="shared" si="5"/>
        <v>1.6308243727598566</v>
      </c>
      <c r="M57" s="24">
        <f t="shared" si="1"/>
        <v>94545.275275565058</v>
      </c>
      <c r="N57" s="18">
        <f t="shared" si="2"/>
        <v>1.6015403067988133E-2</v>
      </c>
      <c r="O57" s="18">
        <f t="shared" si="3"/>
        <v>0.11911536516505673</v>
      </c>
      <c r="P57" s="24">
        <f t="shared" si="4"/>
        <v>6.7565384116522437E-2</v>
      </c>
      <c r="R57" s="22">
        <v>5.3433009080757411E-2</v>
      </c>
      <c r="S57" s="22">
        <v>5.7725659972714005E-2</v>
      </c>
      <c r="T57" s="22">
        <v>0.21934134115687237</v>
      </c>
      <c r="V57" s="50" t="s">
        <v>101</v>
      </c>
      <c r="W57" s="50" t="s">
        <v>156</v>
      </c>
      <c r="X57" s="49">
        <v>6.7565384116522437E-2</v>
      </c>
      <c r="Y57" s="41" t="s">
        <v>200</v>
      </c>
      <c r="Z57" t="s">
        <v>181</v>
      </c>
      <c r="AA57" t="s">
        <v>182</v>
      </c>
      <c r="AB57" t="s">
        <v>183</v>
      </c>
    </row>
    <row r="58" spans="1:28" x14ac:dyDescent="0.3">
      <c r="A58" s="26" t="s">
        <v>102</v>
      </c>
      <c r="B58" s="15" t="s">
        <v>155</v>
      </c>
      <c r="C58" s="15">
        <v>28</v>
      </c>
      <c r="D58" s="15">
        <v>30</v>
      </c>
      <c r="E58" s="15">
        <v>16</v>
      </c>
      <c r="F58" s="23">
        <v>76.035544426891704</v>
      </c>
      <c r="G58" s="23">
        <v>7.0958331565551296</v>
      </c>
      <c r="H58" s="23">
        <v>23.126363582464698</v>
      </c>
      <c r="I58" s="23">
        <v>768.65191395437</v>
      </c>
      <c r="J58" s="15">
        <v>1.6981125407144</v>
      </c>
      <c r="K58" s="11">
        <v>0.32222222222222224</v>
      </c>
      <c r="L58" s="18">
        <f t="shared" si="5"/>
        <v>0.18412698412698414</v>
      </c>
      <c r="M58" s="24">
        <f t="shared" si="1"/>
        <v>136915.07332338425</v>
      </c>
      <c r="N58" s="18">
        <f t="shared" si="2"/>
        <v>1.5767402851551583E-3</v>
      </c>
      <c r="O58" s="18">
        <f t="shared" si="3"/>
        <v>0.17787860341342301</v>
      </c>
      <c r="P58" s="24">
        <f t="shared" si="4"/>
        <v>8.9727671849289092E-2</v>
      </c>
      <c r="R58" s="22">
        <v>0.20626126673347203</v>
      </c>
      <c r="S58" s="22">
        <v>8.6676968601622814E-2</v>
      </c>
      <c r="T58" s="22">
        <v>0.16783057141936827</v>
      </c>
      <c r="V58" s="48" t="s">
        <v>102</v>
      </c>
      <c r="W58" s="48" t="s">
        <v>155</v>
      </c>
      <c r="X58" s="49">
        <v>8.9727671849289092E-2</v>
      </c>
      <c r="Y58" s="28" t="s">
        <v>157</v>
      </c>
      <c r="Z58" s="17">
        <v>0.12481077873573336</v>
      </c>
      <c r="AA58" s="17">
        <v>3.5916001744075068E-2</v>
      </c>
      <c r="AB58" s="17">
        <v>0.28113258350170944</v>
      </c>
    </row>
    <row r="59" spans="1:28" x14ac:dyDescent="0.3">
      <c r="A59" s="4" t="s">
        <v>103</v>
      </c>
      <c r="B59" s="2" t="s">
        <v>157</v>
      </c>
      <c r="C59" s="2">
        <v>19</v>
      </c>
      <c r="D59" s="2">
        <v>97</v>
      </c>
      <c r="E59" s="2">
        <v>24</v>
      </c>
      <c r="F59" s="3">
        <v>78.897913205639995</v>
      </c>
      <c r="G59" s="3">
        <v>2.5056210329009101</v>
      </c>
      <c r="H59" s="3">
        <v>14.1478154439792</v>
      </c>
      <c r="I59" s="3">
        <v>336.89016851997701</v>
      </c>
      <c r="J59" s="2">
        <v>2.8258139854001301</v>
      </c>
      <c r="K59" s="12">
        <v>1.1000000000000001</v>
      </c>
      <c r="L59" s="18">
        <f t="shared" si="5"/>
        <v>1.3894736842105264</v>
      </c>
      <c r="M59" s="24">
        <f t="shared" si="1"/>
        <v>191915.13375198629</v>
      </c>
      <c r="N59" s="18">
        <f t="shared" si="2"/>
        <v>1.3606619287945895E-2</v>
      </c>
      <c r="O59" s="18">
        <f t="shared" si="3"/>
        <v>0.25415892108198546</v>
      </c>
      <c r="P59" s="24">
        <f t="shared" si="4"/>
        <v>0.13388277018496567</v>
      </c>
      <c r="R59" s="22">
        <v>3.5916001744075068E-2</v>
      </c>
      <c r="S59" s="22">
        <v>9.8495542922716756E-2</v>
      </c>
      <c r="T59" s="22">
        <v>3.1660569885117222E-2</v>
      </c>
      <c r="V59" s="50" t="s">
        <v>103</v>
      </c>
      <c r="W59" s="50" t="s">
        <v>157</v>
      </c>
      <c r="X59" s="49">
        <v>0.13388277018496567</v>
      </c>
      <c r="Y59" s="28" t="s">
        <v>155</v>
      </c>
      <c r="Z59" s="17">
        <v>0.11764690829123123</v>
      </c>
      <c r="AA59" s="17">
        <v>1.9997977961225658E-2</v>
      </c>
      <c r="AB59" s="17">
        <v>0.29343607531845484</v>
      </c>
    </row>
    <row r="60" spans="1:28" x14ac:dyDescent="0.3">
      <c r="A60" s="26" t="s">
        <v>104</v>
      </c>
      <c r="B60" s="15" t="s">
        <v>157</v>
      </c>
      <c r="C60" s="15">
        <v>91</v>
      </c>
      <c r="D60" s="15">
        <v>31</v>
      </c>
      <c r="E60" s="15">
        <v>23</v>
      </c>
      <c r="F60" s="23">
        <v>14.203484264803</v>
      </c>
      <c r="G60" s="23">
        <v>6.2478609149759903</v>
      </c>
      <c r="H60" s="23">
        <v>45.178757924634503</v>
      </c>
      <c r="I60" s="23">
        <v>496.24865029194001</v>
      </c>
      <c r="J60" s="15">
        <v>4.7548008046711798</v>
      </c>
      <c r="K60" s="11">
        <v>7.0333333333333332</v>
      </c>
      <c r="L60" s="18">
        <f t="shared" si="5"/>
        <v>1.7776556776556776</v>
      </c>
      <c r="M60" s="24">
        <f t="shared" si="1"/>
        <v>394487.03686510294</v>
      </c>
      <c r="N60" s="18">
        <f t="shared" si="2"/>
        <v>1.748084270589163E-2</v>
      </c>
      <c r="O60" s="18">
        <f t="shared" si="3"/>
        <v>0.53510859640557928</v>
      </c>
      <c r="P60" s="24">
        <f t="shared" si="4"/>
        <v>0.27629471955573548</v>
      </c>
      <c r="R60" s="22">
        <v>0.1594458886947627</v>
      </c>
      <c r="S60" s="22">
        <v>0.29343607531845484</v>
      </c>
      <c r="T60" s="22">
        <v>0.11998057514793647</v>
      </c>
      <c r="V60" s="50" t="s">
        <v>51</v>
      </c>
      <c r="W60" s="50" t="s">
        <v>155</v>
      </c>
      <c r="X60" s="49">
        <v>0.13479795851758411</v>
      </c>
      <c r="Y60" s="28" t="s">
        <v>156</v>
      </c>
      <c r="Z60" s="17">
        <v>0.12386483254253494</v>
      </c>
      <c r="AA60" s="17">
        <v>6.7309787553969692E-3</v>
      </c>
      <c r="AB60" s="17">
        <v>0.29465276007412455</v>
      </c>
    </row>
    <row r="61" spans="1:28" x14ac:dyDescent="0.3">
      <c r="A61" s="4" t="s">
        <v>105</v>
      </c>
      <c r="B61" s="2" t="s">
        <v>155</v>
      </c>
      <c r="C61" s="2">
        <v>61</v>
      </c>
      <c r="D61" s="2">
        <v>100</v>
      </c>
      <c r="E61" s="2">
        <v>4</v>
      </c>
      <c r="F61" s="3">
        <v>26.700760972461701</v>
      </c>
      <c r="G61" s="3">
        <v>4.78300055794766</v>
      </c>
      <c r="H61" s="3">
        <v>14.190328344569901</v>
      </c>
      <c r="I61" s="3">
        <v>694.98231757944495</v>
      </c>
      <c r="J61" s="2">
        <v>1.77295117208355</v>
      </c>
      <c r="K61" s="12">
        <v>1.711111111111111</v>
      </c>
      <c r="L61" s="18">
        <f t="shared" si="5"/>
        <v>0.1122040072859745</v>
      </c>
      <c r="M61" s="24">
        <f t="shared" si="1"/>
        <v>330662.45255907183</v>
      </c>
      <c r="N61" s="18">
        <f t="shared" si="2"/>
        <v>8.5891801139948462E-4</v>
      </c>
      <c r="O61" s="18">
        <f t="shared" si="3"/>
        <v>0.44658942882669844</v>
      </c>
      <c r="P61" s="24">
        <f t="shared" si="4"/>
        <v>0.22372417341904896</v>
      </c>
      <c r="R61" s="22">
        <v>0.10113821616755628</v>
      </c>
      <c r="S61" s="22">
        <v>0.13718345095361131</v>
      </c>
      <c r="T61" s="22">
        <v>9.1895629535862999E-2</v>
      </c>
      <c r="V61" s="48" t="s">
        <v>104</v>
      </c>
      <c r="W61" s="48" t="s">
        <v>157</v>
      </c>
      <c r="X61" s="49">
        <v>0.27629471955573548</v>
      </c>
      <c r="Y61" s="28" t="s">
        <v>196</v>
      </c>
      <c r="Z61" s="17">
        <v>0.12200651389461784</v>
      </c>
      <c r="AA61" s="17">
        <v>6.7309787553969692E-3</v>
      </c>
      <c r="AB61" s="17">
        <v>0.29465276007412455</v>
      </c>
    </row>
    <row r="62" spans="1:28" x14ac:dyDescent="0.3">
      <c r="A62" s="26" t="s">
        <v>106</v>
      </c>
      <c r="B62" s="15" t="s">
        <v>156</v>
      </c>
      <c r="C62" s="15">
        <v>1</v>
      </c>
      <c r="D62" s="15">
        <v>64</v>
      </c>
      <c r="E62" s="15">
        <v>11</v>
      </c>
      <c r="F62" s="23">
        <v>98.031829656465007</v>
      </c>
      <c r="G62" s="23">
        <v>8.6310521797689397</v>
      </c>
      <c r="H62" s="23">
        <v>9.1668491485971497</v>
      </c>
      <c r="I62" s="23">
        <v>602.89849883838303</v>
      </c>
      <c r="J62" s="15">
        <v>2.1224716191438202</v>
      </c>
      <c r="K62" s="11">
        <v>9.1111111111111107</v>
      </c>
      <c r="L62" s="18">
        <f t="shared" si="5"/>
        <v>100.22222222222221</v>
      </c>
      <c r="M62" s="24">
        <f t="shared" si="1"/>
        <v>145873.55246753013</v>
      </c>
      <c r="N62" s="18">
        <f t="shared" si="2"/>
        <v>1</v>
      </c>
      <c r="O62" s="18">
        <f t="shared" si="3"/>
        <v>0.19030323767050231</v>
      </c>
      <c r="P62" s="24">
        <f t="shared" si="4"/>
        <v>0.59515161883525114</v>
      </c>
      <c r="R62" s="22">
        <v>9.4715929644440561E-2</v>
      </c>
      <c r="S62" s="22">
        <v>0.13151431891455861</v>
      </c>
      <c r="T62" s="22">
        <v>5.7724455734777462E-2</v>
      </c>
      <c r="V62" s="50" t="s">
        <v>105</v>
      </c>
      <c r="W62" s="50" t="s">
        <v>155</v>
      </c>
      <c r="X62" s="49">
        <v>0.22372417341904896</v>
      </c>
    </row>
    <row r="63" spans="1:28" x14ac:dyDescent="0.3">
      <c r="A63" s="4" t="s">
        <v>107</v>
      </c>
      <c r="B63" s="2" t="s">
        <v>156</v>
      </c>
      <c r="C63" s="2">
        <v>93</v>
      </c>
      <c r="D63" s="2">
        <v>96</v>
      </c>
      <c r="E63" s="2">
        <v>25</v>
      </c>
      <c r="F63" s="3">
        <v>30.3414707112142</v>
      </c>
      <c r="G63" s="3">
        <v>1.0134865660958901</v>
      </c>
      <c r="H63" s="3">
        <v>83.344058991677898</v>
      </c>
      <c r="I63" s="3">
        <v>750.73784066827</v>
      </c>
      <c r="J63" s="2">
        <v>1.41034757607602</v>
      </c>
      <c r="K63" s="12">
        <v>2.6888888888888891</v>
      </c>
      <c r="L63" s="18">
        <f t="shared" si="5"/>
        <v>0.72281959378733573</v>
      </c>
      <c r="M63" s="24">
        <f t="shared" si="1"/>
        <v>394254.68613909255</v>
      </c>
      <c r="N63" s="18">
        <f t="shared" si="2"/>
        <v>6.9531244520197244E-3</v>
      </c>
      <c r="O63" s="18">
        <f t="shared" si="3"/>
        <v>0.53478634608344366</v>
      </c>
      <c r="P63" s="24">
        <f t="shared" si="4"/>
        <v>0.27086973526773167</v>
      </c>
      <c r="R63" s="22">
        <v>5.9940749660009271E-2</v>
      </c>
      <c r="S63" s="22">
        <v>0.18441058209193434</v>
      </c>
      <c r="T63" s="22">
        <v>9.6140889200355975E-2</v>
      </c>
      <c r="V63" s="50" t="s">
        <v>107</v>
      </c>
      <c r="W63" s="50" t="s">
        <v>156</v>
      </c>
      <c r="X63" s="49">
        <v>0.27086973526773167</v>
      </c>
    </row>
    <row r="64" spans="1:28" x14ac:dyDescent="0.3">
      <c r="A64" s="26" t="s">
        <v>108</v>
      </c>
      <c r="B64" s="15" t="s">
        <v>155</v>
      </c>
      <c r="C64" s="15">
        <v>11</v>
      </c>
      <c r="D64" s="15">
        <v>33</v>
      </c>
      <c r="E64" s="15">
        <v>22</v>
      </c>
      <c r="F64" s="23">
        <v>31.1462431602408</v>
      </c>
      <c r="G64" s="23">
        <v>4.3051034712876302</v>
      </c>
      <c r="H64" s="23">
        <v>30.186023375822501</v>
      </c>
      <c r="I64" s="23">
        <v>814.06999658218695</v>
      </c>
      <c r="J64" s="15">
        <v>2.4787719755397402</v>
      </c>
      <c r="K64" s="11">
        <v>6.9111111111111114</v>
      </c>
      <c r="L64" s="18">
        <f t="shared" si="5"/>
        <v>13.822222222222223</v>
      </c>
      <c r="M64" s="24">
        <f t="shared" si="1"/>
        <v>134653.25867697215</v>
      </c>
      <c r="N64" s="18">
        <f t="shared" si="2"/>
        <v>0.13769080234833661</v>
      </c>
      <c r="O64" s="18">
        <f t="shared" si="3"/>
        <v>0.1747416625011545</v>
      </c>
      <c r="P64" s="24">
        <f t="shared" si="4"/>
        <v>0.15621623242474555</v>
      </c>
      <c r="R64" s="22">
        <v>0.11170472383318153</v>
      </c>
      <c r="S64" s="22">
        <v>0.16838186321585313</v>
      </c>
      <c r="T64" s="22">
        <v>0.28854244273923824</v>
      </c>
      <c r="V64" s="48" t="s">
        <v>108</v>
      </c>
      <c r="W64" s="48" t="s">
        <v>155</v>
      </c>
      <c r="X64" s="49">
        <v>0.15621623242474555</v>
      </c>
    </row>
    <row r="65" spans="1:29" x14ac:dyDescent="0.3">
      <c r="A65" s="4" t="s">
        <v>109</v>
      </c>
      <c r="B65" s="2" t="s">
        <v>155</v>
      </c>
      <c r="C65" s="2">
        <v>16</v>
      </c>
      <c r="D65" s="2">
        <v>97</v>
      </c>
      <c r="E65" s="2">
        <v>11</v>
      </c>
      <c r="F65" s="3">
        <v>79.855058340789398</v>
      </c>
      <c r="G65" s="3">
        <v>5.0143649550309002</v>
      </c>
      <c r="H65" s="3">
        <v>30.323545256616502</v>
      </c>
      <c r="I65" s="3">
        <v>323.01292795247798</v>
      </c>
      <c r="J65" s="2">
        <v>4.5489196593963799</v>
      </c>
      <c r="K65" s="12">
        <v>7.7888888888888888</v>
      </c>
      <c r="L65" s="18">
        <f t="shared" si="5"/>
        <v>5.3548611111111111</v>
      </c>
      <c r="M65" s="24">
        <f t="shared" si="1"/>
        <v>274767.3324796877</v>
      </c>
      <c r="N65" s="18">
        <f t="shared" si="2"/>
        <v>5.3182893020221791E-2</v>
      </c>
      <c r="O65" s="18">
        <f t="shared" si="3"/>
        <v>0.36906774098577777</v>
      </c>
      <c r="P65" s="24">
        <f t="shared" si="4"/>
        <v>0.21112531700299977</v>
      </c>
      <c r="R65" s="22">
        <v>0.13388277018496567</v>
      </c>
      <c r="S65" s="22">
        <v>0.27548264668171463</v>
      </c>
      <c r="T65" s="22">
        <v>0.12171308246281569</v>
      </c>
      <c r="V65" s="50" t="s">
        <v>109</v>
      </c>
      <c r="W65" s="50" t="s">
        <v>155</v>
      </c>
      <c r="X65" s="49">
        <v>0.21112531700299977</v>
      </c>
      <c r="AA65" s="40" t="s">
        <v>157</v>
      </c>
      <c r="AB65" s="40" t="s">
        <v>155</v>
      </c>
      <c r="AC65" s="40" t="s">
        <v>156</v>
      </c>
    </row>
    <row r="66" spans="1:29" x14ac:dyDescent="0.3">
      <c r="A66" s="26" t="s">
        <v>110</v>
      </c>
      <c r="B66" s="15" t="s">
        <v>156</v>
      </c>
      <c r="C66" s="15">
        <v>90</v>
      </c>
      <c r="D66" s="15">
        <v>25</v>
      </c>
      <c r="E66" s="15">
        <v>23</v>
      </c>
      <c r="F66" s="23">
        <v>20.9863860370433</v>
      </c>
      <c r="G66" s="23">
        <v>1.77442971407173</v>
      </c>
      <c r="H66" s="23">
        <v>12.8362845728327</v>
      </c>
      <c r="I66" s="23">
        <v>832.210808706021</v>
      </c>
      <c r="J66" s="15">
        <v>1.1737554953874501</v>
      </c>
      <c r="K66" s="11">
        <v>1.0333333333333334</v>
      </c>
      <c r="L66" s="18">
        <f t="shared" si="5"/>
        <v>0.26407407407407407</v>
      </c>
      <c r="M66" s="24">
        <f t="shared" si="1"/>
        <v>216936.25428737749</v>
      </c>
      <c r="N66" s="18">
        <f t="shared" si="2"/>
        <v>2.3746466623178956E-3</v>
      </c>
      <c r="O66" s="18">
        <f t="shared" si="3"/>
        <v>0.28886104700675042</v>
      </c>
      <c r="P66" s="24">
        <f t="shared" si="4"/>
        <v>0.14561784683453416</v>
      </c>
      <c r="R66" s="22">
        <v>0.27629471955573548</v>
      </c>
      <c r="S66" s="22">
        <v>8.9727671849289092E-2</v>
      </c>
      <c r="T66" s="22">
        <v>6.7533244657762961E-2</v>
      </c>
      <c r="V66" s="48" t="s">
        <v>110</v>
      </c>
      <c r="W66" s="48" t="s">
        <v>156</v>
      </c>
      <c r="X66" s="49">
        <v>0.14561784683453416</v>
      </c>
      <c r="AA66" s="22">
        <v>0.14020939842063185</v>
      </c>
      <c r="AB66" s="22">
        <v>2.9007616381163719E-2</v>
      </c>
      <c r="AC66" s="22">
        <v>0.34395254123860758</v>
      </c>
    </row>
    <row r="67" spans="1:29" x14ac:dyDescent="0.3">
      <c r="A67" s="4" t="s">
        <v>111</v>
      </c>
      <c r="B67" s="2" t="s">
        <v>155</v>
      </c>
      <c r="C67" s="2">
        <v>65</v>
      </c>
      <c r="D67" s="2">
        <v>5</v>
      </c>
      <c r="E67" s="2">
        <v>18</v>
      </c>
      <c r="F67" s="3">
        <v>49.263205350734097</v>
      </c>
      <c r="G67" s="3">
        <v>9.1605585353818704</v>
      </c>
      <c r="H67" s="3">
        <v>67.779622987078099</v>
      </c>
      <c r="I67" s="3">
        <v>482.19123860252802</v>
      </c>
      <c r="J67" s="2">
        <v>2.5111748302126999</v>
      </c>
      <c r="K67" s="12">
        <v>2.5222222222222221</v>
      </c>
      <c r="L67" s="18">
        <f t="shared" si="5"/>
        <v>0.69846153846153847</v>
      </c>
      <c r="M67" s="24">
        <f t="shared" si="1"/>
        <v>149532.59270649264</v>
      </c>
      <c r="N67" s="18">
        <f t="shared" si="2"/>
        <v>6.7100205730342716E-3</v>
      </c>
      <c r="O67" s="18">
        <f t="shared" si="3"/>
        <v>0.19537800940011596</v>
      </c>
      <c r="P67" s="24">
        <f t="shared" si="4"/>
        <v>0.10104401498657511</v>
      </c>
      <c r="R67" s="22">
        <v>5.8483247016353684E-2</v>
      </c>
      <c r="S67" s="22">
        <v>0.22372417341904896</v>
      </c>
      <c r="T67" s="22">
        <v>0.24336841706408549</v>
      </c>
      <c r="V67" s="50" t="s">
        <v>111</v>
      </c>
      <c r="W67" s="50" t="s">
        <v>155</v>
      </c>
      <c r="X67" s="49">
        <v>0.10104401498657511</v>
      </c>
      <c r="AA67" s="22">
        <v>0.12072045333578466</v>
      </c>
      <c r="AB67" s="22">
        <v>1.9997977961225658E-2</v>
      </c>
      <c r="AC67" s="22">
        <v>0.12286234610157126</v>
      </c>
    </row>
    <row r="68" spans="1:29" x14ac:dyDescent="0.3">
      <c r="A68" s="26" t="s">
        <v>112</v>
      </c>
      <c r="B68" s="15" t="s">
        <v>156</v>
      </c>
      <c r="C68" s="15">
        <v>81</v>
      </c>
      <c r="D68" s="15">
        <v>10</v>
      </c>
      <c r="E68" s="15">
        <v>5</v>
      </c>
      <c r="F68" s="23">
        <v>59.841561377289302</v>
      </c>
      <c r="G68" s="23">
        <v>4.9384385647120901</v>
      </c>
      <c r="H68" s="23">
        <v>65.047415094691402</v>
      </c>
      <c r="I68" s="23">
        <v>110.364335231364</v>
      </c>
      <c r="J68" s="15">
        <v>1.7303747198591899</v>
      </c>
      <c r="K68" s="11">
        <v>9.9555555555555557</v>
      </c>
      <c r="L68" s="18">
        <f t="shared" si="5"/>
        <v>0.61454046639231819</v>
      </c>
      <c r="M68" s="24">
        <f t="shared" si="1"/>
        <v>59679.026939407704</v>
      </c>
      <c r="N68" s="18">
        <f t="shared" si="2"/>
        <v>5.8724521433806054E-3</v>
      </c>
      <c r="O68" s="18">
        <f t="shared" si="3"/>
        <v>7.0758900130884261E-2</v>
      </c>
      <c r="P68" s="24">
        <f t="shared" si="4"/>
        <v>3.831567613713243E-2</v>
      </c>
      <c r="R68" s="22">
        <v>0.14137744575714126</v>
      </c>
      <c r="S68" s="22">
        <v>0.15621623242474555</v>
      </c>
      <c r="T68" s="22">
        <v>6.4885169926355388E-2</v>
      </c>
      <c r="V68" s="48" t="s">
        <v>112</v>
      </c>
      <c r="W68" s="48" t="s">
        <v>156</v>
      </c>
      <c r="X68" s="49">
        <v>3.831567613713243E-2</v>
      </c>
      <c r="AA68" s="22">
        <v>7.33110510079409E-2</v>
      </c>
      <c r="AB68" s="22">
        <v>0.13479795851758411</v>
      </c>
      <c r="AC68" s="22">
        <v>9.0711571113785E-2</v>
      </c>
    </row>
    <row r="69" spans="1:29" x14ac:dyDescent="0.3">
      <c r="A69" s="4" t="s">
        <v>113</v>
      </c>
      <c r="B69" s="2" t="s">
        <v>157</v>
      </c>
      <c r="C69" s="2">
        <v>30</v>
      </c>
      <c r="D69" s="2">
        <v>100</v>
      </c>
      <c r="E69" s="2">
        <v>16</v>
      </c>
      <c r="F69" s="3">
        <v>63.828398347710902</v>
      </c>
      <c r="G69" s="3">
        <v>7.2937225968677204</v>
      </c>
      <c r="H69" s="3">
        <v>1.90076224351945</v>
      </c>
      <c r="I69" s="3">
        <v>312.57427361009297</v>
      </c>
      <c r="J69" s="2">
        <v>0.44719401546382298</v>
      </c>
      <c r="K69" s="12">
        <v>5.3777777777777782</v>
      </c>
      <c r="L69" s="18">
        <f t="shared" si="5"/>
        <v>2.8681481481481486</v>
      </c>
      <c r="M69" s="24">
        <f t="shared" si="1"/>
        <v>72544.40670076698</v>
      </c>
      <c r="N69" s="18">
        <f t="shared" si="2"/>
        <v>2.8364427049358563E-2</v>
      </c>
      <c r="O69" s="18">
        <f t="shared" si="3"/>
        <v>8.8602066983348812E-2</v>
      </c>
      <c r="P69" s="24">
        <f t="shared" si="4"/>
        <v>5.8483247016353684E-2</v>
      </c>
      <c r="R69" s="22">
        <v>8.5652924888577217E-2</v>
      </c>
      <c r="S69" s="22">
        <v>0.21112531700299977</v>
      </c>
      <c r="T69" s="22">
        <v>0.10991479052476619</v>
      </c>
      <c r="V69" s="50" t="s">
        <v>113</v>
      </c>
      <c r="W69" s="50" t="s">
        <v>157</v>
      </c>
      <c r="X69" s="49">
        <v>5.8483247016353684E-2</v>
      </c>
      <c r="AA69" s="22">
        <v>6.9349003002055015E-2</v>
      </c>
      <c r="AB69" s="22">
        <v>0.16446540276252053</v>
      </c>
      <c r="AC69" s="22">
        <v>6.7309787553969692E-3</v>
      </c>
    </row>
    <row r="70" spans="1:29" x14ac:dyDescent="0.3">
      <c r="A70" s="26" t="s">
        <v>114</v>
      </c>
      <c r="B70" s="15" t="s">
        <v>156</v>
      </c>
      <c r="C70" s="15">
        <v>16</v>
      </c>
      <c r="D70" s="15">
        <v>41</v>
      </c>
      <c r="E70" s="15">
        <v>27</v>
      </c>
      <c r="F70" s="23">
        <v>17.028027920188698</v>
      </c>
      <c r="G70" s="23">
        <v>4.3813681581023101</v>
      </c>
      <c r="H70" s="23">
        <v>87.213057815135599</v>
      </c>
      <c r="I70" s="23">
        <v>430.16909697513597</v>
      </c>
      <c r="J70" s="15">
        <v>2.8530906166490499</v>
      </c>
      <c r="K70" s="11">
        <v>4.2222222222222223</v>
      </c>
      <c r="L70" s="18">
        <f t="shared" si="5"/>
        <v>7.125</v>
      </c>
      <c r="M70" s="24">
        <f t="shared" si="1"/>
        <v>118332.72213194253</v>
      </c>
      <c r="N70" s="18">
        <f t="shared" si="2"/>
        <v>7.0849641226353566E-2</v>
      </c>
      <c r="O70" s="18">
        <f t="shared" si="3"/>
        <v>0.15210649260361692</v>
      </c>
      <c r="P70" s="24">
        <f t="shared" si="4"/>
        <v>0.11147806691498524</v>
      </c>
      <c r="R70" s="22">
        <v>0.35444798882903389</v>
      </c>
      <c r="S70" s="22">
        <v>0.10104401498657511</v>
      </c>
      <c r="T70" s="22">
        <v>9.7563417423523202E-2</v>
      </c>
      <c r="V70" s="48" t="s">
        <v>54</v>
      </c>
      <c r="W70" s="48" t="s">
        <v>156</v>
      </c>
      <c r="X70" s="49">
        <v>6.7309787553969692E-3</v>
      </c>
      <c r="AA70" s="22">
        <v>5.3433009080757411E-2</v>
      </c>
      <c r="AB70" s="22">
        <v>5.7725659972714005E-2</v>
      </c>
      <c r="AC70" s="22">
        <v>0.21934134115687237</v>
      </c>
    </row>
    <row r="71" spans="1:29" x14ac:dyDescent="0.3">
      <c r="A71" s="4" t="s">
        <v>115</v>
      </c>
      <c r="B71" s="2" t="s">
        <v>155</v>
      </c>
      <c r="C71" s="2">
        <v>23</v>
      </c>
      <c r="D71" s="2">
        <v>32</v>
      </c>
      <c r="E71" s="2">
        <v>23</v>
      </c>
      <c r="F71" s="3">
        <v>52.028749903294901</v>
      </c>
      <c r="G71" s="3">
        <v>9.0303404225219399</v>
      </c>
      <c r="H71" s="3">
        <v>78.702393968878894</v>
      </c>
      <c r="I71" s="3">
        <v>164.366528243419</v>
      </c>
      <c r="J71" s="2">
        <v>4.3674705382050503</v>
      </c>
      <c r="K71" s="12">
        <v>1.3</v>
      </c>
      <c r="L71" s="18">
        <f t="shared" si="5"/>
        <v>1.3</v>
      </c>
      <c r="M71" s="24">
        <f t="shared" si="1"/>
        <v>89781.898092765274</v>
      </c>
      <c r="N71" s="18">
        <f t="shared" si="2"/>
        <v>1.2713633398564907E-2</v>
      </c>
      <c r="O71" s="18">
        <f t="shared" si="3"/>
        <v>0.11250897379298121</v>
      </c>
      <c r="P71" s="24">
        <f t="shared" si="4"/>
        <v>6.2611303595773063E-2</v>
      </c>
      <c r="R71" s="22">
        <v>0.23231136110656569</v>
      </c>
      <c r="S71" s="22">
        <v>6.2611303595773063E-2</v>
      </c>
      <c r="T71" s="22">
        <v>0.12629966280468483</v>
      </c>
      <c r="V71" s="48" t="s">
        <v>114</v>
      </c>
      <c r="W71" s="48" t="s">
        <v>156</v>
      </c>
      <c r="X71" s="49">
        <v>0.11147806691498524</v>
      </c>
      <c r="AA71" s="22">
        <v>0.20626126673347203</v>
      </c>
      <c r="AB71" s="22">
        <v>8.6676968601622814E-2</v>
      </c>
      <c r="AC71" s="22">
        <v>0.16783057141936827</v>
      </c>
    </row>
    <row r="72" spans="1:29" x14ac:dyDescent="0.3">
      <c r="A72" s="26" t="s">
        <v>116</v>
      </c>
      <c r="B72" s="15" t="s">
        <v>157</v>
      </c>
      <c r="C72" s="15">
        <v>89</v>
      </c>
      <c r="D72" s="15">
        <v>86</v>
      </c>
      <c r="E72" s="15">
        <v>2</v>
      </c>
      <c r="F72" s="23">
        <v>72.796353955587307</v>
      </c>
      <c r="G72" s="23">
        <v>7.2917013887767697</v>
      </c>
      <c r="H72" s="23">
        <v>21.048642725168602</v>
      </c>
      <c r="I72" s="23">
        <v>320.84651575911101</v>
      </c>
      <c r="J72" s="15">
        <v>1.87400140404437</v>
      </c>
      <c r="K72" s="11">
        <v>3</v>
      </c>
      <c r="L72" s="18">
        <f t="shared" si="5"/>
        <v>6.741573033707865E-2</v>
      </c>
      <c r="M72" s="24">
        <f t="shared" si="1"/>
        <v>212236.56107966861</v>
      </c>
      <c r="N72" s="18">
        <f t="shared" si="2"/>
        <v>4.1191172482537723E-4</v>
      </c>
      <c r="O72" s="18">
        <f t="shared" si="3"/>
        <v>0.28234297978945716</v>
      </c>
      <c r="P72" s="24">
        <f t="shared" si="4"/>
        <v>0.14137744575714126</v>
      </c>
      <c r="R72" s="22">
        <v>0.15517759243228546</v>
      </c>
      <c r="S72" s="22">
        <v>2.2513363917278859E-2</v>
      </c>
      <c r="T72" s="22">
        <v>0.48165054231723992</v>
      </c>
      <c r="V72" s="50" t="s">
        <v>115</v>
      </c>
      <c r="W72" s="50" t="s">
        <v>155</v>
      </c>
      <c r="X72" s="49">
        <v>6.2611303595773063E-2</v>
      </c>
      <c r="AA72" s="22">
        <v>3.5916001744075068E-2</v>
      </c>
      <c r="AB72" s="22">
        <v>9.8495542922716756E-2</v>
      </c>
      <c r="AC72" s="22">
        <v>3.1660569885117222E-2</v>
      </c>
    </row>
    <row r="73" spans="1:29" x14ac:dyDescent="0.3">
      <c r="A73" s="4" t="s">
        <v>117</v>
      </c>
      <c r="B73" s="2" t="s">
        <v>156</v>
      </c>
      <c r="C73" s="2">
        <v>55</v>
      </c>
      <c r="D73" s="2">
        <v>54</v>
      </c>
      <c r="E73" s="2">
        <v>19</v>
      </c>
      <c r="F73" s="3">
        <v>13.0173767852878</v>
      </c>
      <c r="G73" s="3">
        <v>2.45793352798733</v>
      </c>
      <c r="H73" s="3">
        <v>20.075003975630398</v>
      </c>
      <c r="I73" s="3">
        <v>687.28617786641701</v>
      </c>
      <c r="J73" s="2">
        <v>3.6328432903821302</v>
      </c>
      <c r="K73" s="12">
        <v>2.7333333333333334</v>
      </c>
      <c r="L73" s="18">
        <f t="shared" si="5"/>
        <v>0.94424242424242433</v>
      </c>
      <c r="M73" s="24">
        <f t="shared" si="1"/>
        <v>365017.91300704039</v>
      </c>
      <c r="N73" s="18">
        <f t="shared" si="2"/>
        <v>9.1630196287730541E-3</v>
      </c>
      <c r="O73" s="18">
        <f t="shared" si="3"/>
        <v>0.49423747532335177</v>
      </c>
      <c r="P73" s="24">
        <f t="shared" si="4"/>
        <v>0.2517002474760624</v>
      </c>
      <c r="R73" s="22">
        <v>4.1942564165255894E-2</v>
      </c>
      <c r="S73" s="22">
        <v>4.2965486997599438E-2</v>
      </c>
      <c r="T73" s="22">
        <v>4.4740023369875953E-2</v>
      </c>
      <c r="V73" s="48" t="s">
        <v>116</v>
      </c>
      <c r="W73" s="48" t="s">
        <v>157</v>
      </c>
      <c r="X73" s="49">
        <v>0.14137744575714126</v>
      </c>
      <c r="AA73" s="22">
        <v>0.1594458886947627</v>
      </c>
      <c r="AB73" s="22">
        <v>0.29343607531845484</v>
      </c>
      <c r="AC73" s="22">
        <v>0.11998057514793647</v>
      </c>
    </row>
    <row r="74" spans="1:29" x14ac:dyDescent="0.3">
      <c r="A74" s="26" t="s">
        <v>118</v>
      </c>
      <c r="B74" s="15" t="s">
        <v>156</v>
      </c>
      <c r="C74" s="15">
        <v>11</v>
      </c>
      <c r="D74" s="15">
        <v>73</v>
      </c>
      <c r="E74" s="15">
        <v>27</v>
      </c>
      <c r="F74" s="23">
        <v>89.634095608135297</v>
      </c>
      <c r="G74" s="23">
        <v>4.5853534681946497</v>
      </c>
      <c r="H74" s="23">
        <v>8.6930424258772803</v>
      </c>
      <c r="I74" s="23">
        <v>771.225084681157</v>
      </c>
      <c r="J74" s="15">
        <v>0.15948631471751401</v>
      </c>
      <c r="K74" s="11">
        <v>1.4888888888888889</v>
      </c>
      <c r="L74" s="18">
        <f t="shared" ref="L74:L105" si="6">(E74/C74)*K74</f>
        <v>3.6545454545454548</v>
      </c>
      <c r="M74" s="24">
        <f t="shared" si="1"/>
        <v>85138.246768255718</v>
      </c>
      <c r="N74" s="18">
        <f t="shared" si="2"/>
        <v>3.6213010733558683E-2</v>
      </c>
      <c r="O74" s="18">
        <f t="shared" si="3"/>
        <v>0.10606863181125817</v>
      </c>
      <c r="P74" s="24">
        <f t="shared" si="4"/>
        <v>7.1140821272408422E-2</v>
      </c>
      <c r="R74" s="22">
        <v>0.13006362950467529</v>
      </c>
      <c r="S74" s="22">
        <v>4.2345661867529076E-2</v>
      </c>
      <c r="T74" s="22">
        <v>0.38476675212993733</v>
      </c>
      <c r="V74" s="50" t="s">
        <v>117</v>
      </c>
      <c r="W74" s="50" t="s">
        <v>156</v>
      </c>
      <c r="X74" s="49">
        <v>0.2517002474760624</v>
      </c>
      <c r="AA74" s="22">
        <v>0.10113821616755628</v>
      </c>
      <c r="AB74" s="22">
        <v>0.13718345095361131</v>
      </c>
      <c r="AC74" s="22">
        <v>9.1895629535862999E-2</v>
      </c>
    </row>
    <row r="75" spans="1:29" x14ac:dyDescent="0.3">
      <c r="A75" s="4" t="s">
        <v>119</v>
      </c>
      <c r="B75" s="2" t="s">
        <v>156</v>
      </c>
      <c r="C75" s="2">
        <v>72</v>
      </c>
      <c r="D75" s="2">
        <v>57</v>
      </c>
      <c r="E75" s="2">
        <v>24</v>
      </c>
      <c r="F75" s="3">
        <v>33.697717206643098</v>
      </c>
      <c r="G75" s="3">
        <v>6.5805413478845898</v>
      </c>
      <c r="H75" s="3">
        <v>1.59722274305067</v>
      </c>
      <c r="I75" s="3">
        <v>555.85910367174301</v>
      </c>
      <c r="J75" s="2">
        <v>4.9110959548423301</v>
      </c>
      <c r="K75" s="12">
        <v>5.0777777777777775</v>
      </c>
      <c r="L75" s="18">
        <f t="shared" si="6"/>
        <v>1.6925925925925924</v>
      </c>
      <c r="M75" s="24">
        <f t="shared" ref="M75:M109" si="7">(C75+D75)*(F75+G75+H75+I75)*(1+J75)</f>
        <v>455791.37685931544</v>
      </c>
      <c r="N75" s="18">
        <f t="shared" ref="N75:N109" si="8">(L75-$T$2)/$T$4</f>
        <v>1.6631876494890195E-2</v>
      </c>
      <c r="O75" s="18">
        <f t="shared" ref="O75:O109" si="9">(M75-$U$2)/$U$4</f>
        <v>0.62013240352103893</v>
      </c>
      <c r="P75" s="24">
        <f t="shared" ref="P75:P109" si="10">(0.5*N75)+(0.5*O75)</f>
        <v>0.31838214000796455</v>
      </c>
      <c r="R75" s="22">
        <v>0.24075955682200909</v>
      </c>
      <c r="S75" s="22">
        <v>0.14751359008088671</v>
      </c>
      <c r="T75" s="22">
        <v>6.7565384116522437E-2</v>
      </c>
      <c r="V75" s="48" t="s">
        <v>118</v>
      </c>
      <c r="W75" s="48" t="s">
        <v>156</v>
      </c>
      <c r="X75" s="49">
        <v>7.1140821272408422E-2</v>
      </c>
      <c r="AA75" s="22">
        <v>9.4715929644440561E-2</v>
      </c>
      <c r="AB75" s="22">
        <v>0.13151431891455861</v>
      </c>
      <c r="AC75" s="22">
        <v>5.7724455734777462E-2</v>
      </c>
    </row>
    <row r="76" spans="1:29" x14ac:dyDescent="0.3">
      <c r="A76" s="26" t="s">
        <v>120</v>
      </c>
      <c r="B76" s="15" t="s">
        <v>156</v>
      </c>
      <c r="C76" s="15">
        <v>52</v>
      </c>
      <c r="D76" s="15">
        <v>13</v>
      </c>
      <c r="E76" s="15">
        <v>17</v>
      </c>
      <c r="F76" s="23">
        <v>26.034869773962001</v>
      </c>
      <c r="G76" s="23">
        <v>2.2161427287713602</v>
      </c>
      <c r="H76" s="23">
        <v>42.084436738309897</v>
      </c>
      <c r="I76" s="23">
        <v>393.84334857842703</v>
      </c>
      <c r="J76" s="15">
        <v>3.44806328834026</v>
      </c>
      <c r="K76" s="11">
        <v>7.822222222222222</v>
      </c>
      <c r="L76" s="18">
        <f t="shared" si="6"/>
        <v>2.5572649572649571</v>
      </c>
      <c r="M76" s="24">
        <f t="shared" si="7"/>
        <v>134205.28353743558</v>
      </c>
      <c r="N76" s="18">
        <f t="shared" si="8"/>
        <v>2.5261678960309099E-2</v>
      </c>
      <c r="O76" s="18">
        <f t="shared" si="9"/>
        <v>0.17412035980284513</v>
      </c>
      <c r="P76" s="24">
        <f t="shared" si="10"/>
        <v>9.9691019381577109E-2</v>
      </c>
      <c r="R76" s="22">
        <v>4.5293338206846528E-2</v>
      </c>
      <c r="S76" s="22">
        <v>0.3305521252567033</v>
      </c>
      <c r="T76" s="22">
        <v>0.59515161883525114</v>
      </c>
      <c r="V76" s="48" t="s">
        <v>120</v>
      </c>
      <c r="W76" s="48" t="s">
        <v>156</v>
      </c>
      <c r="X76" s="49">
        <v>9.9691019381577109E-2</v>
      </c>
      <c r="AA76" s="22">
        <v>5.9940749660009271E-2</v>
      </c>
      <c r="AB76" s="22">
        <v>0.18441058209193434</v>
      </c>
      <c r="AC76" s="22">
        <v>9.6140889200355975E-2</v>
      </c>
    </row>
    <row r="77" spans="1:29" x14ac:dyDescent="0.3">
      <c r="A77" s="4" t="s">
        <v>121</v>
      </c>
      <c r="B77" s="2" t="s">
        <v>156</v>
      </c>
      <c r="C77" s="2">
        <v>16</v>
      </c>
      <c r="D77" s="2">
        <v>12</v>
      </c>
      <c r="E77" s="2">
        <v>9</v>
      </c>
      <c r="F77" s="3">
        <v>87.755432354001002</v>
      </c>
      <c r="G77" s="3">
        <v>9.1478115447106294</v>
      </c>
      <c r="H77" s="3">
        <v>7.0578761469782298</v>
      </c>
      <c r="I77" s="3">
        <v>169.27180138478599</v>
      </c>
      <c r="J77" s="2">
        <v>0.131955444311814</v>
      </c>
      <c r="K77" s="12">
        <v>5.7</v>
      </c>
      <c r="L77" s="18">
        <f t="shared" si="6"/>
        <v>3.2062500000000003</v>
      </c>
      <c r="M77" s="24">
        <f t="shared" si="7"/>
        <v>8660.0498033965796</v>
      </c>
      <c r="N77" s="18">
        <f t="shared" si="8"/>
        <v>3.1738829093281157E-2</v>
      </c>
      <c r="O77" s="18">
        <f t="shared" si="9"/>
        <v>0</v>
      </c>
      <c r="P77" s="24">
        <f t="shared" si="10"/>
        <v>1.5869414546640578E-2</v>
      </c>
      <c r="R77" s="22">
        <v>0.28113258350170944</v>
      </c>
      <c r="S77" s="22">
        <v>7.766397419276104E-2</v>
      </c>
      <c r="T77" s="22">
        <v>0.27086973526773167</v>
      </c>
      <c r="V77" s="50" t="s">
        <v>121</v>
      </c>
      <c r="W77" s="50" t="s">
        <v>156</v>
      </c>
      <c r="X77" s="49">
        <v>1.5869414546640578E-2</v>
      </c>
      <c r="AA77" s="22">
        <v>0.11170472383318153</v>
      </c>
      <c r="AB77" s="22">
        <v>0.16838186321585313</v>
      </c>
      <c r="AC77" s="22">
        <v>0.28854244273923824</v>
      </c>
    </row>
    <row r="78" spans="1:29" x14ac:dyDescent="0.3">
      <c r="A78" s="26" t="s">
        <v>122</v>
      </c>
      <c r="B78" s="15" t="s">
        <v>155</v>
      </c>
      <c r="C78" s="15">
        <v>29</v>
      </c>
      <c r="D78" s="15">
        <v>0</v>
      </c>
      <c r="E78" s="15">
        <v>8</v>
      </c>
      <c r="F78" s="23">
        <v>37.931812382790298</v>
      </c>
      <c r="G78" s="23">
        <v>1.19425186488499</v>
      </c>
      <c r="H78" s="23">
        <v>97.113581563462205</v>
      </c>
      <c r="I78" s="23">
        <v>299.70630311810299</v>
      </c>
      <c r="J78" s="15">
        <v>1.9834678721741801</v>
      </c>
      <c r="K78" s="11">
        <v>1.8111111111111111</v>
      </c>
      <c r="L78" s="18">
        <f t="shared" si="6"/>
        <v>0.49961685823754787</v>
      </c>
      <c r="M78" s="24">
        <f t="shared" si="7"/>
        <v>37718.291246411376</v>
      </c>
      <c r="N78" s="18">
        <f t="shared" si="8"/>
        <v>4.7254650561216454E-3</v>
      </c>
      <c r="O78" s="18">
        <f t="shared" si="9"/>
        <v>4.030126277843607E-2</v>
      </c>
      <c r="P78" s="24">
        <f t="shared" si="10"/>
        <v>2.2513363917278859E-2</v>
      </c>
      <c r="R78" s="22">
        <v>7.1752043926545356E-2</v>
      </c>
      <c r="S78" s="22">
        <v>3.2030061658440391E-2</v>
      </c>
      <c r="T78" s="22">
        <v>0.14561784683453416</v>
      </c>
      <c r="V78" s="48" t="s">
        <v>122</v>
      </c>
      <c r="W78" s="48" t="s">
        <v>155</v>
      </c>
      <c r="X78" s="49">
        <v>2.2513363917278859E-2</v>
      </c>
      <c r="AA78" s="22">
        <v>0.13388277018496567</v>
      </c>
      <c r="AB78" s="22">
        <v>0.27548264668171463</v>
      </c>
      <c r="AC78" s="22">
        <v>0.12171308246281569</v>
      </c>
    </row>
    <row r="79" spans="1:29" x14ac:dyDescent="0.3">
      <c r="A79" s="4" t="s">
        <v>123</v>
      </c>
      <c r="B79" s="2" t="s">
        <v>156</v>
      </c>
      <c r="C79" s="2">
        <v>62</v>
      </c>
      <c r="D79" s="2">
        <v>95</v>
      </c>
      <c r="E79" s="2">
        <v>1</v>
      </c>
      <c r="F79" s="3">
        <v>54.865528517069698</v>
      </c>
      <c r="G79" s="3">
        <v>9.7052867901203399</v>
      </c>
      <c r="H79" s="3">
        <v>77.627765812748095</v>
      </c>
      <c r="I79" s="3">
        <v>207.66320620857499</v>
      </c>
      <c r="J79" s="2">
        <v>1.3623879886490999</v>
      </c>
      <c r="K79" s="12">
        <v>5.677777777777778</v>
      </c>
      <c r="L79" s="18">
        <f t="shared" si="6"/>
        <v>9.1577060931899643E-2</v>
      </c>
      <c r="M79" s="24">
        <f t="shared" si="7"/>
        <v>129761.95759933308</v>
      </c>
      <c r="N79" s="18">
        <f t="shared" si="8"/>
        <v>6.5305220630010731E-4</v>
      </c>
      <c r="O79" s="18">
        <f t="shared" si="9"/>
        <v>0.16795785177245101</v>
      </c>
      <c r="P79" s="24">
        <f t="shared" si="10"/>
        <v>8.4305451989375557E-2</v>
      </c>
      <c r="R79" s="19"/>
      <c r="S79" s="22">
        <v>7.4841867409964388E-2</v>
      </c>
      <c r="T79" s="22">
        <v>3.831567613713243E-2</v>
      </c>
      <c r="V79" s="50" t="s">
        <v>123</v>
      </c>
      <c r="W79" s="50" t="s">
        <v>156</v>
      </c>
      <c r="X79" s="49">
        <v>8.4305451989375557E-2</v>
      </c>
      <c r="AA79" s="22">
        <v>0.27629471955573548</v>
      </c>
      <c r="AB79" s="22">
        <v>8.9727671849289092E-2</v>
      </c>
      <c r="AC79" s="22">
        <v>6.7533244657762961E-2</v>
      </c>
    </row>
    <row r="80" spans="1:29" x14ac:dyDescent="0.3">
      <c r="A80" s="26" t="s">
        <v>124</v>
      </c>
      <c r="B80" s="15" t="s">
        <v>155</v>
      </c>
      <c r="C80" s="15">
        <v>90</v>
      </c>
      <c r="D80" s="15">
        <v>10</v>
      </c>
      <c r="E80" s="15">
        <v>12</v>
      </c>
      <c r="F80" s="23">
        <v>47.914541824058702</v>
      </c>
      <c r="G80" s="23">
        <v>6.3157177546007199</v>
      </c>
      <c r="H80" s="23">
        <v>11.440781823761199</v>
      </c>
      <c r="I80" s="23">
        <v>183.27289874871099</v>
      </c>
      <c r="J80" s="15">
        <v>1.8305755986122301</v>
      </c>
      <c r="K80" s="11">
        <v>0.35555555555555557</v>
      </c>
      <c r="L80" s="18">
        <f t="shared" si="6"/>
        <v>4.7407407407407412E-2</v>
      </c>
      <c r="M80" s="24">
        <f t="shared" si="7"/>
        <v>70465.464241417649</v>
      </c>
      <c r="N80" s="18">
        <f t="shared" si="8"/>
        <v>2.1222004783648623E-4</v>
      </c>
      <c r="O80" s="18">
        <f t="shared" si="9"/>
        <v>8.5718753947362392E-2</v>
      </c>
      <c r="P80" s="24">
        <f t="shared" si="10"/>
        <v>4.2965486997599438E-2</v>
      </c>
      <c r="R80" s="19"/>
      <c r="S80" s="22">
        <v>0.15907459788186801</v>
      </c>
      <c r="T80" s="22">
        <v>0.11147806691498524</v>
      </c>
      <c r="V80" s="50" t="s">
        <v>58</v>
      </c>
      <c r="W80" s="50" t="s">
        <v>157</v>
      </c>
      <c r="X80" s="49">
        <v>0.14020939842063185</v>
      </c>
      <c r="AA80" s="22">
        <v>5.8483247016353684E-2</v>
      </c>
      <c r="AB80" s="22">
        <v>0.22372417341904896</v>
      </c>
      <c r="AC80" s="22">
        <v>0.24336841706408549</v>
      </c>
    </row>
    <row r="81" spans="1:29" x14ac:dyDescent="0.3">
      <c r="A81" s="4" t="s">
        <v>125</v>
      </c>
      <c r="B81" s="2" t="s">
        <v>157</v>
      </c>
      <c r="C81" s="2">
        <v>14</v>
      </c>
      <c r="D81" s="2">
        <v>76</v>
      </c>
      <c r="E81" s="2">
        <v>2</v>
      </c>
      <c r="F81" s="3">
        <v>6.3815331627479601</v>
      </c>
      <c r="G81" s="3">
        <v>9.2281903170525101</v>
      </c>
      <c r="H81" s="3">
        <v>30.661677477859499</v>
      </c>
      <c r="I81" s="3">
        <v>405.167067888855</v>
      </c>
      <c r="J81" s="2">
        <v>2.07875060787496</v>
      </c>
      <c r="K81" s="12">
        <v>7.0777777777777775</v>
      </c>
      <c r="L81" s="18">
        <f t="shared" si="6"/>
        <v>1.0111111111111111</v>
      </c>
      <c r="M81" s="24">
        <f t="shared" si="7"/>
        <v>125087.98143414142</v>
      </c>
      <c r="N81" s="18">
        <f t="shared" si="8"/>
        <v>9.8303979125896942E-3</v>
      </c>
      <c r="O81" s="18">
        <f t="shared" si="9"/>
        <v>0.16147545186456475</v>
      </c>
      <c r="P81" s="24">
        <f t="shared" si="10"/>
        <v>8.5652924888577217E-2</v>
      </c>
      <c r="R81" s="19"/>
      <c r="S81" s="22">
        <v>0.41878470252980632</v>
      </c>
      <c r="T81" s="22">
        <v>0.2517002474760624</v>
      </c>
      <c r="V81" s="48" t="s">
        <v>124</v>
      </c>
      <c r="W81" s="48" t="s">
        <v>155</v>
      </c>
      <c r="X81" s="49">
        <v>4.2965486997599438E-2</v>
      </c>
      <c r="AA81" s="22">
        <v>0.14137744575714126</v>
      </c>
      <c r="AB81" s="22">
        <v>0.15621623242474555</v>
      </c>
      <c r="AC81" s="22">
        <v>6.4885169926355388E-2</v>
      </c>
    </row>
    <row r="82" spans="1:29" x14ac:dyDescent="0.3">
      <c r="A82" s="26" t="s">
        <v>126</v>
      </c>
      <c r="B82" s="15" t="s">
        <v>157</v>
      </c>
      <c r="C82" s="15">
        <v>88</v>
      </c>
      <c r="D82" s="15">
        <v>57</v>
      </c>
      <c r="E82" s="15">
        <v>29</v>
      </c>
      <c r="F82" s="23">
        <v>90.204427520528</v>
      </c>
      <c r="G82" s="23">
        <v>6.5996141596895397</v>
      </c>
      <c r="H82" s="23">
        <v>55.760492895244198</v>
      </c>
      <c r="I82" s="23">
        <v>677.94456984618296</v>
      </c>
      <c r="J82" s="15">
        <v>3.2133296074383</v>
      </c>
      <c r="K82" s="11">
        <v>5.3111111111111109</v>
      </c>
      <c r="L82" s="18">
        <f t="shared" si="6"/>
        <v>1.7502525252525252</v>
      </c>
      <c r="M82" s="24">
        <f t="shared" si="7"/>
        <v>507385.24684148352</v>
      </c>
      <c r="N82" s="18">
        <f t="shared" si="8"/>
        <v>1.7207347447073477E-2</v>
      </c>
      <c r="O82" s="18">
        <f t="shared" si="9"/>
        <v>0.69168863021099425</v>
      </c>
      <c r="P82" s="24">
        <f t="shared" si="10"/>
        <v>0.35444798882903389</v>
      </c>
      <c r="R82" s="19"/>
      <c r="S82" s="22">
        <v>8.9066350956159321E-2</v>
      </c>
      <c r="T82" s="22">
        <v>7.1140821272408422E-2</v>
      </c>
      <c r="V82" s="50" t="s">
        <v>125</v>
      </c>
      <c r="W82" s="50" t="s">
        <v>157</v>
      </c>
      <c r="X82" s="49">
        <v>8.5652924888577217E-2</v>
      </c>
      <c r="AA82" s="22">
        <v>8.5652924888577217E-2</v>
      </c>
      <c r="AB82" s="22">
        <v>0.21112531700299977</v>
      </c>
      <c r="AC82" s="22">
        <v>0.10991479052476619</v>
      </c>
    </row>
    <row r="83" spans="1:29" x14ac:dyDescent="0.3">
      <c r="A83" s="4" t="s">
        <v>127</v>
      </c>
      <c r="B83" s="2" t="s">
        <v>157</v>
      </c>
      <c r="C83" s="2">
        <v>41</v>
      </c>
      <c r="D83" s="2">
        <v>17</v>
      </c>
      <c r="E83" s="2">
        <v>25</v>
      </c>
      <c r="F83" s="3">
        <v>83.851017681304597</v>
      </c>
      <c r="G83" s="3">
        <v>1.5129368369160701</v>
      </c>
      <c r="H83" s="3">
        <v>46.870238797617098</v>
      </c>
      <c r="I83" s="3">
        <v>866.472800129657</v>
      </c>
      <c r="J83" s="2">
        <v>4.6205460645137002</v>
      </c>
      <c r="K83" s="12">
        <v>4.166666666666667</v>
      </c>
      <c r="L83" s="18">
        <f t="shared" si="6"/>
        <v>2.5406504065040654</v>
      </c>
      <c r="M83" s="24">
        <f t="shared" si="7"/>
        <v>325570.16237351834</v>
      </c>
      <c r="N83" s="18">
        <f t="shared" si="8"/>
        <v>2.5095858590679847E-2</v>
      </c>
      <c r="O83" s="18">
        <f t="shared" si="9"/>
        <v>0.43952686362245152</v>
      </c>
      <c r="P83" s="24">
        <f t="shared" si="10"/>
        <v>0.23231136110656569</v>
      </c>
      <c r="R83" s="19"/>
      <c r="S83" s="22">
        <v>0.50109062740912058</v>
      </c>
      <c r="T83" s="22">
        <v>0.31838214000796455</v>
      </c>
      <c r="V83" s="50" t="s">
        <v>127</v>
      </c>
      <c r="W83" s="50" t="s">
        <v>157</v>
      </c>
      <c r="X83" s="49">
        <v>0.23231136110656569</v>
      </c>
      <c r="AA83" s="22"/>
      <c r="AB83" s="22">
        <v>0.10104401498657511</v>
      </c>
      <c r="AC83" s="22">
        <v>9.7563417423523202E-2</v>
      </c>
    </row>
    <row r="84" spans="1:29" x14ac:dyDescent="0.3">
      <c r="A84" s="26" t="s">
        <v>128</v>
      </c>
      <c r="B84" s="15" t="s">
        <v>155</v>
      </c>
      <c r="C84" s="15">
        <v>64</v>
      </c>
      <c r="D84" s="15">
        <v>41</v>
      </c>
      <c r="E84" s="15">
        <v>6</v>
      </c>
      <c r="F84" s="23">
        <v>3.1700114135661499</v>
      </c>
      <c r="G84" s="23">
        <v>5.2376546500374399</v>
      </c>
      <c r="H84" s="23">
        <v>80.580852156447804</v>
      </c>
      <c r="I84" s="23">
        <v>341.55265678322297</v>
      </c>
      <c r="J84" s="15">
        <v>0.39661272410993498</v>
      </c>
      <c r="K84" s="11">
        <v>10.044444444444444</v>
      </c>
      <c r="L84" s="18">
        <f t="shared" si="6"/>
        <v>0.94166666666666665</v>
      </c>
      <c r="M84" s="24">
        <f t="shared" si="7"/>
        <v>63136.424742595598</v>
      </c>
      <c r="N84" s="18">
        <f t="shared" si="8"/>
        <v>9.1373124592302683E-3</v>
      </c>
      <c r="O84" s="18">
        <f t="shared" si="9"/>
        <v>7.5554011275827879E-2</v>
      </c>
      <c r="P84" s="24">
        <f t="shared" si="10"/>
        <v>4.2345661867529076E-2</v>
      </c>
      <c r="R84" s="19"/>
      <c r="S84" s="22">
        <v>0.1152554466256181</v>
      </c>
      <c r="T84" s="22">
        <v>9.9691019381577109E-2</v>
      </c>
      <c r="V84" s="48" t="s">
        <v>128</v>
      </c>
      <c r="W84" s="48" t="s">
        <v>155</v>
      </c>
      <c r="X84" s="49">
        <v>4.2345661867529076E-2</v>
      </c>
      <c r="AA84" s="22">
        <v>0.23231136110656569</v>
      </c>
      <c r="AB84" s="22">
        <v>6.2611303595773063E-2</v>
      </c>
      <c r="AC84" s="22">
        <v>0.12629966280468483</v>
      </c>
    </row>
    <row r="85" spans="1:29" x14ac:dyDescent="0.3">
      <c r="A85" s="4" t="s">
        <v>129</v>
      </c>
      <c r="B85" s="2" t="s">
        <v>156</v>
      </c>
      <c r="C85" s="2">
        <v>29</v>
      </c>
      <c r="D85" s="2">
        <v>16</v>
      </c>
      <c r="E85" s="2">
        <v>20</v>
      </c>
      <c r="F85" s="3">
        <v>92.996884233970604</v>
      </c>
      <c r="G85" s="3">
        <v>2.47389776104546</v>
      </c>
      <c r="H85" s="3">
        <v>48.064782640006499</v>
      </c>
      <c r="I85" s="3">
        <v>873.12964801765099</v>
      </c>
      <c r="J85" s="2">
        <v>2.0300690886687498</v>
      </c>
      <c r="K85" s="12">
        <v>1.1777777777777778</v>
      </c>
      <c r="L85" s="18">
        <f t="shared" si="6"/>
        <v>0.81226053639846751</v>
      </c>
      <c r="M85" s="24">
        <f t="shared" si="7"/>
        <v>138625.46254726683</v>
      </c>
      <c r="N85" s="18">
        <f t="shared" si="8"/>
        <v>7.8457835661425654E-3</v>
      </c>
      <c r="O85" s="18">
        <f t="shared" si="9"/>
        <v>0.18025076504957277</v>
      </c>
      <c r="P85" s="24">
        <f t="shared" si="10"/>
        <v>9.4048274307857671E-2</v>
      </c>
      <c r="R85" s="19"/>
      <c r="S85" s="22">
        <v>0.18612000817208202</v>
      </c>
      <c r="T85" s="22">
        <v>1.5869414546640578E-2</v>
      </c>
      <c r="V85" s="50" t="s">
        <v>129</v>
      </c>
      <c r="W85" s="50" t="s">
        <v>156</v>
      </c>
      <c r="X85" s="49">
        <v>9.4048274307857671E-2</v>
      </c>
      <c r="AA85" s="22">
        <v>0.15517759243228546</v>
      </c>
      <c r="AB85" s="22">
        <v>2.2513363917278859E-2</v>
      </c>
      <c r="AC85" s="22"/>
    </row>
    <row r="86" spans="1:29" x14ac:dyDescent="0.3">
      <c r="A86" s="26" t="s">
        <v>130</v>
      </c>
      <c r="B86" s="15" t="s">
        <v>155</v>
      </c>
      <c r="C86" s="15">
        <v>23</v>
      </c>
      <c r="D86" s="15">
        <v>38</v>
      </c>
      <c r="E86" s="15">
        <v>1</v>
      </c>
      <c r="F86" s="23">
        <v>69.108799547430294</v>
      </c>
      <c r="G86" s="23">
        <v>7.0545383368369201</v>
      </c>
      <c r="H86" s="23">
        <v>64.323597795600193</v>
      </c>
      <c r="I86" s="23">
        <v>997.41345013319403</v>
      </c>
      <c r="J86" s="15">
        <v>2.1800374515822099</v>
      </c>
      <c r="K86" s="11">
        <v>2.6777777777777776</v>
      </c>
      <c r="L86" s="18">
        <f t="shared" si="6"/>
        <v>0.11642512077294685</v>
      </c>
      <c r="M86" s="24">
        <f t="shared" si="7"/>
        <v>220732.51642637825</v>
      </c>
      <c r="N86" s="18">
        <f t="shared" si="8"/>
        <v>9.0104654130860197E-4</v>
      </c>
      <c r="O86" s="18">
        <f t="shared" si="9"/>
        <v>0.2941261336204648</v>
      </c>
      <c r="P86" s="24">
        <f t="shared" si="10"/>
        <v>0.14751359008088671</v>
      </c>
      <c r="R86" s="19"/>
      <c r="S86" s="22">
        <v>3.1638969693875453E-2</v>
      </c>
      <c r="T86" s="22">
        <v>8.4305451989375557E-2</v>
      </c>
      <c r="V86" s="48" t="s">
        <v>130</v>
      </c>
      <c r="W86" s="48" t="s">
        <v>155</v>
      </c>
      <c r="X86" s="49">
        <v>0.14751359008088671</v>
      </c>
      <c r="AA86" s="22">
        <v>4.1942564165255894E-2</v>
      </c>
      <c r="AB86" s="22">
        <v>4.2965486997599438E-2</v>
      </c>
      <c r="AC86" s="22">
        <v>4.4740023369875953E-2</v>
      </c>
    </row>
    <row r="87" spans="1:29" x14ac:dyDescent="0.3">
      <c r="A87" s="4" t="s">
        <v>131</v>
      </c>
      <c r="B87" s="2" t="s">
        <v>155</v>
      </c>
      <c r="C87" s="2">
        <v>14</v>
      </c>
      <c r="D87" s="2">
        <v>96</v>
      </c>
      <c r="E87" s="2">
        <v>28</v>
      </c>
      <c r="F87" s="3">
        <v>57.449742958971399</v>
      </c>
      <c r="G87" s="3">
        <v>6.7809466256178901</v>
      </c>
      <c r="H87" s="3">
        <v>42.952444748991802</v>
      </c>
      <c r="I87" s="3">
        <v>852.56809891984994</v>
      </c>
      <c r="J87" s="2">
        <v>3.0551418183075398</v>
      </c>
      <c r="K87" s="12">
        <v>3.9888888888888889</v>
      </c>
      <c r="L87" s="18">
        <f t="shared" si="6"/>
        <v>7.9777777777777779</v>
      </c>
      <c r="M87" s="24">
        <f t="shared" si="7"/>
        <v>428112.00972520444</v>
      </c>
      <c r="N87" s="18">
        <f t="shared" si="8"/>
        <v>7.936073059360732E-2</v>
      </c>
      <c r="O87" s="18">
        <f t="shared" si="9"/>
        <v>0.58174351991979922</v>
      </c>
      <c r="P87" s="24">
        <f t="shared" si="10"/>
        <v>0.3305521252567033</v>
      </c>
      <c r="R87" s="19"/>
      <c r="S87" s="19"/>
      <c r="T87" s="22">
        <v>9.4048274307857671E-2</v>
      </c>
      <c r="V87" s="48" t="s">
        <v>132</v>
      </c>
      <c r="W87" s="48" t="s">
        <v>155</v>
      </c>
      <c r="X87" s="49">
        <v>7.766397419276104E-2</v>
      </c>
      <c r="AA87" s="22">
        <v>0.13006362950467529</v>
      </c>
      <c r="AB87" s="22">
        <v>4.2345661867529076E-2</v>
      </c>
      <c r="AC87" s="22">
        <v>0.38476675212993733</v>
      </c>
    </row>
    <row r="88" spans="1:29" x14ac:dyDescent="0.3">
      <c r="A88" s="26" t="s">
        <v>132</v>
      </c>
      <c r="B88" s="15" t="s">
        <v>155</v>
      </c>
      <c r="C88" s="15">
        <v>50</v>
      </c>
      <c r="D88" s="15">
        <v>5</v>
      </c>
      <c r="E88" s="15">
        <v>4</v>
      </c>
      <c r="F88" s="23">
        <v>6.30688317611191</v>
      </c>
      <c r="G88" s="23">
        <v>8.4670497708619905</v>
      </c>
      <c r="H88" s="23">
        <v>71.126514720403307</v>
      </c>
      <c r="I88" s="23">
        <v>323.59220343132199</v>
      </c>
      <c r="J88" s="15">
        <v>4.0968813324704501</v>
      </c>
      <c r="K88" s="11">
        <v>10.511111111111111</v>
      </c>
      <c r="L88" s="18">
        <f t="shared" si="6"/>
        <v>0.84088888888888891</v>
      </c>
      <c r="M88" s="24">
        <f t="shared" si="7"/>
        <v>114792.44970428372</v>
      </c>
      <c r="N88" s="18">
        <f t="shared" si="8"/>
        <v>8.1315068493150698E-3</v>
      </c>
      <c r="O88" s="18">
        <f t="shared" si="9"/>
        <v>0.14719644153620701</v>
      </c>
      <c r="P88" s="24">
        <f t="shared" si="10"/>
        <v>7.766397419276104E-2</v>
      </c>
      <c r="R88" s="19"/>
      <c r="S88" s="19"/>
      <c r="T88" s="22">
        <v>0.29465276007412455</v>
      </c>
      <c r="V88" s="50" t="s">
        <v>133</v>
      </c>
      <c r="W88" s="50" t="s">
        <v>155</v>
      </c>
      <c r="X88" s="49">
        <v>3.2030061658440391E-2</v>
      </c>
      <c r="AA88" s="22">
        <v>0.24075955682200909</v>
      </c>
      <c r="AB88" s="22">
        <v>0.14751359008088671</v>
      </c>
      <c r="AC88" s="22">
        <v>6.7565384116522437E-2</v>
      </c>
    </row>
    <row r="89" spans="1:29" x14ac:dyDescent="0.3">
      <c r="A89" s="4" t="s">
        <v>133</v>
      </c>
      <c r="B89" s="2" t="s">
        <v>155</v>
      </c>
      <c r="C89" s="2">
        <v>56</v>
      </c>
      <c r="D89" s="2">
        <v>31</v>
      </c>
      <c r="E89" s="2">
        <v>25</v>
      </c>
      <c r="F89" s="3">
        <v>57.057031221103202</v>
      </c>
      <c r="G89" s="3">
        <v>6.49632536429504</v>
      </c>
      <c r="H89" s="3">
        <v>57.870902924036201</v>
      </c>
      <c r="I89" s="3">
        <v>351.50421933503799</v>
      </c>
      <c r="J89" s="2">
        <v>0.16587162748060799</v>
      </c>
      <c r="K89" s="12">
        <v>2.2000000000000002</v>
      </c>
      <c r="L89" s="18">
        <f t="shared" si="6"/>
        <v>0.98214285714285732</v>
      </c>
      <c r="M89" s="24">
        <f t="shared" si="7"/>
        <v>47969.528892173003</v>
      </c>
      <c r="N89" s="18">
        <f t="shared" si="8"/>
        <v>9.5412822663311931E-3</v>
      </c>
      <c r="O89" s="18">
        <f t="shared" si="9"/>
        <v>5.4518841050549591E-2</v>
      </c>
      <c r="P89" s="24">
        <f t="shared" si="10"/>
        <v>3.2030061658440391E-2</v>
      </c>
      <c r="R89" s="19"/>
      <c r="S89" s="19"/>
      <c r="T89" s="22">
        <v>0.14184034976603918</v>
      </c>
      <c r="V89" s="48" t="s">
        <v>59</v>
      </c>
      <c r="W89" s="48" t="s">
        <v>157</v>
      </c>
      <c r="X89" s="49">
        <v>0.12072045333578466</v>
      </c>
      <c r="AA89" s="22">
        <v>4.5293338206846528E-2</v>
      </c>
      <c r="AB89" s="22"/>
      <c r="AC89" s="22"/>
    </row>
    <row r="90" spans="1:29" x14ac:dyDescent="0.3">
      <c r="A90" s="26" t="s">
        <v>134</v>
      </c>
      <c r="B90" s="15" t="s">
        <v>156</v>
      </c>
      <c r="C90" s="15">
        <v>75</v>
      </c>
      <c r="D90" s="15">
        <v>39</v>
      </c>
      <c r="E90" s="15">
        <v>14</v>
      </c>
      <c r="F90" s="23">
        <v>91.128318350444303</v>
      </c>
      <c r="G90" s="23">
        <v>2.8331846794189701</v>
      </c>
      <c r="H90" s="23">
        <v>76.961228023819999</v>
      </c>
      <c r="I90" s="23">
        <v>787.77985049434403</v>
      </c>
      <c r="J90" s="15">
        <v>2.8496621985053299</v>
      </c>
      <c r="K90" s="11">
        <v>9.6888888888888882</v>
      </c>
      <c r="L90" s="18">
        <f t="shared" si="6"/>
        <v>1.8085925925925925</v>
      </c>
      <c r="M90" s="24">
        <f t="shared" si="7"/>
        <v>420737.64400862023</v>
      </c>
      <c r="N90" s="18">
        <f t="shared" si="8"/>
        <v>1.7789606436181781E-2</v>
      </c>
      <c r="O90" s="18">
        <f t="shared" si="9"/>
        <v>0.57151591371206734</v>
      </c>
      <c r="P90" s="24">
        <f t="shared" si="10"/>
        <v>0.29465276007412455</v>
      </c>
      <c r="R90" s="19"/>
      <c r="S90" s="19"/>
      <c r="T90" s="22">
        <v>4.1604239702158041E-2</v>
      </c>
      <c r="V90" s="48" t="s">
        <v>134</v>
      </c>
      <c r="W90" s="48" t="s">
        <v>156</v>
      </c>
      <c r="X90" s="49">
        <v>0.29465276007412455</v>
      </c>
      <c r="AA90" s="22">
        <v>0.28113258350170944</v>
      </c>
      <c r="AB90" s="22">
        <v>7.766397419276104E-2</v>
      </c>
      <c r="AC90" s="22">
        <v>0.27086973526773167</v>
      </c>
    </row>
    <row r="91" spans="1:29" x14ac:dyDescent="0.3">
      <c r="A91" s="4" t="s">
        <v>135</v>
      </c>
      <c r="B91" s="2" t="s">
        <v>155</v>
      </c>
      <c r="C91" s="2">
        <v>9</v>
      </c>
      <c r="D91" s="2">
        <v>48</v>
      </c>
      <c r="E91" s="2">
        <v>6</v>
      </c>
      <c r="F91" s="3">
        <v>72.819206930318202</v>
      </c>
      <c r="G91" s="3">
        <v>4.0662775015120403</v>
      </c>
      <c r="H91" s="3">
        <v>19.789592941903599</v>
      </c>
      <c r="I91" s="3">
        <v>276.77833594679799</v>
      </c>
      <c r="J91" s="2">
        <v>2.54754712154871</v>
      </c>
      <c r="K91" s="12">
        <v>8.6</v>
      </c>
      <c r="L91" s="18">
        <f t="shared" si="6"/>
        <v>5.7333333333333325</v>
      </c>
      <c r="M91" s="24">
        <f t="shared" si="7"/>
        <v>75516.084143094224</v>
      </c>
      <c r="N91" s="18">
        <f t="shared" si="8"/>
        <v>5.6960208741030659E-2</v>
      </c>
      <c r="O91" s="18">
        <f t="shared" si="9"/>
        <v>9.2723526078898111E-2</v>
      </c>
      <c r="P91" s="24">
        <f t="shared" si="10"/>
        <v>7.4841867409964388E-2</v>
      </c>
      <c r="R91" s="19"/>
      <c r="S91" s="19"/>
      <c r="T91" s="22">
        <v>0.20560222726886451</v>
      </c>
      <c r="V91" s="50" t="s">
        <v>135</v>
      </c>
      <c r="W91" s="50" t="s">
        <v>155</v>
      </c>
      <c r="X91" s="49">
        <v>7.4841867409964388E-2</v>
      </c>
      <c r="AA91" s="22">
        <v>7.1752043926545356E-2</v>
      </c>
      <c r="AB91" s="22">
        <v>3.2030061658440391E-2</v>
      </c>
      <c r="AC91" s="22">
        <v>0.14561784683453416</v>
      </c>
    </row>
    <row r="92" spans="1:29" x14ac:dyDescent="0.3">
      <c r="A92" s="26" t="s">
        <v>136</v>
      </c>
      <c r="B92" s="15" t="s">
        <v>156</v>
      </c>
      <c r="C92" s="15">
        <v>13</v>
      </c>
      <c r="D92" s="15">
        <v>42</v>
      </c>
      <c r="E92" s="15">
        <v>19</v>
      </c>
      <c r="F92" s="23">
        <v>17.034930739467899</v>
      </c>
      <c r="G92" s="23">
        <v>4.7081818735419301</v>
      </c>
      <c r="H92" s="23">
        <v>4.4652784349432402</v>
      </c>
      <c r="I92" s="23">
        <v>589.97855562804</v>
      </c>
      <c r="J92" s="15">
        <v>4.1378770486223502</v>
      </c>
      <c r="K92" s="11">
        <v>3.7333333333333334</v>
      </c>
      <c r="L92" s="18">
        <f t="shared" si="6"/>
        <v>5.4564102564102566</v>
      </c>
      <c r="M92" s="24">
        <f t="shared" si="7"/>
        <v>174124.1024042998</v>
      </c>
      <c r="N92" s="18">
        <f t="shared" si="8"/>
        <v>5.4196397210095844E-2</v>
      </c>
      <c r="O92" s="18">
        <f t="shared" si="9"/>
        <v>0.22948430232198253</v>
      </c>
      <c r="P92" s="24">
        <f t="shared" si="10"/>
        <v>0.14184034976603918</v>
      </c>
      <c r="R92" s="19"/>
      <c r="S92" s="19"/>
      <c r="T92" s="22">
        <v>0.23152844490855692</v>
      </c>
      <c r="V92" s="48" t="s">
        <v>136</v>
      </c>
      <c r="W92" s="48" t="s">
        <v>156</v>
      </c>
      <c r="X92" s="49">
        <v>0.14184034976603918</v>
      </c>
      <c r="AA92" s="19"/>
      <c r="AB92" s="22">
        <v>7.4841867409964388E-2</v>
      </c>
      <c r="AC92" s="22">
        <v>3.831567613713243E-2</v>
      </c>
    </row>
    <row r="93" spans="1:29" x14ac:dyDescent="0.3">
      <c r="A93" s="4" t="s">
        <v>137</v>
      </c>
      <c r="B93" s="2" t="s">
        <v>155</v>
      </c>
      <c r="C93" s="2">
        <v>82</v>
      </c>
      <c r="D93" s="2">
        <v>65</v>
      </c>
      <c r="E93" s="2">
        <v>24</v>
      </c>
      <c r="F93" s="3">
        <v>68.911246211606297</v>
      </c>
      <c r="G93" s="3">
        <v>4.94983957799694</v>
      </c>
      <c r="H93" s="3">
        <v>97.730593800533001</v>
      </c>
      <c r="I93" s="3">
        <v>682.97101822609295</v>
      </c>
      <c r="J93" s="2">
        <v>0.77300613406724705</v>
      </c>
      <c r="K93" s="12">
        <v>7.3666666666666663</v>
      </c>
      <c r="L93" s="18">
        <f t="shared" si="6"/>
        <v>2.1560975609756095</v>
      </c>
      <c r="M93" s="24">
        <f t="shared" si="7"/>
        <v>222726.30106046476</v>
      </c>
      <c r="N93" s="18">
        <f t="shared" si="8"/>
        <v>2.1257855631393888E-2</v>
      </c>
      <c r="O93" s="18">
        <f t="shared" si="9"/>
        <v>0.29689134013234214</v>
      </c>
      <c r="P93" s="24">
        <f t="shared" si="10"/>
        <v>0.15907459788186801</v>
      </c>
      <c r="V93" s="50" t="s">
        <v>137</v>
      </c>
      <c r="W93" s="50" t="s">
        <v>155</v>
      </c>
      <c r="X93" s="49">
        <v>0.15907459788186801</v>
      </c>
      <c r="AA93" s="19"/>
      <c r="AB93" s="22">
        <v>0.15907459788186801</v>
      </c>
      <c r="AC93" s="22">
        <v>0.11147806691498524</v>
      </c>
    </row>
    <row r="94" spans="1:29" x14ac:dyDescent="0.3">
      <c r="A94" s="26" t="s">
        <v>138</v>
      </c>
      <c r="B94" s="15" t="s">
        <v>155</v>
      </c>
      <c r="C94" s="15">
        <v>99</v>
      </c>
      <c r="D94" s="15">
        <v>73</v>
      </c>
      <c r="E94" s="15">
        <v>26</v>
      </c>
      <c r="F94" s="23">
        <v>89.104367292102197</v>
      </c>
      <c r="G94" s="23">
        <v>8.3816156249226292</v>
      </c>
      <c r="H94" s="23">
        <v>33.808636513209002</v>
      </c>
      <c r="I94" s="23">
        <v>465.45700596368698</v>
      </c>
      <c r="J94" s="15">
        <v>4.8434565771180402</v>
      </c>
      <c r="K94" s="11">
        <v>6.8666666666666663</v>
      </c>
      <c r="L94" s="18">
        <f t="shared" si="6"/>
        <v>1.8033670033670035</v>
      </c>
      <c r="M94" s="24">
        <f t="shared" si="7"/>
        <v>599779.86017400585</v>
      </c>
      <c r="N94" s="18">
        <f t="shared" si="8"/>
        <v>1.773745280594596E-2</v>
      </c>
      <c r="O94" s="18">
        <f t="shared" si="9"/>
        <v>0.81983195225366667</v>
      </c>
      <c r="P94" s="24">
        <f t="shared" si="10"/>
        <v>0.41878470252980632</v>
      </c>
      <c r="V94" s="50" t="s">
        <v>139</v>
      </c>
      <c r="W94" s="50" t="s">
        <v>157</v>
      </c>
      <c r="X94" s="49">
        <v>0.15517759243228546</v>
      </c>
      <c r="AA94" s="19"/>
      <c r="AB94" s="22"/>
      <c r="AC94" s="22">
        <v>0.2517002474760624</v>
      </c>
    </row>
    <row r="95" spans="1:29" x14ac:dyDescent="0.3">
      <c r="A95" s="4" t="s">
        <v>139</v>
      </c>
      <c r="B95" s="2" t="s">
        <v>157</v>
      </c>
      <c r="C95" s="2">
        <v>83</v>
      </c>
      <c r="D95" s="2">
        <v>15</v>
      </c>
      <c r="E95" s="2">
        <v>18</v>
      </c>
      <c r="F95" s="3">
        <v>76.962994415193805</v>
      </c>
      <c r="G95" s="3">
        <v>8.2491687048717193</v>
      </c>
      <c r="H95" s="3">
        <v>69.929345518672307</v>
      </c>
      <c r="I95" s="3">
        <v>842.68683000464102</v>
      </c>
      <c r="J95" s="2">
        <v>1.3744289997457499</v>
      </c>
      <c r="K95" s="12">
        <v>0.27777777777777779</v>
      </c>
      <c r="L95" s="18">
        <f t="shared" si="6"/>
        <v>6.0240963855421693E-2</v>
      </c>
      <c r="M95" s="24">
        <f t="shared" si="7"/>
        <v>232188.70931621024</v>
      </c>
      <c r="N95" s="18">
        <f t="shared" si="8"/>
        <v>3.4030446639788129E-4</v>
      </c>
      <c r="O95" s="18">
        <f t="shared" si="9"/>
        <v>0.31001488039817304</v>
      </c>
      <c r="P95" s="24">
        <f t="shared" si="10"/>
        <v>0.15517759243228546</v>
      </c>
      <c r="V95" s="48" t="s">
        <v>140</v>
      </c>
      <c r="W95" s="48" t="s">
        <v>156</v>
      </c>
      <c r="X95" s="49">
        <v>4.1604239702158041E-2</v>
      </c>
      <c r="AA95" s="19"/>
      <c r="AB95" s="22">
        <v>8.9066350956159321E-2</v>
      </c>
      <c r="AC95" s="22">
        <v>7.1140821272408422E-2</v>
      </c>
    </row>
    <row r="96" spans="1:29" x14ac:dyDescent="0.3">
      <c r="A96" s="26" t="s">
        <v>140</v>
      </c>
      <c r="B96" s="15" t="s">
        <v>156</v>
      </c>
      <c r="C96" s="15">
        <v>18</v>
      </c>
      <c r="D96" s="15">
        <v>32</v>
      </c>
      <c r="E96" s="15">
        <v>14</v>
      </c>
      <c r="F96" s="23">
        <v>19.9981769404042</v>
      </c>
      <c r="G96" s="23">
        <v>1.4543053101535499</v>
      </c>
      <c r="H96" s="23">
        <v>74.608969995194599</v>
      </c>
      <c r="I96" s="23">
        <v>264.25488983586598</v>
      </c>
      <c r="J96" s="15">
        <v>2.0515129307662399</v>
      </c>
      <c r="K96" s="11">
        <v>2.4777777777777779</v>
      </c>
      <c r="L96" s="18">
        <f t="shared" si="6"/>
        <v>1.9271604938271605</v>
      </c>
      <c r="M96" s="24">
        <f t="shared" si="7"/>
        <v>54975.498851422512</v>
      </c>
      <c r="N96" s="18">
        <f t="shared" si="8"/>
        <v>1.89729651373487E-2</v>
      </c>
      <c r="O96" s="18">
        <f t="shared" si="9"/>
        <v>6.4235514266967386E-2</v>
      </c>
      <c r="P96" s="24">
        <f t="shared" si="10"/>
        <v>4.1604239702158041E-2</v>
      </c>
      <c r="V96" s="50" t="s">
        <v>141</v>
      </c>
      <c r="W96" s="50" t="s">
        <v>155</v>
      </c>
      <c r="X96" s="49">
        <v>8.9066350956159321E-2</v>
      </c>
      <c r="AA96" s="19"/>
      <c r="AB96" s="22"/>
      <c r="AC96" s="22">
        <v>0.31838214000796455</v>
      </c>
    </row>
    <row r="97" spans="1:29" x14ac:dyDescent="0.3">
      <c r="A97" s="4" t="s">
        <v>141</v>
      </c>
      <c r="B97" s="2" t="s">
        <v>155</v>
      </c>
      <c r="C97" s="2">
        <v>24</v>
      </c>
      <c r="D97" s="2">
        <v>5</v>
      </c>
      <c r="E97" s="2">
        <v>7</v>
      </c>
      <c r="F97" s="3">
        <v>80.414036650355698</v>
      </c>
      <c r="G97" s="3">
        <v>6.5758037975485299</v>
      </c>
      <c r="H97" s="3">
        <v>28.696996824143099</v>
      </c>
      <c r="I97" s="3">
        <v>879.35921773492396</v>
      </c>
      <c r="J97" s="2">
        <v>3.6937377878392699</v>
      </c>
      <c r="K97" s="12">
        <v>0.87777777777777777</v>
      </c>
      <c r="L97" s="18">
        <f t="shared" si="6"/>
        <v>0.25601851851851853</v>
      </c>
      <c r="M97" s="24">
        <f t="shared" si="7"/>
        <v>135444.07280177181</v>
      </c>
      <c r="N97" s="18">
        <f t="shared" si="8"/>
        <v>2.2942487497282023E-3</v>
      </c>
      <c r="O97" s="18">
        <f t="shared" si="9"/>
        <v>0.17583845316259045</v>
      </c>
      <c r="P97" s="24">
        <f t="shared" si="10"/>
        <v>8.9066350956159321E-2</v>
      </c>
      <c r="V97" s="48" t="s">
        <v>142</v>
      </c>
      <c r="W97" s="48" t="s">
        <v>157</v>
      </c>
      <c r="X97" s="49">
        <v>4.1942564165255894E-2</v>
      </c>
      <c r="AA97" s="19"/>
      <c r="AB97" s="22">
        <v>0.1152554466256181</v>
      </c>
      <c r="AC97" s="22">
        <v>9.9691019381577109E-2</v>
      </c>
    </row>
    <row r="98" spans="1:29" x14ac:dyDescent="0.3">
      <c r="A98" s="26" t="s">
        <v>142</v>
      </c>
      <c r="B98" s="15" t="s">
        <v>157</v>
      </c>
      <c r="C98" s="15">
        <v>58</v>
      </c>
      <c r="D98" s="15">
        <v>60</v>
      </c>
      <c r="E98" s="15">
        <v>18</v>
      </c>
      <c r="F98" s="23">
        <v>75.270406975724995</v>
      </c>
      <c r="G98" s="23">
        <v>3.8012531329310701</v>
      </c>
      <c r="H98" s="23">
        <v>68.1849190570411</v>
      </c>
      <c r="I98" s="23">
        <v>103.916247960704</v>
      </c>
      <c r="J98" s="15">
        <v>0.722204401882931</v>
      </c>
      <c r="K98" s="11">
        <v>8.1888888888888882</v>
      </c>
      <c r="L98" s="18">
        <f t="shared" si="6"/>
        <v>2.5413793103448277</v>
      </c>
      <c r="M98" s="24">
        <f t="shared" si="7"/>
        <v>51043.371924235289</v>
      </c>
      <c r="N98" s="18">
        <f t="shared" si="8"/>
        <v>2.5103133364824441E-2</v>
      </c>
      <c r="O98" s="18">
        <f t="shared" si="9"/>
        <v>5.8781994965687354E-2</v>
      </c>
      <c r="P98" s="24">
        <f t="shared" si="10"/>
        <v>4.1942564165255894E-2</v>
      </c>
      <c r="V98" s="50" t="s">
        <v>143</v>
      </c>
      <c r="W98" s="50" t="s">
        <v>157</v>
      </c>
      <c r="X98" s="49">
        <v>0.13006362950467529</v>
      </c>
      <c r="AA98" s="19"/>
      <c r="AB98" s="22">
        <v>0.18612000817208202</v>
      </c>
      <c r="AC98" s="22">
        <v>1.5869414546640578E-2</v>
      </c>
    </row>
    <row r="99" spans="1:29" x14ac:dyDescent="0.3">
      <c r="A99" s="4" t="s">
        <v>143</v>
      </c>
      <c r="B99" s="2" t="s">
        <v>157</v>
      </c>
      <c r="C99" s="2">
        <v>10</v>
      </c>
      <c r="D99" s="2">
        <v>90</v>
      </c>
      <c r="E99" s="2">
        <v>1</v>
      </c>
      <c r="F99" s="3">
        <v>97.760085581938597</v>
      </c>
      <c r="G99" s="3">
        <v>9.9298162452772498</v>
      </c>
      <c r="H99" s="3">
        <v>46.603873381644398</v>
      </c>
      <c r="I99" s="3">
        <v>517.49997392906005</v>
      </c>
      <c r="J99" s="2">
        <v>1.9076657339590699</v>
      </c>
      <c r="K99" s="12">
        <v>1.4888888888888889</v>
      </c>
      <c r="L99" s="18">
        <f t="shared" si="6"/>
        <v>0.1488888888888889</v>
      </c>
      <c r="M99" s="24">
        <f t="shared" si="7"/>
        <v>195335.16646562263</v>
      </c>
      <c r="N99" s="18">
        <f t="shared" si="8"/>
        <v>1.2250489236790608E-3</v>
      </c>
      <c r="O99" s="18">
        <f t="shared" si="9"/>
        <v>0.25890221008567149</v>
      </c>
      <c r="P99" s="24">
        <f t="shared" si="10"/>
        <v>0.13006362950467529</v>
      </c>
      <c r="V99" s="50" t="s">
        <v>60</v>
      </c>
      <c r="W99" s="50" t="s">
        <v>156</v>
      </c>
      <c r="X99" s="49">
        <v>0.21934134115687237</v>
      </c>
      <c r="AA99" s="19"/>
      <c r="AB99" s="22">
        <v>3.1638969693875453E-2</v>
      </c>
      <c r="AC99" s="22">
        <v>8.4305451989375557E-2</v>
      </c>
    </row>
    <row r="100" spans="1:29" x14ac:dyDescent="0.3">
      <c r="A100" s="26" t="s">
        <v>144</v>
      </c>
      <c r="B100" s="15" t="s">
        <v>156</v>
      </c>
      <c r="C100" s="15">
        <v>56</v>
      </c>
      <c r="D100" s="15">
        <v>66</v>
      </c>
      <c r="E100" s="15">
        <v>18</v>
      </c>
      <c r="F100" s="23">
        <v>13.881913501359101</v>
      </c>
      <c r="G100" s="23">
        <v>7.6744307081126903</v>
      </c>
      <c r="H100" s="23">
        <v>85.675963335797903</v>
      </c>
      <c r="I100" s="23">
        <v>990.07847250581096</v>
      </c>
      <c r="J100" s="15">
        <v>1.2193822244013801</v>
      </c>
      <c r="K100" s="11">
        <v>3.5555555555555554</v>
      </c>
      <c r="L100" s="18">
        <f t="shared" si="6"/>
        <v>1.1428571428571428</v>
      </c>
      <c r="M100" s="24">
        <f t="shared" si="7"/>
        <v>297112.94886650448</v>
      </c>
      <c r="N100" s="18">
        <f t="shared" si="8"/>
        <v>1.1145280029820149E-2</v>
      </c>
      <c r="O100" s="18">
        <f t="shared" si="9"/>
        <v>0.4000591745079089</v>
      </c>
      <c r="P100" s="24">
        <f t="shared" si="10"/>
        <v>0.20560222726886451</v>
      </c>
      <c r="V100" s="48" t="s">
        <v>144</v>
      </c>
      <c r="W100" s="48" t="s">
        <v>156</v>
      </c>
      <c r="X100" s="49">
        <v>0.20560222726886451</v>
      </c>
      <c r="AA100" s="19"/>
      <c r="AB100" s="19"/>
      <c r="AC100" s="22">
        <v>9.4048274307857671E-2</v>
      </c>
    </row>
    <row r="101" spans="1:29" x14ac:dyDescent="0.3">
      <c r="A101" s="4" t="s">
        <v>145</v>
      </c>
      <c r="B101" s="2" t="s">
        <v>157</v>
      </c>
      <c r="C101" s="2">
        <v>90</v>
      </c>
      <c r="D101" s="2">
        <v>98</v>
      </c>
      <c r="E101" s="2">
        <v>22</v>
      </c>
      <c r="F101" s="3">
        <v>62.111965463961702</v>
      </c>
      <c r="G101" s="3">
        <v>7.4715140844011403</v>
      </c>
      <c r="H101" s="3">
        <v>39.772882502339897</v>
      </c>
      <c r="I101" s="3">
        <v>996.77831495062298</v>
      </c>
      <c r="J101" s="2">
        <v>0.62600185820939402</v>
      </c>
      <c r="K101" s="12">
        <v>10.177777777777777</v>
      </c>
      <c r="L101" s="18">
        <f t="shared" si="6"/>
        <v>2.487901234567901</v>
      </c>
      <c r="M101" s="24">
        <f t="shared" si="7"/>
        <v>338132.48356399272</v>
      </c>
      <c r="N101" s="18">
        <f t="shared" si="8"/>
        <v>2.456939914474161E-2</v>
      </c>
      <c r="O101" s="18">
        <f t="shared" si="9"/>
        <v>0.45694971449927657</v>
      </c>
      <c r="P101" s="24">
        <f t="shared" si="10"/>
        <v>0.24075955682200909</v>
      </c>
      <c r="V101" s="50" t="s">
        <v>145</v>
      </c>
      <c r="W101" s="50" t="s">
        <v>157</v>
      </c>
      <c r="X101" s="49">
        <v>0.24075955682200909</v>
      </c>
      <c r="AA101" s="19"/>
      <c r="AB101" s="19"/>
      <c r="AC101" s="22">
        <v>0.29465276007412455</v>
      </c>
    </row>
    <row r="102" spans="1:29" x14ac:dyDescent="0.3">
      <c r="A102" s="26" t="s">
        <v>146</v>
      </c>
      <c r="B102" s="15" t="s">
        <v>157</v>
      </c>
      <c r="C102" s="15">
        <v>44</v>
      </c>
      <c r="D102" s="15">
        <v>90</v>
      </c>
      <c r="E102" s="15">
        <v>25</v>
      </c>
      <c r="F102" s="23">
        <v>47.714233075820196</v>
      </c>
      <c r="G102" s="23">
        <v>4.4695000261236002</v>
      </c>
      <c r="H102" s="23">
        <v>62.612690395614301</v>
      </c>
      <c r="I102" s="23">
        <v>230.092782536762</v>
      </c>
      <c r="J102" s="15">
        <v>0.33343182522473902</v>
      </c>
      <c r="K102" s="11">
        <v>3.0666666666666669</v>
      </c>
      <c r="L102" s="18">
        <f t="shared" si="6"/>
        <v>1.7424242424242427</v>
      </c>
      <c r="M102" s="24">
        <f t="shared" si="7"/>
        <v>61624.756629355703</v>
      </c>
      <c r="N102" s="18">
        <f t="shared" si="8"/>
        <v>1.7129217814149326E-2</v>
      </c>
      <c r="O102" s="18">
        <f t="shared" si="9"/>
        <v>7.3457458599543737E-2</v>
      </c>
      <c r="P102" s="24">
        <f t="shared" si="10"/>
        <v>4.5293338206846528E-2</v>
      </c>
      <c r="V102" s="48" t="s">
        <v>146</v>
      </c>
      <c r="W102" s="48" t="s">
        <v>157</v>
      </c>
      <c r="X102" s="49">
        <v>4.5293338206846528E-2</v>
      </c>
      <c r="AA102" s="19"/>
      <c r="AB102" s="19"/>
      <c r="AC102" s="22">
        <v>0.14184034976603918</v>
      </c>
    </row>
    <row r="103" spans="1:29" x14ac:dyDescent="0.3">
      <c r="A103" s="4" t="s">
        <v>147</v>
      </c>
      <c r="B103" s="2" t="s">
        <v>155</v>
      </c>
      <c r="C103" s="2">
        <v>88</v>
      </c>
      <c r="D103" s="2">
        <v>63</v>
      </c>
      <c r="E103" s="2">
        <v>17</v>
      </c>
      <c r="F103" s="3">
        <v>69.290831002905406</v>
      </c>
      <c r="G103" s="3">
        <v>7.00643205900439</v>
      </c>
      <c r="H103" s="3">
        <v>35.633652343343797</v>
      </c>
      <c r="I103" s="3">
        <v>823.52384588815505</v>
      </c>
      <c r="J103" s="2">
        <v>4.1657817954241398</v>
      </c>
      <c r="K103" s="12">
        <v>1.2666666666666666</v>
      </c>
      <c r="L103" s="18">
        <f t="shared" si="6"/>
        <v>0.24469696969696969</v>
      </c>
      <c r="M103" s="24">
        <f t="shared" si="7"/>
        <v>729685.63162618107</v>
      </c>
      <c r="N103" s="18">
        <f t="shared" si="8"/>
        <v>2.1812548182411199E-3</v>
      </c>
      <c r="O103" s="18">
        <f t="shared" si="9"/>
        <v>1</v>
      </c>
      <c r="P103" s="24">
        <f t="shared" si="10"/>
        <v>0.50109062740912058</v>
      </c>
      <c r="V103" s="48" t="s">
        <v>148</v>
      </c>
      <c r="W103" s="48" t="s">
        <v>157</v>
      </c>
      <c r="X103" s="49">
        <v>0.28113258350170944</v>
      </c>
      <c r="AA103" s="19"/>
      <c r="AB103" s="19"/>
      <c r="AC103" s="22">
        <v>4.1604239702158041E-2</v>
      </c>
    </row>
    <row r="104" spans="1:29" x14ac:dyDescent="0.3">
      <c r="A104" s="26" t="s">
        <v>148</v>
      </c>
      <c r="B104" s="15" t="s">
        <v>157</v>
      </c>
      <c r="C104" s="15">
        <v>97</v>
      </c>
      <c r="D104" s="15">
        <v>77</v>
      </c>
      <c r="E104" s="15">
        <v>26</v>
      </c>
      <c r="F104" s="23">
        <v>3.0376887246314102</v>
      </c>
      <c r="G104" s="23">
        <v>6.9429459420325799</v>
      </c>
      <c r="H104" s="23">
        <v>60.387378614862101</v>
      </c>
      <c r="I104" s="23">
        <v>846.66525698669398</v>
      </c>
      <c r="J104" s="15">
        <v>1.4636074984727701</v>
      </c>
      <c r="K104" s="11">
        <v>10.966666666666667</v>
      </c>
      <c r="L104" s="18">
        <f t="shared" si="6"/>
        <v>2.9395189003436424</v>
      </c>
      <c r="M104" s="24">
        <f t="shared" si="7"/>
        <v>393102.5471308321</v>
      </c>
      <c r="N104" s="18">
        <f t="shared" si="8"/>
        <v>2.9076737883403609E-2</v>
      </c>
      <c r="O104" s="18">
        <f t="shared" si="9"/>
        <v>0.53318842912001529</v>
      </c>
      <c r="P104" s="24">
        <f t="shared" si="10"/>
        <v>0.28113258350170944</v>
      </c>
      <c r="V104" s="50" t="s">
        <v>149</v>
      </c>
      <c r="W104" s="50" t="s">
        <v>155</v>
      </c>
      <c r="X104" s="49">
        <v>0.1152554466256181</v>
      </c>
      <c r="AA104" s="19"/>
      <c r="AB104" s="19"/>
      <c r="AC104" s="22">
        <v>0.20560222726886451</v>
      </c>
    </row>
    <row r="105" spans="1:29" x14ac:dyDescent="0.3">
      <c r="A105" s="4" t="s">
        <v>149</v>
      </c>
      <c r="B105" s="2" t="s">
        <v>155</v>
      </c>
      <c r="C105" s="2">
        <v>65</v>
      </c>
      <c r="D105" s="2">
        <v>15</v>
      </c>
      <c r="E105" s="2">
        <v>14</v>
      </c>
      <c r="F105" s="3">
        <v>77.903927219447695</v>
      </c>
      <c r="G105" s="3">
        <v>8.6303388696027508</v>
      </c>
      <c r="H105" s="3">
        <v>58.890685768589897</v>
      </c>
      <c r="I105" s="3">
        <v>778.86424137664699</v>
      </c>
      <c r="J105" s="2">
        <v>1.21088212958506</v>
      </c>
      <c r="K105" s="12">
        <v>7.4666666666666668</v>
      </c>
      <c r="L105" s="18">
        <f t="shared" si="6"/>
        <v>1.6082051282051284</v>
      </c>
      <c r="M105" s="24">
        <f t="shared" si="7"/>
        <v>163479.55679122222</v>
      </c>
      <c r="N105" s="18">
        <f t="shared" si="8"/>
        <v>1.5789653269105329E-2</v>
      </c>
      <c r="O105" s="18">
        <f t="shared" si="9"/>
        <v>0.21472123998213086</v>
      </c>
      <c r="P105" s="24">
        <f t="shared" si="10"/>
        <v>0.1152554466256181</v>
      </c>
      <c r="V105" s="48" t="s">
        <v>150</v>
      </c>
      <c r="W105" s="48" t="s">
        <v>157</v>
      </c>
      <c r="X105" s="49">
        <v>7.1752043926545356E-2</v>
      </c>
      <c r="AA105" s="19"/>
      <c r="AB105" s="19"/>
      <c r="AC105" s="22">
        <v>0.23152844490855692</v>
      </c>
    </row>
    <row r="106" spans="1:29" x14ac:dyDescent="0.3">
      <c r="A106" s="26" t="s">
        <v>150</v>
      </c>
      <c r="B106" s="15" t="s">
        <v>157</v>
      </c>
      <c r="C106" s="15">
        <v>29</v>
      </c>
      <c r="D106" s="15">
        <v>67</v>
      </c>
      <c r="E106" s="15">
        <v>2</v>
      </c>
      <c r="F106" s="23">
        <v>24.423131420373299</v>
      </c>
      <c r="G106" s="23">
        <v>5.3528780439967996</v>
      </c>
      <c r="H106" s="23">
        <v>17.803756331391199</v>
      </c>
      <c r="I106" s="23">
        <v>188.74214114905601</v>
      </c>
      <c r="J106" s="15">
        <v>3.8720476814821301</v>
      </c>
      <c r="K106" s="11">
        <v>3.6</v>
      </c>
      <c r="L106" s="18">
        <f t="shared" ref="L106:L109" si="11">(E106/C106)*K106</f>
        <v>0.24827586206896551</v>
      </c>
      <c r="M106" s="24">
        <f t="shared" si="7"/>
        <v>110531.67348613753</v>
      </c>
      <c r="N106" s="18">
        <f t="shared" si="8"/>
        <v>2.216973704928358E-3</v>
      </c>
      <c r="O106" s="18">
        <f t="shared" si="9"/>
        <v>0.14128711414816236</v>
      </c>
      <c r="P106" s="24">
        <f t="shared" si="10"/>
        <v>7.1752043926545356E-2</v>
      </c>
      <c r="V106" s="50" t="s">
        <v>151</v>
      </c>
      <c r="W106" s="50" t="s">
        <v>155</v>
      </c>
      <c r="X106" s="49">
        <v>0.18612000817208202</v>
      </c>
    </row>
    <row r="107" spans="1:29" x14ac:dyDescent="0.3">
      <c r="A107" s="4" t="s">
        <v>151</v>
      </c>
      <c r="B107" s="2" t="s">
        <v>155</v>
      </c>
      <c r="C107" s="2">
        <v>56</v>
      </c>
      <c r="D107" s="2">
        <v>46</v>
      </c>
      <c r="E107" s="2">
        <v>19</v>
      </c>
      <c r="F107" s="3">
        <v>3.5261112591434101</v>
      </c>
      <c r="G107" s="3">
        <v>7.9048456112096703</v>
      </c>
      <c r="H107" s="3">
        <v>65.765155926367399</v>
      </c>
      <c r="I107" s="3">
        <v>540.13242286796697</v>
      </c>
      <c r="J107" s="2">
        <v>3.3762378347179798</v>
      </c>
      <c r="K107" s="12">
        <v>0.68888888888888888</v>
      </c>
      <c r="L107" s="18">
        <f t="shared" si="11"/>
        <v>0.23373015873015873</v>
      </c>
      <c r="M107" s="24">
        <f t="shared" si="7"/>
        <v>275560.80241113901</v>
      </c>
      <c r="N107" s="18">
        <f t="shared" si="8"/>
        <v>2.0718013232690338E-3</v>
      </c>
      <c r="O107" s="18">
        <f t="shared" si="9"/>
        <v>0.37016821502089503</v>
      </c>
      <c r="P107" s="24">
        <f t="shared" si="10"/>
        <v>0.18612000817208202</v>
      </c>
      <c r="V107" s="48" t="s">
        <v>152</v>
      </c>
      <c r="W107" s="48" t="s">
        <v>156</v>
      </c>
      <c r="X107" s="49">
        <v>0.23152844490855692</v>
      </c>
    </row>
    <row r="108" spans="1:29" x14ac:dyDescent="0.3">
      <c r="A108" s="26" t="s">
        <v>152</v>
      </c>
      <c r="B108" s="15" t="s">
        <v>156</v>
      </c>
      <c r="C108" s="15">
        <v>43</v>
      </c>
      <c r="D108" s="15">
        <v>53</v>
      </c>
      <c r="E108" s="15">
        <v>1</v>
      </c>
      <c r="F108" s="23">
        <v>19.754604866878601</v>
      </c>
      <c r="G108" s="23">
        <v>1.4098010951380699</v>
      </c>
      <c r="H108" s="23">
        <v>5.6046908643717801</v>
      </c>
      <c r="I108" s="23">
        <v>882.19886354704101</v>
      </c>
      <c r="J108" s="15">
        <v>2.9081221693512598</v>
      </c>
      <c r="K108" s="11">
        <v>10.144444444444444</v>
      </c>
      <c r="L108" s="18">
        <f t="shared" si="11"/>
        <v>0.23591731266149868</v>
      </c>
      <c r="M108" s="24">
        <f t="shared" si="7"/>
        <v>341026.35236787813</v>
      </c>
      <c r="N108" s="18">
        <f t="shared" si="8"/>
        <v>2.093630061135636E-3</v>
      </c>
      <c r="O108" s="18">
        <f t="shared" si="9"/>
        <v>0.46096325975597824</v>
      </c>
      <c r="P108" s="24">
        <f t="shared" si="10"/>
        <v>0.23152844490855692</v>
      </c>
      <c r="V108" s="50" t="s">
        <v>153</v>
      </c>
      <c r="W108" s="50" t="s">
        <v>155</v>
      </c>
      <c r="X108" s="49">
        <v>3.1638969693875453E-2</v>
      </c>
    </row>
    <row r="109" spans="1:29" x14ac:dyDescent="0.3">
      <c r="A109" s="4" t="s">
        <v>153</v>
      </c>
      <c r="B109" s="2" t="s">
        <v>155</v>
      </c>
      <c r="C109" s="2">
        <v>17</v>
      </c>
      <c r="D109" s="2">
        <v>55</v>
      </c>
      <c r="E109" s="2">
        <v>8</v>
      </c>
      <c r="F109" s="3">
        <v>68.517832699276596</v>
      </c>
      <c r="G109" s="3">
        <v>1.3110237561206199</v>
      </c>
      <c r="H109" s="3">
        <v>38.072898520625998</v>
      </c>
      <c r="I109" s="3">
        <v>210.743008964246</v>
      </c>
      <c r="J109" s="2">
        <v>0.34602729070550298</v>
      </c>
      <c r="K109" s="13">
        <v>6.9666666666666668</v>
      </c>
      <c r="L109" s="18">
        <f t="shared" si="11"/>
        <v>3.2784313725490195</v>
      </c>
      <c r="M109" s="24">
        <f t="shared" si="7"/>
        <v>30881.127477889091</v>
      </c>
      <c r="N109" s="18">
        <f t="shared" si="8"/>
        <v>3.245923026744945E-2</v>
      </c>
      <c r="O109" s="18">
        <f t="shared" si="9"/>
        <v>3.0818709120301453E-2</v>
      </c>
      <c r="P109" s="24">
        <f t="shared" si="10"/>
        <v>3.1638969693875453E-2</v>
      </c>
    </row>
  </sheetData>
  <autoFilter ref="V17:X17" xr:uid="{9CA1DF14-1B3E-4BD6-859F-B419FF4EAC6A}">
    <sortState xmlns:xlrd2="http://schemas.microsoft.com/office/spreadsheetml/2017/richdata2" ref="V18:X108">
      <sortCondition ref="V17"/>
    </sortState>
  </autoFilter>
  <mergeCells count="2">
    <mergeCell ref="Y56:AB56"/>
    <mergeCell ref="V16:X16"/>
  </mergeCells>
  <conditionalFormatting sqref="C10:C109">
    <cfRule type="cellIs" dxfId="0" priority="1" operator="greaterThan">
      <formula>153</formula>
    </cfRule>
  </conditionalFormatting>
  <pageMargins left="0.7" right="0.7" top="0.75" bottom="0.75" header="0.3" footer="0.3"/>
  <drawing r:id="rId5"/>
  <tableParts count="1">
    <tablePart r:id="rId6"/>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94EBF0-4C0A-4C60-97C5-D57733BC9ED7}">
  <dimension ref="A1:AI101"/>
  <sheetViews>
    <sheetView workbookViewId="0">
      <selection activeCell="R2" sqref="R2"/>
    </sheetView>
  </sheetViews>
  <sheetFormatPr defaultRowHeight="14.4" x14ac:dyDescent="0.3"/>
  <cols>
    <col min="2" max="2" width="13.44140625" bestFit="1" customWidth="1"/>
    <col min="3" max="3" width="5" bestFit="1" customWidth="1"/>
    <col min="4" max="4" width="14.88671875" bestFit="1" customWidth="1"/>
    <col min="5" max="5" width="12" customWidth="1"/>
    <col min="6" max="6" width="15" style="32" customWidth="1"/>
    <col min="7" max="21" width="8.88671875" style="32"/>
    <col min="22" max="23" width="9.5546875" style="32" bestFit="1" customWidth="1"/>
    <col min="24" max="24" width="9" style="32" bestFit="1" customWidth="1"/>
    <col min="25" max="25" width="15" style="32" bestFit="1" customWidth="1"/>
    <col min="26" max="26" width="9" style="32" bestFit="1" customWidth="1"/>
    <col min="27" max="35" width="8.88671875" style="32"/>
  </cols>
  <sheetData>
    <row r="1" spans="1:28" ht="34.799999999999997" customHeight="1" x14ac:dyDescent="0.3">
      <c r="A1" s="10" t="s">
        <v>1</v>
      </c>
      <c r="B1" s="10" t="s">
        <v>162</v>
      </c>
      <c r="C1" s="10" t="s">
        <v>223</v>
      </c>
      <c r="D1" s="103" t="s">
        <v>240</v>
      </c>
      <c r="E1" s="103" t="s">
        <v>238</v>
      </c>
      <c r="F1" s="103" t="s">
        <v>239</v>
      </c>
      <c r="X1" s="120"/>
      <c r="Y1" s="120"/>
      <c r="Z1" s="120"/>
    </row>
    <row r="2" spans="1:28" x14ac:dyDescent="0.3">
      <c r="A2" s="15" t="s">
        <v>25</v>
      </c>
      <c r="B2" s="15" t="s">
        <v>28</v>
      </c>
      <c r="C2" s="98">
        <f>SQRT((2*Table1[[#This Row],[Number Of Products Sold]]*Table1[[#This Row],[Costs]])/(0.3*Table1[[#This Row],[Price]]))</f>
        <v>119.91715399347879</v>
      </c>
      <c r="D2" s="15">
        <v>96</v>
      </c>
      <c r="E2" s="98">
        <f>Table1[[#This Row],[Number Of Products Sold]]/Table1[[#This Row],[EOQ]]</f>
        <v>6.6879505833136559</v>
      </c>
      <c r="F2" s="98">
        <f>360/Table1[[#This Row],[Optimum No of Orders]]</f>
        <v>53.82814892475357</v>
      </c>
      <c r="W2" s="108" t="str" cm="1">
        <f t="array" ref="W2:AA2">TRANSPOSE(_xlfn._xlws.SORT(_xlfn.UNIQUE(B2:B101)))</f>
        <v>Supplier 1</v>
      </c>
      <c r="X2" s="108" t="str">
        <v>Supplier 2</v>
      </c>
      <c r="Y2" s="109" t="str">
        <v>Supplier 3</v>
      </c>
      <c r="Z2" s="109" t="str">
        <v>Supplier 4</v>
      </c>
      <c r="AA2" s="109" t="str">
        <v>Supplier 5</v>
      </c>
    </row>
    <row r="3" spans="1:28" x14ac:dyDescent="0.3">
      <c r="A3" s="2" t="s">
        <v>34</v>
      </c>
      <c r="B3" s="2" t="s">
        <v>28</v>
      </c>
      <c r="C3" s="62">
        <f>SQRT((2*Table1[[#This Row],[Number Of Products Sold]]*Table1[[#This Row],[Costs]])/(0.3*Table1[[#This Row],[Price]]))</f>
        <v>407.79047756521732</v>
      </c>
      <c r="D3" s="2">
        <v>37</v>
      </c>
      <c r="E3" s="62">
        <f>Table1[[#This Row],[Number Of Products Sold]]/Table1[[#This Row],[EOQ]]</f>
        <v>1.8048484221466221</v>
      </c>
      <c r="F3" s="62">
        <f>360/Table1[[#This Row],[Optimum No of Orders]]</f>
        <v>199.46273359168239</v>
      </c>
      <c r="W3" s="114" cm="1">
        <f t="array" ref="W3:W29">_xlfn._xlws.FILTER($C$2:$C$101, $B$2:$B$101=W2)</f>
        <v>25.858567255027648</v>
      </c>
      <c r="X3" s="114" cm="1">
        <f t="array" ref="X3:X24">_xlfn._xlws.FILTER($C$2:$C$101, $B$2:$B$101=X2)</f>
        <v>318.8146995134714</v>
      </c>
      <c r="Y3" s="114" cm="1">
        <f t="array" ref="Y3:Y17">_xlfn._xlws.FILTER($C$2:$C$101, $B$2:$B$101=Y2)</f>
        <v>119.91715399347879</v>
      </c>
      <c r="Z3" s="114" cm="1">
        <f t="array" ref="Z3:Z20">_xlfn._xlws.FILTER($C$2:$C$101, $B$2:$B$101=Z2)</f>
        <v>368.42691656165243</v>
      </c>
      <c r="AA3" s="114" cm="1">
        <f t="array" ref="AA3:AA20">_xlfn._xlws.FILTER($C$2:$C$101, $B$2:$B$101=AA2)</f>
        <v>48.00950215159439</v>
      </c>
    </row>
    <row r="4" spans="1:28" x14ac:dyDescent="0.3">
      <c r="A4" s="15" t="s">
        <v>37</v>
      </c>
      <c r="B4" s="15" t="s">
        <v>39</v>
      </c>
      <c r="C4" s="98">
        <f>SQRT((2*Table1[[#This Row],[Number Of Products Sold]]*Table1[[#This Row],[Costs]])/(0.3*Table1[[#This Row],[Price]]))</f>
        <v>25.858567255027648</v>
      </c>
      <c r="D4" s="15">
        <v>88</v>
      </c>
      <c r="E4" s="98">
        <f>Table1[[#This Row],[Number Of Products Sold]]/Table1[[#This Row],[EOQ]]</f>
        <v>0.30937522257520167</v>
      </c>
      <c r="F4" s="98">
        <f>360/Table1[[#This Row],[Optimum No of Orders]]</f>
        <v>1163.6355264762442</v>
      </c>
      <c r="W4" s="114">
        <v>1056.328083697176</v>
      </c>
      <c r="X4" s="114">
        <v>94.595111950026507</v>
      </c>
      <c r="Y4" s="111">
        <v>407.79047756521732</v>
      </c>
      <c r="Z4" s="111">
        <v>230.27014297991101</v>
      </c>
      <c r="AA4" s="111">
        <v>583.74306552558414</v>
      </c>
    </row>
    <row r="5" spans="1:28" x14ac:dyDescent="0.3">
      <c r="A5" s="2" t="s">
        <v>42</v>
      </c>
      <c r="B5" s="2" t="s">
        <v>44</v>
      </c>
      <c r="C5" s="62">
        <f>SQRT((2*Table1[[#This Row],[Number Of Products Sold]]*Table1[[#This Row],[Costs]])/(0.3*Table1[[#This Row],[Price]]))</f>
        <v>48.00950215159439</v>
      </c>
      <c r="D5" s="2">
        <v>59</v>
      </c>
      <c r="E5" s="62">
        <f>Table1[[#This Row],[Number Of Products Sold]]/Table1[[#This Row],[EOQ]]</f>
        <v>1.728824426004667</v>
      </c>
      <c r="F5" s="62">
        <f>360/Table1[[#This Row],[Optimum No of Orders]]</f>
        <v>208.23398523583108</v>
      </c>
      <c r="W5" s="114">
        <v>187.36665771473818</v>
      </c>
      <c r="X5" s="114">
        <v>259.44335560415539</v>
      </c>
      <c r="Y5" s="113">
        <v>119.48665777465961</v>
      </c>
      <c r="Z5" s="113">
        <v>85.773106680231308</v>
      </c>
      <c r="AA5" s="113">
        <v>237.09227105686674</v>
      </c>
    </row>
    <row r="6" spans="1:28" x14ac:dyDescent="0.3">
      <c r="A6" s="15" t="s">
        <v>49</v>
      </c>
      <c r="B6" s="15" t="s">
        <v>39</v>
      </c>
      <c r="C6" s="98">
        <f>SQRT((2*Table1[[#This Row],[Number Of Products Sold]]*Table1[[#This Row],[Costs]])/(0.3*Table1[[#This Row],[Price]]))</f>
        <v>1056.328083697176</v>
      </c>
      <c r="D6" s="15">
        <v>56</v>
      </c>
      <c r="E6" s="98">
        <f>Table1[[#This Row],[Number Of Products Sold]]/Table1[[#This Row],[EOQ]]</f>
        <v>0.82455442910452326</v>
      </c>
      <c r="F6" s="98">
        <f>360/Table1[[#This Row],[Optimum No of Orders]]</f>
        <v>436.59943757862612</v>
      </c>
      <c r="W6" s="114">
        <v>103.96172232742846</v>
      </c>
      <c r="X6" s="114">
        <v>504.3311175852449</v>
      </c>
      <c r="Y6" s="111">
        <v>115.85598691593887</v>
      </c>
      <c r="Z6" s="111">
        <v>112.58457352635722</v>
      </c>
      <c r="AA6" s="111">
        <v>157.16436639374501</v>
      </c>
    </row>
    <row r="7" spans="1:28" x14ac:dyDescent="0.3">
      <c r="A7" s="2" t="s">
        <v>51</v>
      </c>
      <c r="B7" s="2" t="s">
        <v>52</v>
      </c>
      <c r="C7" s="62">
        <f>SQRT((2*Table1[[#This Row],[Number Of Products Sold]]*Table1[[#This Row],[Costs]])/(0.3*Table1[[#This Row],[Price]]))</f>
        <v>368.42691656165243</v>
      </c>
      <c r="D7" s="2">
        <v>66</v>
      </c>
      <c r="E7" s="62">
        <f>Table1[[#This Row],[Number Of Products Sold]]/Table1[[#This Row],[EOQ]]</f>
        <v>0.39899364946480798</v>
      </c>
      <c r="F7" s="62">
        <f>360/Table1[[#This Row],[Optimum No of Orders]]</f>
        <v>902.26999974282228</v>
      </c>
      <c r="W7" s="114">
        <v>462.68057123818721</v>
      </c>
      <c r="X7" s="114">
        <v>122.15326404353743</v>
      </c>
      <c r="Y7" s="111">
        <v>223.68249743558781</v>
      </c>
      <c r="Z7" s="111">
        <v>107.88535658914432</v>
      </c>
      <c r="AA7" s="111">
        <v>344.0135063950259</v>
      </c>
    </row>
    <row r="8" spans="1:28" x14ac:dyDescent="0.3">
      <c r="A8" s="15" t="s">
        <v>54</v>
      </c>
      <c r="B8" s="15" t="s">
        <v>28</v>
      </c>
      <c r="C8" s="98">
        <f>SQRT((2*Table1[[#This Row],[Number Of Products Sold]]*Table1[[#This Row],[Costs]])/(0.3*Table1[[#This Row],[Price]]))</f>
        <v>119.48665777465961</v>
      </c>
      <c r="D8" s="15">
        <v>58</v>
      </c>
      <c r="E8" s="98">
        <f>Table1[[#This Row],[Number Of Products Sold]]/Table1[[#This Row],[EOQ]]</f>
        <v>0.54399379152929173</v>
      </c>
      <c r="F8" s="98">
        <f>360/Table1[[#This Row],[Optimum No of Orders]]</f>
        <v>661.77225844426857</v>
      </c>
      <c r="W8" s="114">
        <v>83.176513316586593</v>
      </c>
      <c r="X8" s="114">
        <v>513.98984754126627</v>
      </c>
      <c r="Y8" s="113">
        <v>224.64192677860444</v>
      </c>
      <c r="Z8" s="113">
        <v>209.20938132520277</v>
      </c>
      <c r="AA8" s="113">
        <v>139.03640194741359</v>
      </c>
    </row>
    <row r="9" spans="1:28" x14ac:dyDescent="0.3">
      <c r="A9" s="2" t="s">
        <v>58</v>
      </c>
      <c r="B9" s="2" t="s">
        <v>52</v>
      </c>
      <c r="C9" s="62">
        <f>SQRT((2*Table1[[#This Row],[Number Of Products Sold]]*Table1[[#This Row],[Costs]])/(0.3*Table1[[#This Row],[Price]]))</f>
        <v>230.27014297991101</v>
      </c>
      <c r="D9" s="2">
        <v>11</v>
      </c>
      <c r="E9" s="62">
        <f>Table1[[#This Row],[Number Of Products Sold]]/Table1[[#This Row],[EOQ]]</f>
        <v>1.8500010226560923</v>
      </c>
      <c r="F9" s="62">
        <f>360/Table1[[#This Row],[Optimum No of Orders]]</f>
        <v>194.59448702527692</v>
      </c>
      <c r="W9" s="114">
        <v>104.57562737441745</v>
      </c>
      <c r="X9" s="114">
        <v>200.2452065274224</v>
      </c>
      <c r="Y9" s="111">
        <v>283.62838471825216</v>
      </c>
      <c r="Z9" s="111">
        <v>104.65905148162831</v>
      </c>
      <c r="AA9" s="111">
        <v>153.39416870545409</v>
      </c>
      <c r="AB9" s="101"/>
    </row>
    <row r="10" spans="1:28" x14ac:dyDescent="0.3">
      <c r="A10" s="15" t="s">
        <v>59</v>
      </c>
      <c r="B10" s="15" t="s">
        <v>52</v>
      </c>
      <c r="C10" s="98">
        <f>SQRT((2*Table1[[#This Row],[Number Of Products Sold]]*Table1[[#This Row],[Costs]])/(0.3*Table1[[#This Row],[Price]]))</f>
        <v>85.773106680231308</v>
      </c>
      <c r="D10" s="15">
        <v>15</v>
      </c>
      <c r="E10" s="98">
        <f>Table1[[#This Row],[Number Of Products Sold]]/Table1[[#This Row],[EOQ]]</f>
        <v>1.748799895510506</v>
      </c>
      <c r="F10" s="98">
        <f>360/Table1[[#This Row],[Optimum No of Orders]]</f>
        <v>205.85545603255514</v>
      </c>
      <c r="W10" s="114">
        <v>367.76153829136996</v>
      </c>
      <c r="X10" s="114">
        <v>269.86317600373729</v>
      </c>
      <c r="Y10" s="113">
        <v>104.95938875771772</v>
      </c>
      <c r="Z10" s="113">
        <v>489.01815294248354</v>
      </c>
      <c r="AA10" s="113">
        <v>175.08979699257299</v>
      </c>
      <c r="AB10" s="102"/>
    </row>
    <row r="11" spans="1:28" x14ac:dyDescent="0.3">
      <c r="A11" s="2" t="s">
        <v>60</v>
      </c>
      <c r="B11" s="2" t="s">
        <v>61</v>
      </c>
      <c r="C11" s="62">
        <f>SQRT((2*Table1[[#This Row],[Number Of Products Sold]]*Table1[[#This Row],[Costs]])/(0.3*Table1[[#This Row],[Price]]))</f>
        <v>318.8146995134714</v>
      </c>
      <c r="D11" s="2">
        <v>83</v>
      </c>
      <c r="E11" s="62">
        <f>Table1[[#This Row],[Number Of Products Sold]]/Table1[[#This Row],[EOQ]]</f>
        <v>3.073885870054089</v>
      </c>
      <c r="F11" s="62">
        <f>360/Table1[[#This Row],[Optimum No of Orders]]</f>
        <v>117.11560390290786</v>
      </c>
      <c r="W11" s="114">
        <v>142.60000619700625</v>
      </c>
      <c r="X11" s="114">
        <v>48.432872970564532</v>
      </c>
      <c r="Y11" s="111">
        <v>294.25848261321698</v>
      </c>
      <c r="Z11" s="111">
        <v>101.50929847068019</v>
      </c>
      <c r="AA11" s="111">
        <v>118.81438818852617</v>
      </c>
      <c r="AB11" s="101"/>
    </row>
    <row r="12" spans="1:28" x14ac:dyDescent="0.3">
      <c r="A12" s="15" t="s">
        <v>63</v>
      </c>
      <c r="B12" s="15" t="s">
        <v>44</v>
      </c>
      <c r="C12" s="98">
        <f>SQRT((2*Table1[[#This Row],[Number Of Products Sold]]*Table1[[#This Row],[Costs]])/(0.3*Table1[[#This Row],[Price]]))</f>
        <v>583.74306552558414</v>
      </c>
      <c r="D12" s="15">
        <v>80</v>
      </c>
      <c r="E12" s="98">
        <f>Table1[[#This Row],[Number Of Products Sold]]/Table1[[#This Row],[EOQ]]</f>
        <v>1.7062301187308024</v>
      </c>
      <c r="F12" s="98">
        <f>360/Table1[[#This Row],[Optimum No of Orders]]</f>
        <v>210.99146946707859</v>
      </c>
      <c r="W12" s="114">
        <v>233.80951800619732</v>
      </c>
      <c r="X12" s="114">
        <v>44.208919029888939</v>
      </c>
      <c r="Y12" s="111">
        <v>90.177387938616377</v>
      </c>
      <c r="Z12" s="111">
        <v>252.97848992950898</v>
      </c>
      <c r="AA12" s="111">
        <v>493.03789190471633</v>
      </c>
    </row>
    <row r="13" spans="1:28" x14ac:dyDescent="0.3">
      <c r="A13" s="2" t="s">
        <v>65</v>
      </c>
      <c r="B13" s="2" t="s">
        <v>61</v>
      </c>
      <c r="C13" s="62">
        <f>SQRT((2*Table1[[#This Row],[Number Of Products Sold]]*Table1[[#This Row],[Costs]])/(0.3*Table1[[#This Row],[Price]]))</f>
        <v>94.595111950026507</v>
      </c>
      <c r="D13" s="2">
        <v>60</v>
      </c>
      <c r="E13" s="62">
        <f>Table1[[#This Row],[Number Of Products Sold]]/Table1[[#This Row],[EOQ]]</f>
        <v>10.148515924450269</v>
      </c>
      <c r="F13" s="62">
        <f>360/Table1[[#This Row],[Optimum No of Orders]]</f>
        <v>35.473166981259943</v>
      </c>
      <c r="W13" s="114">
        <v>139.63797936271152</v>
      </c>
      <c r="X13" s="114">
        <v>383.97986141156377</v>
      </c>
      <c r="Y13" s="113">
        <v>224.17561461739436</v>
      </c>
      <c r="Z13" s="111">
        <v>49.640059887156525</v>
      </c>
      <c r="AA13" s="113">
        <v>53.086412583600584</v>
      </c>
    </row>
    <row r="14" spans="1:28" x14ac:dyDescent="0.3">
      <c r="A14" s="15" t="s">
        <v>66</v>
      </c>
      <c r="B14" s="15" t="s">
        <v>52</v>
      </c>
      <c r="C14" s="98">
        <f>SQRT((2*Table1[[#This Row],[Number Of Products Sold]]*Table1[[#This Row],[Costs]])/(0.3*Table1[[#This Row],[Price]]))</f>
        <v>112.58457352635722</v>
      </c>
      <c r="D14" s="15">
        <v>85</v>
      </c>
      <c r="E14" s="98">
        <f>Table1[[#This Row],[Number Of Products Sold]]/Table1[[#This Row],[EOQ]]</f>
        <v>2.9844230828066238</v>
      </c>
      <c r="F14" s="98">
        <f>360/Table1[[#This Row],[Optimum No of Orders]]</f>
        <v>120.62632877823987</v>
      </c>
      <c r="W14" s="114">
        <v>202.2763426611593</v>
      </c>
      <c r="X14" s="114">
        <v>137.49031786985719</v>
      </c>
      <c r="Y14" s="111">
        <v>140.04510238239152</v>
      </c>
      <c r="Z14" s="111">
        <v>113.55200695735081</v>
      </c>
      <c r="AA14" s="111">
        <v>163.47064978157408</v>
      </c>
    </row>
    <row r="15" spans="1:28" x14ac:dyDescent="0.3">
      <c r="A15" s="2" t="s">
        <v>67</v>
      </c>
      <c r="B15" s="2" t="s">
        <v>44</v>
      </c>
      <c r="C15" s="62">
        <f>SQRT((2*Table1[[#This Row],[Number Of Products Sold]]*Table1[[#This Row],[Costs]])/(0.3*Table1[[#This Row],[Price]]))</f>
        <v>237.09227105686674</v>
      </c>
      <c r="D15" s="2">
        <v>48</v>
      </c>
      <c r="E15" s="62">
        <f>Table1[[#This Row],[Number Of Products Sold]]/Table1[[#This Row],[EOQ]]</f>
        <v>1.0502240283500308</v>
      </c>
      <c r="F15" s="62">
        <f>360/Table1[[#This Row],[Optimum No of Orders]]</f>
        <v>342.78400634727723</v>
      </c>
      <c r="H15" s="101"/>
      <c r="I15" s="102"/>
      <c r="J15" s="101"/>
      <c r="W15" s="114">
        <v>192.00150851939713</v>
      </c>
      <c r="X15" s="114">
        <v>121.70701850151119</v>
      </c>
      <c r="Y15" s="113">
        <v>75.890103397920853</v>
      </c>
      <c r="Z15" s="111">
        <v>160.72865202200751</v>
      </c>
      <c r="AA15" s="113">
        <v>224.1788263848876</v>
      </c>
    </row>
    <row r="16" spans="1:28" x14ac:dyDescent="0.3">
      <c r="A16" s="15" t="s">
        <v>68</v>
      </c>
      <c r="B16" s="15" t="s">
        <v>39</v>
      </c>
      <c r="C16" s="98">
        <f>SQRT((2*Table1[[#This Row],[Number Of Products Sold]]*Table1[[#This Row],[Costs]])/(0.3*Table1[[#This Row],[Price]]))</f>
        <v>187.36665771473818</v>
      </c>
      <c r="D16" s="15">
        <v>78</v>
      </c>
      <c r="E16" s="98">
        <f>Table1[[#This Row],[Number Of Products Sold]]/Table1[[#This Row],[EOQ]]</f>
        <v>2.9994664304448087</v>
      </c>
      <c r="F16" s="98">
        <f>360/Table1[[#This Row],[Optimum No of Orders]]</f>
        <v>120.02134657883585</v>
      </c>
      <c r="H16" s="100"/>
      <c r="I16" s="100"/>
      <c r="J16" s="100"/>
      <c r="W16" s="114">
        <v>183.35799179106661</v>
      </c>
      <c r="X16" s="114">
        <v>89.069723117694977</v>
      </c>
      <c r="Y16" s="111">
        <v>390.06726162547869</v>
      </c>
      <c r="Z16" s="111">
        <v>805.81807878567895</v>
      </c>
      <c r="AA16" s="111">
        <v>266.45553911515208</v>
      </c>
    </row>
    <row r="17" spans="1:27" x14ac:dyDescent="0.3">
      <c r="A17" s="2" t="s">
        <v>69</v>
      </c>
      <c r="B17" s="2" t="s">
        <v>39</v>
      </c>
      <c r="C17" s="62">
        <f>SQRT((2*Table1[[#This Row],[Number Of Products Sold]]*Table1[[#This Row],[Costs]])/(0.3*Table1[[#This Row],[Price]]))</f>
        <v>103.96172232742846</v>
      </c>
      <c r="D17" s="2">
        <v>69</v>
      </c>
      <c r="E17" s="62">
        <f>Table1[[#This Row],[Number Of Products Sold]]/Table1[[#This Row],[EOQ]]</f>
        <v>4.5112757801653185</v>
      </c>
      <c r="F17" s="62">
        <f>360/Table1[[#This Row],[Optimum No of Orders]]</f>
        <v>79.800042724678562</v>
      </c>
      <c r="H17" s="100"/>
      <c r="I17" s="100"/>
      <c r="J17" s="100"/>
      <c r="W17" s="114">
        <v>199.79650772861365</v>
      </c>
      <c r="X17" s="114">
        <v>92.660430609576963</v>
      </c>
      <c r="Y17" s="111">
        <v>129.19944293557208</v>
      </c>
      <c r="Z17" s="111">
        <v>313.05003871671386</v>
      </c>
      <c r="AA17" s="111">
        <v>568.84188911449189</v>
      </c>
    </row>
    <row r="18" spans="1:27" x14ac:dyDescent="0.3">
      <c r="A18" s="15" t="s">
        <v>70</v>
      </c>
      <c r="B18" s="15" t="s">
        <v>39</v>
      </c>
      <c r="C18" s="98">
        <f>SQRT((2*Table1[[#This Row],[Number Of Products Sold]]*Table1[[#This Row],[Costs]])/(0.3*Table1[[#This Row],[Price]]))</f>
        <v>462.68057123818721</v>
      </c>
      <c r="D18" s="15">
        <v>78</v>
      </c>
      <c r="E18" s="98">
        <f>Table1[[#This Row],[Number Of Products Sold]]/Table1[[#This Row],[EOQ]]</f>
        <v>0.60516913267113703</v>
      </c>
      <c r="F18" s="98">
        <f>360/Table1[[#This Row],[Optimum No of Orders]]</f>
        <v>594.87502016338362</v>
      </c>
      <c r="H18" s="100"/>
      <c r="I18" s="100"/>
      <c r="J18" s="100"/>
      <c r="W18" s="114">
        <v>329.21347444155242</v>
      </c>
      <c r="X18" s="114">
        <v>519.25255320254519</v>
      </c>
      <c r="Y18" s="113"/>
      <c r="Z18" s="111">
        <v>95.040125420748154</v>
      </c>
      <c r="AA18" s="113">
        <v>146.70296737620012</v>
      </c>
    </row>
    <row r="19" spans="1:27" x14ac:dyDescent="0.3">
      <c r="A19" s="2" t="s">
        <v>71</v>
      </c>
      <c r="B19" s="2" t="s">
        <v>39</v>
      </c>
      <c r="C19" s="62">
        <f>SQRT((2*Table1[[#This Row],[Number Of Products Sold]]*Table1[[#This Row],[Costs]])/(0.3*Table1[[#This Row],[Price]]))</f>
        <v>83.176513316586593</v>
      </c>
      <c r="D19" s="2">
        <v>85</v>
      </c>
      <c r="E19" s="62">
        <f>Table1[[#This Row],[Number Of Products Sold]]/Table1[[#This Row],[EOQ]]</f>
        <v>1.5148507069588091</v>
      </c>
      <c r="F19" s="62">
        <f>360/Table1[[#This Row],[Optimum No of Orders]]</f>
        <v>237.64718090453312</v>
      </c>
      <c r="H19" s="100"/>
      <c r="I19" s="100"/>
      <c r="J19" s="100"/>
      <c r="W19" s="114">
        <v>156.79914569601979</v>
      </c>
      <c r="X19" s="114">
        <v>152.27683000371678</v>
      </c>
      <c r="Y19" s="111"/>
      <c r="Z19" s="111">
        <v>211.63632615943146</v>
      </c>
      <c r="AA19" s="111">
        <v>42.718549690285421</v>
      </c>
    </row>
    <row r="20" spans="1:27" x14ac:dyDescent="0.3">
      <c r="A20" s="15" t="s">
        <v>72</v>
      </c>
      <c r="B20" s="15" t="s">
        <v>61</v>
      </c>
      <c r="C20" s="98">
        <f>SQRT((2*Table1[[#This Row],[Number Of Products Sold]]*Table1[[#This Row],[Costs]])/(0.3*Table1[[#This Row],[Price]]))</f>
        <v>259.44335560415539</v>
      </c>
      <c r="D20" s="15">
        <v>46</v>
      </c>
      <c r="E20" s="98">
        <f>Table1[[#This Row],[Number Of Products Sold]]/Table1[[#This Row],[EOQ]]</f>
        <v>2.3897316566702229</v>
      </c>
      <c r="F20" s="98">
        <f>360/Table1[[#This Row],[Optimum No of Orders]]</f>
        <v>150.64452906047731</v>
      </c>
      <c r="H20" s="100"/>
      <c r="I20" s="100"/>
      <c r="J20" s="100"/>
      <c r="W20" s="114">
        <v>125.70330409395962</v>
      </c>
      <c r="X20" s="114">
        <v>278.52997247850965</v>
      </c>
      <c r="Y20" s="113"/>
      <c r="Z20" s="111">
        <v>251.62415726340731</v>
      </c>
      <c r="AA20" s="113">
        <v>521.36135004068217</v>
      </c>
    </row>
    <row r="21" spans="1:27" x14ac:dyDescent="0.3">
      <c r="A21" s="2" t="s">
        <v>73</v>
      </c>
      <c r="B21" s="2" t="s">
        <v>52</v>
      </c>
      <c r="C21" s="62">
        <f>SQRT((2*Table1[[#This Row],[Number Of Products Sold]]*Table1[[#This Row],[Costs]])/(0.3*Table1[[#This Row],[Price]]))</f>
        <v>107.88535658914432</v>
      </c>
      <c r="D21" s="2">
        <v>94</v>
      </c>
      <c r="E21" s="62">
        <f>Table1[[#This Row],[Number Of Products Sold]]/Table1[[#This Row],[EOQ]]</f>
        <v>1.733321424817132</v>
      </c>
      <c r="F21" s="62">
        <f>360/Table1[[#This Row],[Optimum No of Orders]]</f>
        <v>207.69373461011742</v>
      </c>
      <c r="H21" s="100"/>
      <c r="I21" s="100"/>
      <c r="J21" s="100"/>
      <c r="W21" s="114">
        <v>87.671961387542282</v>
      </c>
      <c r="X21" s="114">
        <v>82.360260401419453</v>
      </c>
      <c r="Y21" s="111"/>
      <c r="Z21" s="111"/>
      <c r="AA21" s="111"/>
    </row>
    <row r="22" spans="1:27" x14ac:dyDescent="0.3">
      <c r="A22" s="15" t="s">
        <v>74</v>
      </c>
      <c r="B22" s="15" t="s">
        <v>39</v>
      </c>
      <c r="C22" s="98">
        <f>SQRT((2*Table1[[#This Row],[Number Of Products Sold]]*Table1[[#This Row],[Costs]])/(0.3*Table1[[#This Row],[Price]]))</f>
        <v>104.57562737441745</v>
      </c>
      <c r="D22" s="15">
        <v>68</v>
      </c>
      <c r="E22" s="98">
        <f>Table1[[#This Row],[Number Of Products Sold]]/Table1[[#This Row],[EOQ]]</f>
        <v>3.0599864235505629</v>
      </c>
      <c r="F22" s="98">
        <f>360/Table1[[#This Row],[Optimum No of Orders]]</f>
        <v>117.64758079621963</v>
      </c>
      <c r="H22" s="100"/>
      <c r="I22" s="100"/>
      <c r="J22" s="100"/>
      <c r="W22" s="114">
        <v>81.221004420092171</v>
      </c>
      <c r="X22" s="114">
        <v>94.196862091589068</v>
      </c>
      <c r="Y22" s="113"/>
      <c r="Z22" s="111"/>
      <c r="AA22" s="113"/>
    </row>
    <row r="23" spans="1:27" x14ac:dyDescent="0.3">
      <c r="A23" s="2" t="s">
        <v>75</v>
      </c>
      <c r="B23" s="2" t="s">
        <v>44</v>
      </c>
      <c r="C23" s="62">
        <f>SQRT((2*Table1[[#This Row],[Number Of Products Sold]]*Table1[[#This Row],[Costs]])/(0.3*Table1[[#This Row],[Price]]))</f>
        <v>157.16436639374501</v>
      </c>
      <c r="D23" s="2">
        <v>7</v>
      </c>
      <c r="E23" s="62">
        <f>Table1[[#This Row],[Number Of Products Sold]]/Table1[[#This Row],[EOQ]]</f>
        <v>3.8240220336861244</v>
      </c>
      <c r="F23" s="62">
        <f>360/Table1[[#This Row],[Optimum No of Orders]]</f>
        <v>94.141716974622639</v>
      </c>
      <c r="H23" s="100"/>
      <c r="I23" s="100"/>
      <c r="J23" s="100"/>
      <c r="W23" s="114">
        <v>28.565696278551766</v>
      </c>
      <c r="X23" s="114">
        <v>1354.2448154720894</v>
      </c>
      <c r="Y23" s="111"/>
      <c r="Z23" s="111"/>
      <c r="AA23" s="111"/>
    </row>
    <row r="24" spans="1:27" x14ac:dyDescent="0.3">
      <c r="A24" s="15" t="s">
        <v>76</v>
      </c>
      <c r="B24" s="15" t="s">
        <v>52</v>
      </c>
      <c r="C24" s="98">
        <f>SQRT((2*Table1[[#This Row],[Number Of Products Sold]]*Table1[[#This Row],[Costs]])/(0.3*Table1[[#This Row],[Price]]))</f>
        <v>209.20938132520277</v>
      </c>
      <c r="D24" s="15">
        <v>63</v>
      </c>
      <c r="E24" s="98">
        <f>Table1[[#This Row],[Number Of Products Sold]]/Table1[[#This Row],[EOQ]]</f>
        <v>4.2254319304442562</v>
      </c>
      <c r="F24" s="98">
        <f>360/Table1[[#This Row],[Optimum No of Orders]]</f>
        <v>85.198390584924198</v>
      </c>
      <c r="H24" s="100"/>
      <c r="I24" s="100"/>
      <c r="J24" s="100"/>
      <c r="W24" s="114">
        <v>154.75742136892501</v>
      </c>
      <c r="X24" s="114">
        <v>113.38691010476025</v>
      </c>
      <c r="Y24" s="111"/>
      <c r="Z24" s="111"/>
      <c r="AA24" s="111"/>
    </row>
    <row r="25" spans="1:27" x14ac:dyDescent="0.3">
      <c r="A25" s="2" t="s">
        <v>77</v>
      </c>
      <c r="B25" s="2" t="s">
        <v>44</v>
      </c>
      <c r="C25" s="62">
        <f>SQRT((2*Table1[[#This Row],[Number Of Products Sold]]*Table1[[#This Row],[Costs]])/(0.3*Table1[[#This Row],[Price]]))</f>
        <v>344.0135063950259</v>
      </c>
      <c r="D25" s="2">
        <v>29</v>
      </c>
      <c r="E25" s="62">
        <f>Table1[[#This Row],[Number Of Products Sold]]/Table1[[#This Row],[EOQ]]</f>
        <v>1.1365832815616843</v>
      </c>
      <c r="F25" s="62">
        <f>360/Table1[[#This Row],[Optimum No of Orders]]</f>
        <v>316.73877826652</v>
      </c>
      <c r="H25" s="100"/>
      <c r="I25" s="100"/>
      <c r="J25" s="100"/>
      <c r="W25" s="114">
        <v>81.454010395155933</v>
      </c>
      <c r="X25" s="114"/>
      <c r="Y25" s="113"/>
      <c r="Z25" s="111"/>
      <c r="AA25" s="113"/>
    </row>
    <row r="26" spans="1:27" x14ac:dyDescent="0.3">
      <c r="A26" s="15" t="s">
        <v>78</v>
      </c>
      <c r="B26" s="15" t="s">
        <v>61</v>
      </c>
      <c r="C26" s="98">
        <f>SQRT((2*Table1[[#This Row],[Number Of Products Sold]]*Table1[[#This Row],[Costs]])/(0.3*Table1[[#This Row],[Price]]))</f>
        <v>504.3311175852449</v>
      </c>
      <c r="D26" s="15">
        <v>2</v>
      </c>
      <c r="E26" s="98">
        <f>Table1[[#This Row],[Number Of Products Sold]]/Table1[[#This Row],[EOQ]]</f>
        <v>0.41441028069158087</v>
      </c>
      <c r="F26" s="98">
        <f>360/Table1[[#This Row],[Optimum No of Orders]]</f>
        <v>868.70431737171361</v>
      </c>
      <c r="H26" s="100"/>
      <c r="I26" s="100"/>
      <c r="J26" s="100"/>
      <c r="W26" s="114">
        <v>188.4612593975578</v>
      </c>
      <c r="X26" s="114"/>
      <c r="Y26" s="111"/>
      <c r="Z26" s="111"/>
      <c r="AA26" s="111"/>
    </row>
    <row r="27" spans="1:27" x14ac:dyDescent="0.3">
      <c r="A27" s="2" t="s">
        <v>79</v>
      </c>
      <c r="B27" s="2" t="s">
        <v>52</v>
      </c>
      <c r="C27" s="62">
        <f>SQRT((2*Table1[[#This Row],[Number Of Products Sold]]*Table1[[#This Row],[Costs]])/(0.3*Table1[[#This Row],[Price]]))</f>
        <v>104.65905148162831</v>
      </c>
      <c r="D27" s="2">
        <v>52</v>
      </c>
      <c r="E27" s="62">
        <f>Table1[[#This Row],[Number Of Products Sold]]/Table1[[#This Row],[EOQ]]</f>
        <v>1.3567866131953858</v>
      </c>
      <c r="F27" s="62">
        <f>360/Table1[[#This Row],[Optimum No of Orders]]</f>
        <v>265.33280657314219</v>
      </c>
      <c r="H27" s="100"/>
      <c r="I27" s="100"/>
      <c r="J27" s="100"/>
      <c r="W27" s="114">
        <v>209.29903219434954</v>
      </c>
      <c r="X27" s="114"/>
      <c r="Y27" s="113"/>
      <c r="Z27" s="111"/>
      <c r="AA27" s="113"/>
    </row>
    <row r="28" spans="1:27" x14ac:dyDescent="0.3">
      <c r="A28" s="15" t="s">
        <v>80</v>
      </c>
      <c r="B28" s="15" t="s">
        <v>61</v>
      </c>
      <c r="C28" s="98">
        <f>SQRT((2*Table1[[#This Row],[Number Of Products Sold]]*Table1[[#This Row],[Costs]])/(0.3*Table1[[#This Row],[Price]]))</f>
        <v>122.15326404353743</v>
      </c>
      <c r="D28" s="15">
        <v>48</v>
      </c>
      <c r="E28" s="98">
        <f>Table1[[#This Row],[Number Of Products Sold]]/Table1[[#This Row],[EOQ]]</f>
        <v>2.8898122597377749</v>
      </c>
      <c r="F28" s="98">
        <f>360/Table1[[#This Row],[Optimum No of Orders]]</f>
        <v>124.5755667299532</v>
      </c>
      <c r="H28" s="100"/>
      <c r="I28" s="100"/>
      <c r="J28" s="100"/>
      <c r="W28" s="114">
        <v>140.15968567135087</v>
      </c>
      <c r="X28" s="114"/>
      <c r="Y28" s="111"/>
      <c r="Z28" s="111"/>
      <c r="AA28" s="111"/>
    </row>
    <row r="29" spans="1:27" x14ac:dyDescent="0.3">
      <c r="A29" s="2" t="s">
        <v>81</v>
      </c>
      <c r="B29" s="2" t="s">
        <v>44</v>
      </c>
      <c r="C29" s="62">
        <f>SQRT((2*Table1[[#This Row],[Number Of Products Sold]]*Table1[[#This Row],[Costs]])/(0.3*Table1[[#This Row],[Price]]))</f>
        <v>139.03640194741359</v>
      </c>
      <c r="D29" s="2">
        <v>62</v>
      </c>
      <c r="E29" s="62">
        <f>Table1[[#This Row],[Number Of Products Sold]]/Table1[[#This Row],[EOQ]]</f>
        <v>2.5317110847929851</v>
      </c>
      <c r="F29" s="62">
        <f>360/Table1[[#This Row],[Optimum No of Orders]]</f>
        <v>142.19632017349119</v>
      </c>
      <c r="H29" s="100"/>
      <c r="I29" s="100"/>
      <c r="J29" s="100"/>
      <c r="W29" s="114">
        <v>68.767169556649364</v>
      </c>
      <c r="X29" s="114"/>
      <c r="Y29" s="111"/>
      <c r="Z29" s="111"/>
      <c r="AA29" s="111"/>
    </row>
    <row r="30" spans="1:27" x14ac:dyDescent="0.3">
      <c r="A30" s="15" t="s">
        <v>82</v>
      </c>
      <c r="B30" s="15" t="s">
        <v>39</v>
      </c>
      <c r="C30" s="98">
        <f>SQRT((2*Table1[[#This Row],[Number Of Products Sold]]*Table1[[#This Row],[Costs]])/(0.3*Table1[[#This Row],[Price]]))</f>
        <v>367.76153829136996</v>
      </c>
      <c r="D30" s="15">
        <v>24</v>
      </c>
      <c r="E30" s="98">
        <f>Table1[[#This Row],[Number Of Products Sold]]/Table1[[#This Row],[EOQ]]</f>
        <v>1.0713463997092645</v>
      </c>
      <c r="F30" s="98">
        <f>360/Table1[[#This Row],[Optimum No of Orders]]</f>
        <v>336.02577102764764</v>
      </c>
      <c r="H30" s="100"/>
      <c r="I30" s="100"/>
      <c r="J30" s="100"/>
      <c r="Y30" s="104"/>
      <c r="Z30" s="105"/>
      <c r="AA30" s="106"/>
    </row>
    <row r="31" spans="1:27" x14ac:dyDescent="0.3">
      <c r="A31" s="2" t="s">
        <v>83</v>
      </c>
      <c r="B31" s="2" t="s">
        <v>39</v>
      </c>
      <c r="C31" s="62">
        <f>SQRT((2*Table1[[#This Row],[Number Of Products Sold]]*Table1[[#This Row],[Costs]])/(0.3*Table1[[#This Row],[Price]]))</f>
        <v>142.60000619700625</v>
      </c>
      <c r="D31" s="2">
        <v>67</v>
      </c>
      <c r="E31" s="62">
        <f>Table1[[#This Row],[Number Of Products Sold]]/Table1[[#This Row],[EOQ]]</f>
        <v>1.7741934712854976</v>
      </c>
      <c r="F31" s="62">
        <f>360/Table1[[#This Row],[Optimum No of Orders]]</f>
        <v>202.90909972696542</v>
      </c>
      <c r="H31" s="100"/>
      <c r="I31" s="100"/>
      <c r="J31" s="100"/>
      <c r="W31" s="30" t="s">
        <v>39</v>
      </c>
      <c r="X31" s="30" t="s">
        <v>61</v>
      </c>
      <c r="Y31" s="110" t="s">
        <v>28</v>
      </c>
      <c r="Z31" s="110" t="s">
        <v>52</v>
      </c>
      <c r="AA31" s="111" t="s">
        <v>44</v>
      </c>
    </row>
    <row r="32" spans="1:27" x14ac:dyDescent="0.3">
      <c r="A32" s="15" t="s">
        <v>84</v>
      </c>
      <c r="B32" s="15" t="s">
        <v>52</v>
      </c>
      <c r="C32" s="98">
        <f>SQRT((2*Table1[[#This Row],[Number Of Products Sold]]*Table1[[#This Row],[Costs]])/(0.3*Table1[[#This Row],[Price]]))</f>
        <v>489.01815294248354</v>
      </c>
      <c r="D32" s="15">
        <v>35</v>
      </c>
      <c r="E32" s="98">
        <f>Table1[[#This Row],[Number Of Products Sold]]/Table1[[#This Row],[EOQ]]</f>
        <v>0.6686868330600817</v>
      </c>
      <c r="F32" s="98">
        <f>360/Table1[[#This Row],[Optimum No of Orders]]</f>
        <v>538.36860874401862</v>
      </c>
      <c r="H32" s="100"/>
      <c r="I32" s="100"/>
      <c r="J32" s="100"/>
      <c r="W32" s="114">
        <v>25.858567255027648</v>
      </c>
      <c r="X32" s="114">
        <v>318.8146995134714</v>
      </c>
      <c r="Y32" s="113">
        <v>119.91715399347879</v>
      </c>
      <c r="Z32" s="111">
        <v>368.42691656165243</v>
      </c>
      <c r="AA32" s="113">
        <v>48.00950215159439</v>
      </c>
    </row>
    <row r="33" spans="1:27" x14ac:dyDescent="0.3">
      <c r="A33" s="2" t="s">
        <v>85</v>
      </c>
      <c r="B33" s="2" t="s">
        <v>28</v>
      </c>
      <c r="C33" s="62">
        <f>SQRT((2*Table1[[#This Row],[Number Of Products Sold]]*Table1[[#This Row],[Costs]])/(0.3*Table1[[#This Row],[Price]]))</f>
        <v>115.85598691593887</v>
      </c>
      <c r="D33" s="2">
        <v>44</v>
      </c>
      <c r="E33" s="62">
        <f>Table1[[#This Row],[Number Of Products Sold]]/Table1[[#This Row],[EOQ]]</f>
        <v>1.4500761201222603</v>
      </c>
      <c r="F33" s="62">
        <f>360/Table1[[#This Row],[Optimum No of Orders]]</f>
        <v>248.26282910558331</v>
      </c>
      <c r="H33" s="100"/>
      <c r="I33" s="100"/>
      <c r="J33" s="100"/>
      <c r="W33" s="114">
        <v>187.36665771473818</v>
      </c>
      <c r="X33" s="114">
        <v>94.595111950026507</v>
      </c>
      <c r="Y33" s="111">
        <v>407.79047756521732</v>
      </c>
      <c r="Z33" s="111">
        <v>230.27014297991101</v>
      </c>
      <c r="AA33" s="111">
        <v>583.74306552558414</v>
      </c>
    </row>
    <row r="34" spans="1:27" x14ac:dyDescent="0.3">
      <c r="A34" s="15" t="s">
        <v>86</v>
      </c>
      <c r="B34" s="15" t="s">
        <v>28</v>
      </c>
      <c r="C34" s="98">
        <f>SQRT((2*Table1[[#This Row],[Number Of Products Sold]]*Table1[[#This Row],[Costs]])/(0.3*Table1[[#This Row],[Price]]))</f>
        <v>223.68249743558781</v>
      </c>
      <c r="D34" s="15">
        <v>64</v>
      </c>
      <c r="E34" s="98">
        <f>Table1[[#This Row],[Number Of Products Sold]]/Table1[[#This Row],[EOQ]]</f>
        <v>3.4915561519286897</v>
      </c>
      <c r="F34" s="98">
        <f>360/Table1[[#This Row],[Optimum No of Orders]]</f>
        <v>103.10588870270374</v>
      </c>
      <c r="H34" s="100"/>
      <c r="I34" s="100"/>
      <c r="J34" s="100"/>
      <c r="W34" s="114">
        <v>103.96172232742846</v>
      </c>
      <c r="X34" s="114">
        <v>259.44335560415539</v>
      </c>
      <c r="Y34" s="111">
        <v>119.48665777465961</v>
      </c>
      <c r="Z34" s="111">
        <v>85.773106680231308</v>
      </c>
      <c r="AA34" s="111">
        <v>237.09227105686674</v>
      </c>
    </row>
    <row r="35" spans="1:27" x14ac:dyDescent="0.3">
      <c r="A35" s="2" t="s">
        <v>87</v>
      </c>
      <c r="B35" s="2" t="s">
        <v>44</v>
      </c>
      <c r="C35" s="62">
        <f>SQRT((2*Table1[[#This Row],[Number Of Products Sold]]*Table1[[#This Row],[Costs]])/(0.3*Table1[[#This Row],[Price]]))</f>
        <v>153.39416870545409</v>
      </c>
      <c r="D35" s="2">
        <v>95</v>
      </c>
      <c r="E35" s="62">
        <f>Table1[[#This Row],[Number Of Products Sold]]/Table1[[#This Row],[EOQ]]</f>
        <v>4.0157980267348812</v>
      </c>
      <c r="F35" s="62">
        <f>360/Table1[[#This Row],[Optimum No of Orders]]</f>
        <v>89.645942749940701</v>
      </c>
      <c r="H35" s="100"/>
      <c r="I35" s="100"/>
      <c r="J35" s="100"/>
      <c r="W35" s="114">
        <v>83.176513316586593</v>
      </c>
      <c r="X35" s="114">
        <v>504.3311175852449</v>
      </c>
      <c r="Y35" s="113">
        <v>115.85598691593887</v>
      </c>
      <c r="Z35" s="111">
        <v>112.58457352635722</v>
      </c>
      <c r="AA35" s="113">
        <v>157.16436639374501</v>
      </c>
    </row>
    <row r="36" spans="1:27" x14ac:dyDescent="0.3">
      <c r="A36" s="15" t="s">
        <v>88</v>
      </c>
      <c r="B36" s="15" t="s">
        <v>39</v>
      </c>
      <c r="C36" s="98">
        <f>SQRT((2*Table1[[#This Row],[Number Of Products Sold]]*Table1[[#This Row],[Costs]])/(0.3*Table1[[#This Row],[Price]]))</f>
        <v>233.80951800619732</v>
      </c>
      <c r="D36" s="15">
        <v>21</v>
      </c>
      <c r="E36" s="98">
        <f>Table1[[#This Row],[Number Of Products Sold]]/Table1[[#This Row],[EOQ]]</f>
        <v>2.5747454814223749</v>
      </c>
      <c r="F36" s="98">
        <f>360/Table1[[#This Row],[Optimum No of Orders]]</f>
        <v>139.81964531932067</v>
      </c>
      <c r="H36" s="100"/>
      <c r="I36" s="100"/>
      <c r="J36" s="100"/>
      <c r="W36" s="114">
        <v>104.57562737441745</v>
      </c>
      <c r="X36" s="114">
        <v>122.15326404353743</v>
      </c>
      <c r="Y36" s="111">
        <v>223.68249743558781</v>
      </c>
      <c r="Z36" s="111">
        <v>107.88535658914432</v>
      </c>
      <c r="AA36" s="111">
        <v>344.0135063950259</v>
      </c>
    </row>
    <row r="37" spans="1:27" x14ac:dyDescent="0.3">
      <c r="A37" s="2" t="s">
        <v>89</v>
      </c>
      <c r="B37" s="2" t="s">
        <v>39</v>
      </c>
      <c r="C37" s="62">
        <f>SQRT((2*Table1[[#This Row],[Number Of Products Sold]]*Table1[[#This Row],[Costs]])/(0.3*Table1[[#This Row],[Price]]))</f>
        <v>139.63797936271152</v>
      </c>
      <c r="D37" s="2">
        <v>85</v>
      </c>
      <c r="E37" s="62">
        <f>Table1[[#This Row],[Number Of Products Sold]]/Table1[[#This Row],[EOQ]]</f>
        <v>3.2154575857454688</v>
      </c>
      <c r="F37" s="62">
        <f>360/Table1[[#This Row],[Optimum No of Orders]]</f>
        <v>111.9591816716618</v>
      </c>
      <c r="H37" s="100"/>
      <c r="I37" s="100"/>
      <c r="J37" s="100"/>
      <c r="W37" s="114">
        <v>142.60000619700625</v>
      </c>
      <c r="X37" s="114">
        <v>513.98984754126627</v>
      </c>
      <c r="Y37" s="113">
        <v>224.64192677860444</v>
      </c>
      <c r="Z37" s="111">
        <v>209.20938132520277</v>
      </c>
      <c r="AA37" s="113">
        <v>139.03640194741359</v>
      </c>
    </row>
    <row r="38" spans="1:27" x14ac:dyDescent="0.3">
      <c r="A38" s="15" t="s">
        <v>90</v>
      </c>
      <c r="B38" s="15" t="s">
        <v>61</v>
      </c>
      <c r="C38" s="98">
        <f>SQRT((2*Table1[[#This Row],[Number Of Products Sold]]*Table1[[#This Row],[Costs]])/(0.3*Table1[[#This Row],[Price]]))</f>
        <v>513.98984754126627</v>
      </c>
      <c r="D38" s="15">
        <v>28</v>
      </c>
      <c r="E38" s="98">
        <f>Table1[[#This Row],[Number Of Products Sold]]/Table1[[#This Row],[EOQ]]</f>
        <v>1.8735778626885902</v>
      </c>
      <c r="F38" s="98">
        <f>360/Table1[[#This Row],[Optimum No of Orders]]</f>
        <v>192.14573739860421</v>
      </c>
      <c r="H38" s="100"/>
      <c r="I38" s="100"/>
      <c r="J38" s="100"/>
      <c r="W38" s="114">
        <v>233.80951800619732</v>
      </c>
      <c r="X38" s="114">
        <v>200.2452065274224</v>
      </c>
      <c r="Y38" s="111">
        <v>283.62838471825216</v>
      </c>
      <c r="Z38" s="111">
        <v>104.65905148162831</v>
      </c>
      <c r="AA38" s="111">
        <v>153.39416870545409</v>
      </c>
    </row>
    <row r="39" spans="1:27" x14ac:dyDescent="0.3">
      <c r="A39" s="2" t="s">
        <v>91</v>
      </c>
      <c r="B39" s="2" t="s">
        <v>28</v>
      </c>
      <c r="C39" s="62">
        <f>SQRT((2*Table1[[#This Row],[Number Of Products Sold]]*Table1[[#This Row],[Costs]])/(0.3*Table1[[#This Row],[Price]]))</f>
        <v>224.64192677860444</v>
      </c>
      <c r="D39" s="2">
        <v>21</v>
      </c>
      <c r="E39" s="62">
        <f>Table1[[#This Row],[Number Of Products Sold]]/Table1[[#This Row],[EOQ]]</f>
        <v>4.2868222054963203</v>
      </c>
      <c r="F39" s="62">
        <f>360/Table1[[#This Row],[Optimum No of Orders]]</f>
        <v>83.978290384525025</v>
      </c>
      <c r="H39" s="100"/>
      <c r="I39" s="100"/>
      <c r="J39" s="100"/>
      <c r="W39" s="114">
        <v>139.63797936271152</v>
      </c>
      <c r="X39" s="114">
        <v>269.86317600373729</v>
      </c>
      <c r="Y39" s="113">
        <v>104.95938875771772</v>
      </c>
      <c r="Z39" s="111">
        <v>101.50929847068019</v>
      </c>
      <c r="AA39" s="113">
        <v>175.08979699257299</v>
      </c>
    </row>
    <row r="40" spans="1:27" x14ac:dyDescent="0.3">
      <c r="A40" s="15" t="s">
        <v>92</v>
      </c>
      <c r="B40" s="15" t="s">
        <v>44</v>
      </c>
      <c r="C40" s="98">
        <f>SQRT((2*Table1[[#This Row],[Number Of Products Sold]]*Table1[[#This Row],[Costs]])/(0.3*Table1[[#This Row],[Price]]))</f>
        <v>175.08979699257299</v>
      </c>
      <c r="D40" s="15">
        <v>88</v>
      </c>
      <c r="E40" s="98">
        <f>Table1[[#This Row],[Number Of Products Sold]]/Table1[[#This Row],[EOQ]]</f>
        <v>4.0265053253211835</v>
      </c>
      <c r="F40" s="98">
        <f>360/Table1[[#This Row],[Optimum No of Orders]]</f>
        <v>89.407555911101085</v>
      </c>
      <c r="H40" s="100"/>
      <c r="I40" s="100"/>
      <c r="J40" s="100"/>
      <c r="W40" s="114">
        <v>202.2763426611593</v>
      </c>
      <c r="X40" s="114">
        <v>48.432872970564532</v>
      </c>
      <c r="Y40" s="113">
        <v>294.25848261321698</v>
      </c>
      <c r="Z40" s="111">
        <v>252.97848992950898</v>
      </c>
      <c r="AA40" s="113">
        <v>118.81438818852617</v>
      </c>
    </row>
    <row r="41" spans="1:27" x14ac:dyDescent="0.3">
      <c r="A41" s="2" t="s">
        <v>93</v>
      </c>
      <c r="B41" s="2" t="s">
        <v>61</v>
      </c>
      <c r="C41" s="62">
        <f>SQRT((2*Table1[[#This Row],[Number Of Products Sold]]*Table1[[#This Row],[Costs]])/(0.3*Table1[[#This Row],[Price]]))</f>
        <v>200.2452065274224</v>
      </c>
      <c r="D41" s="2">
        <v>34</v>
      </c>
      <c r="E41" s="62">
        <f>Table1[[#This Row],[Number Of Products Sold]]/Table1[[#This Row],[EOQ]]</f>
        <v>0.8789224124368632</v>
      </c>
      <c r="F41" s="62">
        <f>360/Table1[[#This Row],[Optimum No of Orders]]</f>
        <v>409.59246789700035</v>
      </c>
      <c r="H41" s="100"/>
      <c r="I41" s="100"/>
      <c r="J41" s="100"/>
      <c r="W41" s="114">
        <v>192.00150851939713</v>
      </c>
      <c r="X41" s="114">
        <v>44.208919029888939</v>
      </c>
      <c r="Y41" s="111">
        <v>90.177387938616377</v>
      </c>
      <c r="Z41" s="111">
        <v>49.640059887156525</v>
      </c>
      <c r="AA41" s="111">
        <v>493.03789190471633</v>
      </c>
    </row>
    <row r="42" spans="1:27" x14ac:dyDescent="0.3">
      <c r="A42" s="15" t="s">
        <v>94</v>
      </c>
      <c r="B42" s="15" t="s">
        <v>39</v>
      </c>
      <c r="C42" s="98">
        <f>SQRT((2*Table1[[#This Row],[Number Of Products Sold]]*Table1[[#This Row],[Costs]])/(0.3*Table1[[#This Row],[Price]]))</f>
        <v>202.2763426611593</v>
      </c>
      <c r="D42" s="15">
        <v>39</v>
      </c>
      <c r="E42" s="98">
        <f>Table1[[#This Row],[Number Of Products Sold]]/Table1[[#This Row],[EOQ]]</f>
        <v>4.6125018265873203</v>
      </c>
      <c r="F42" s="98">
        <f>360/Table1[[#This Row],[Optimum No of Orders]]</f>
        <v>78.048749579868542</v>
      </c>
      <c r="H42" s="100"/>
      <c r="I42" s="100"/>
      <c r="J42" s="100"/>
      <c r="W42" s="114">
        <v>183.35799179106661</v>
      </c>
      <c r="X42" s="114">
        <v>383.97986141156377</v>
      </c>
      <c r="Y42" s="113">
        <v>224.17561461739436</v>
      </c>
      <c r="Z42" s="111">
        <v>113.55200695735081</v>
      </c>
      <c r="AA42" s="113">
        <v>53.086412583600584</v>
      </c>
    </row>
    <row r="43" spans="1:27" x14ac:dyDescent="0.3">
      <c r="A43" s="2" t="s">
        <v>95</v>
      </c>
      <c r="B43" s="2" t="s">
        <v>52</v>
      </c>
      <c r="C43" s="62">
        <f>SQRT((2*Table1[[#This Row],[Number Of Products Sold]]*Table1[[#This Row],[Costs]])/(0.3*Table1[[#This Row],[Price]]))</f>
        <v>101.50929847068019</v>
      </c>
      <c r="D43" s="2">
        <v>38</v>
      </c>
      <c r="E43" s="62">
        <f>Table1[[#This Row],[Number Of Products Sold]]/Table1[[#This Row],[EOQ]]</f>
        <v>5.477330731042283</v>
      </c>
      <c r="F43" s="62">
        <f>360/Table1[[#This Row],[Optimum No of Orders]]</f>
        <v>65.725445052958392</v>
      </c>
      <c r="H43" s="100"/>
      <c r="I43" s="100"/>
      <c r="J43" s="100"/>
      <c r="W43" s="114">
        <v>199.79650772861365</v>
      </c>
      <c r="X43" s="114">
        <v>137.49031786985719</v>
      </c>
      <c r="Y43" s="111">
        <v>140.04510238239152</v>
      </c>
      <c r="Z43" s="111">
        <v>160.72865202200751</v>
      </c>
      <c r="AA43" s="111">
        <v>163.47064978157408</v>
      </c>
    </row>
    <row r="44" spans="1:27" x14ac:dyDescent="0.3">
      <c r="A44" s="15" t="s">
        <v>96</v>
      </c>
      <c r="B44" s="15" t="s">
        <v>44</v>
      </c>
      <c r="C44" s="98">
        <f>SQRT((2*Table1[[#This Row],[Number Of Products Sold]]*Table1[[#This Row],[Costs]])/(0.3*Table1[[#This Row],[Price]]))</f>
        <v>118.81438818852617</v>
      </c>
      <c r="D44" s="15">
        <v>57</v>
      </c>
      <c r="E44" s="98">
        <f>Table1[[#This Row],[Number Of Products Sold]]/Table1[[#This Row],[EOQ]]</f>
        <v>1.3045558064403537</v>
      </c>
      <c r="F44" s="98">
        <f>360/Table1[[#This Row],[Optimum No of Orders]]</f>
        <v>275.95599837335112</v>
      </c>
      <c r="H44" s="100"/>
      <c r="I44" s="100"/>
      <c r="J44" s="100"/>
      <c r="W44" s="114">
        <v>329.21347444155242</v>
      </c>
      <c r="X44" s="114">
        <v>121.70701850151119</v>
      </c>
      <c r="Y44" s="113">
        <v>75.890103397920853</v>
      </c>
      <c r="Z44" s="111">
        <v>313.05003871671386</v>
      </c>
      <c r="AA44" s="113">
        <v>224.1788263848876</v>
      </c>
    </row>
    <row r="45" spans="1:27" x14ac:dyDescent="0.3">
      <c r="A45" s="2" t="s">
        <v>97</v>
      </c>
      <c r="B45" s="2" t="s">
        <v>44</v>
      </c>
      <c r="C45" s="62">
        <f>SQRT((2*Table1[[#This Row],[Number Of Products Sold]]*Table1[[#This Row],[Costs]])/(0.3*Table1[[#This Row],[Price]]))</f>
        <v>493.03789190471633</v>
      </c>
      <c r="D45" s="2">
        <v>85</v>
      </c>
      <c r="E45" s="62">
        <f>Table1[[#This Row],[Number Of Products Sold]]/Table1[[#This Row],[EOQ]]</f>
        <v>1.2128885219953205</v>
      </c>
      <c r="F45" s="62">
        <f>360/Table1[[#This Row],[Optimum No of Orders]]</f>
        <v>296.81210883895966</v>
      </c>
      <c r="H45" s="100"/>
      <c r="I45" s="100"/>
      <c r="J45" s="100"/>
      <c r="W45" s="114">
        <v>156.79914569601979</v>
      </c>
      <c r="X45" s="114">
        <v>89.069723117694977</v>
      </c>
      <c r="Y45" s="111">
        <v>390.06726162547869</v>
      </c>
      <c r="Z45" s="111">
        <v>95.040125420748154</v>
      </c>
      <c r="AA45" s="111">
        <v>266.45553911515208</v>
      </c>
    </row>
    <row r="46" spans="1:27" x14ac:dyDescent="0.3">
      <c r="A46" s="15" t="s">
        <v>98</v>
      </c>
      <c r="B46" s="15" t="s">
        <v>61</v>
      </c>
      <c r="C46" s="98">
        <f>SQRT((2*Table1[[#This Row],[Number Of Products Sold]]*Table1[[#This Row],[Costs]])/(0.3*Table1[[#This Row],[Price]]))</f>
        <v>269.86317600373729</v>
      </c>
      <c r="D46" s="15">
        <v>72</v>
      </c>
      <c r="E46" s="98">
        <f>Table1[[#This Row],[Number Of Products Sold]]/Table1[[#This Row],[EOQ]]</f>
        <v>3.4054294239361984</v>
      </c>
      <c r="F46" s="98">
        <f>360/Table1[[#This Row],[Optimum No of Orders]]</f>
        <v>105.71354011027793</v>
      </c>
      <c r="H46" s="100"/>
      <c r="I46" s="100"/>
      <c r="J46" s="100"/>
      <c r="W46" s="114">
        <v>125.70330409395962</v>
      </c>
      <c r="X46" s="114">
        <v>92.660430609576963</v>
      </c>
      <c r="Y46" s="113">
        <v>129.19944293557208</v>
      </c>
      <c r="Z46" s="111">
        <v>211.63632615943146</v>
      </c>
      <c r="AA46" s="113">
        <v>568.84188911449189</v>
      </c>
    </row>
    <row r="47" spans="1:27" x14ac:dyDescent="0.3">
      <c r="A47" s="2" t="s">
        <v>99</v>
      </c>
      <c r="B47" s="2" t="s">
        <v>61</v>
      </c>
      <c r="C47" s="62">
        <f>SQRT((2*Table1[[#This Row],[Number Of Products Sold]]*Table1[[#This Row],[Costs]])/(0.3*Table1[[#This Row],[Price]]))</f>
        <v>48.432872970564532</v>
      </c>
      <c r="D47" s="2">
        <v>52</v>
      </c>
      <c r="E47" s="62">
        <f>Table1[[#This Row],[Number Of Products Sold]]/Table1[[#This Row],[EOQ]]</f>
        <v>0.4955312069673462</v>
      </c>
      <c r="F47" s="62">
        <f>360/Table1[[#This Row],[Optimum No of Orders]]</f>
        <v>726.49309455846799</v>
      </c>
      <c r="H47" s="100"/>
      <c r="I47" s="100"/>
      <c r="J47" s="100"/>
      <c r="W47" s="114">
        <v>87.671961387542282</v>
      </c>
      <c r="X47" s="114">
        <v>519.25255320254519</v>
      </c>
      <c r="Y47" s="111"/>
      <c r="Z47" s="111">
        <v>251.62415726340731</v>
      </c>
      <c r="AA47" s="111">
        <v>146.70296737620012</v>
      </c>
    </row>
    <row r="48" spans="1:27" x14ac:dyDescent="0.3">
      <c r="A48" s="15" t="s">
        <v>100</v>
      </c>
      <c r="B48" s="15" t="s">
        <v>28</v>
      </c>
      <c r="C48" s="98">
        <f>SQRT((2*Table1[[#This Row],[Number Of Products Sold]]*Table1[[#This Row],[Costs]])/(0.3*Table1[[#This Row],[Price]]))</f>
        <v>283.62838471825216</v>
      </c>
      <c r="D48" s="15">
        <v>6</v>
      </c>
      <c r="E48" s="98">
        <f>Table1[[#This Row],[Number Of Products Sold]]/Table1[[#This Row],[EOQ]]</f>
        <v>3.0286108382745422</v>
      </c>
      <c r="F48" s="98">
        <f>360/Table1[[#This Row],[Optimum No of Orders]]</f>
        <v>118.86637776317902</v>
      </c>
      <c r="H48" s="100"/>
      <c r="I48" s="100"/>
      <c r="J48" s="100"/>
      <c r="W48" s="114">
        <v>81.221004420092171</v>
      </c>
      <c r="X48" s="114">
        <v>152.27683000371678</v>
      </c>
      <c r="Y48" s="113"/>
      <c r="Z48" s="100"/>
      <c r="AA48" s="113">
        <v>42.718549690285421</v>
      </c>
    </row>
    <row r="49" spans="1:28" x14ac:dyDescent="0.3">
      <c r="A49" s="2" t="s">
        <v>101</v>
      </c>
      <c r="B49" s="2" t="s">
        <v>39</v>
      </c>
      <c r="C49" s="62">
        <f>SQRT((2*Table1[[#This Row],[Number Of Products Sold]]*Table1[[#This Row],[Costs]])/(0.3*Table1[[#This Row],[Price]]))</f>
        <v>192.00150851939713</v>
      </c>
      <c r="D49" s="2">
        <v>51</v>
      </c>
      <c r="E49" s="62">
        <f>Table1[[#This Row],[Number Of Products Sold]]/Table1[[#This Row],[EOQ]]</f>
        <v>4.739546095326987</v>
      </c>
      <c r="F49" s="62">
        <f>360/Table1[[#This Row],[Optimum No of Orders]]</f>
        <v>75.95664073294833</v>
      </c>
      <c r="H49" s="100"/>
      <c r="I49" s="100"/>
      <c r="J49" s="100"/>
      <c r="W49" s="114">
        <v>28.565696278551766</v>
      </c>
      <c r="X49" s="114">
        <v>278.52997247850965</v>
      </c>
      <c r="Y49" s="111"/>
      <c r="Z49" s="100"/>
      <c r="AA49" s="111">
        <v>521.36135004068217</v>
      </c>
    </row>
    <row r="50" spans="1:28" x14ac:dyDescent="0.3">
      <c r="A50" s="15" t="s">
        <v>102</v>
      </c>
      <c r="B50" s="15" t="s">
        <v>61</v>
      </c>
      <c r="C50" s="98">
        <f>SQRT((2*Table1[[#This Row],[Number Of Products Sold]]*Table1[[#This Row],[Costs]])/(0.3*Table1[[#This Row],[Price]]))</f>
        <v>44.208919029888939</v>
      </c>
      <c r="D50" s="15">
        <v>9</v>
      </c>
      <c r="E50" s="98">
        <f>Table1[[#This Row],[Number Of Products Sold]]/Table1[[#This Row],[EOQ]]</f>
        <v>0.65597622914945208</v>
      </c>
      <c r="F50" s="98">
        <f>360/Table1[[#This Row],[Optimum No of Orders]]</f>
        <v>548.80037416413859</v>
      </c>
      <c r="H50" s="100"/>
      <c r="I50" s="100"/>
      <c r="J50" s="100"/>
      <c r="W50" s="114">
        <v>154.75742136892501</v>
      </c>
      <c r="X50" s="114">
        <v>82.360260401419453</v>
      </c>
      <c r="Y50" s="113"/>
      <c r="Z50" s="111"/>
      <c r="AA50" s="113"/>
    </row>
    <row r="51" spans="1:28" x14ac:dyDescent="0.3">
      <c r="A51" s="2" t="s">
        <v>103</v>
      </c>
      <c r="B51" s="2" t="s">
        <v>44</v>
      </c>
      <c r="C51" s="62">
        <f>SQRT((2*Table1[[#This Row],[Number Of Products Sold]]*Table1[[#This Row],[Costs]])/(0.3*Table1[[#This Row],[Price]]))</f>
        <v>53.086412583600584</v>
      </c>
      <c r="D51" s="2">
        <v>9</v>
      </c>
      <c r="E51" s="62">
        <f>Table1[[#This Row],[Number Of Products Sold]]/Table1[[#This Row],[EOQ]]</f>
        <v>1.864883972788604</v>
      </c>
      <c r="F51" s="62">
        <f>360/Table1[[#This Row],[Optimum No of Orders]]</f>
        <v>193.04150030400214</v>
      </c>
      <c r="H51" s="100"/>
      <c r="I51" s="100"/>
      <c r="J51" s="100"/>
      <c r="W51" s="114">
        <v>81.454010395155933</v>
      </c>
      <c r="X51" s="114">
        <v>94.196862091589068</v>
      </c>
      <c r="Y51" s="111"/>
      <c r="Z51" s="111"/>
      <c r="AA51" s="111"/>
      <c r="AB51" s="102"/>
    </row>
    <row r="52" spans="1:28" x14ac:dyDescent="0.3">
      <c r="A52" s="15" t="s">
        <v>104</v>
      </c>
      <c r="B52" s="15" t="s">
        <v>61</v>
      </c>
      <c r="C52" s="98">
        <f>SQRT((2*Table1[[#This Row],[Number Of Products Sold]]*Table1[[#This Row],[Costs]])/(0.3*Table1[[#This Row],[Price]]))</f>
        <v>383.97986141156377</v>
      </c>
      <c r="D52" s="15">
        <v>82</v>
      </c>
      <c r="E52" s="98">
        <f>Table1[[#This Row],[Number Of Products Sold]]/Table1[[#This Row],[EOQ]]</f>
        <v>1.6485239555871585</v>
      </c>
      <c r="F52" s="98">
        <f>360/Table1[[#This Row],[Optimum No of Orders]]</f>
        <v>218.37717236676613</v>
      </c>
      <c r="H52" s="100"/>
      <c r="I52" s="100"/>
      <c r="J52" s="100"/>
      <c r="W52" s="114">
        <v>188.4612593975578</v>
      </c>
      <c r="X52" s="114">
        <v>113.38691010476025</v>
      </c>
      <c r="Y52" s="113"/>
      <c r="Z52" s="111"/>
      <c r="AA52" s="113"/>
      <c r="AB52" s="101"/>
    </row>
    <row r="53" spans="1:28" x14ac:dyDescent="0.3">
      <c r="A53" s="2" t="s">
        <v>105</v>
      </c>
      <c r="B53" s="2" t="s">
        <v>44</v>
      </c>
      <c r="C53" s="62">
        <f>SQRT((2*Table1[[#This Row],[Number Of Products Sold]]*Table1[[#This Row],[Costs]])/(0.3*Table1[[#This Row],[Price]]))</f>
        <v>163.47064978157408</v>
      </c>
      <c r="D53" s="2">
        <v>52</v>
      </c>
      <c r="E53" s="62">
        <f>Table1[[#This Row],[Number Of Products Sold]]/Table1[[#This Row],[EOQ]]</f>
        <v>0.94206513649864021</v>
      </c>
      <c r="F53" s="62">
        <f>360/Table1[[#This Row],[Optimum No of Orders]]</f>
        <v>382.13918130757577</v>
      </c>
      <c r="H53" s="100"/>
      <c r="I53" s="100"/>
      <c r="J53" s="100"/>
      <c r="W53" s="114">
        <v>209.29903219434954</v>
      </c>
      <c r="X53" s="100"/>
      <c r="Y53" s="111"/>
      <c r="Z53" s="111"/>
      <c r="AA53" s="111"/>
      <c r="AB53" s="102"/>
    </row>
    <row r="54" spans="1:28" x14ac:dyDescent="0.3">
      <c r="A54" s="15" t="s">
        <v>106</v>
      </c>
      <c r="B54" s="15" t="s">
        <v>39</v>
      </c>
      <c r="C54" s="98">
        <f>SQRT((2*Table1[[#This Row],[Number Of Products Sold]]*Table1[[#This Row],[Costs]])/(0.3*Table1[[#This Row],[Price]]))</f>
        <v>183.35799179106661</v>
      </c>
      <c r="D54" s="15">
        <v>11</v>
      </c>
      <c r="E54" s="98">
        <f>Table1[[#This Row],[Number Of Products Sold]]/Table1[[#This Row],[EOQ]]</f>
        <v>4.4721257687768334</v>
      </c>
      <c r="F54" s="98">
        <f>360/Table1[[#This Row],[Optimum No of Orders]]</f>
        <v>80.498630542419477</v>
      </c>
      <c r="H54" s="100"/>
      <c r="I54" s="100"/>
      <c r="J54" s="100"/>
      <c r="W54" s="114">
        <v>140.15968567135087</v>
      </c>
      <c r="X54" s="114"/>
      <c r="Y54" s="113"/>
      <c r="Z54" s="111"/>
      <c r="AA54" s="113"/>
      <c r="AB54" s="101"/>
    </row>
    <row r="55" spans="1:28" x14ac:dyDescent="0.3">
      <c r="A55" s="2" t="s">
        <v>107</v>
      </c>
      <c r="B55" s="2" t="s">
        <v>39</v>
      </c>
      <c r="C55" s="62">
        <f>SQRT((2*Table1[[#This Row],[Number Of Products Sold]]*Table1[[#This Row],[Costs]])/(0.3*Table1[[#This Row],[Price]]))</f>
        <v>199.79650772861365</v>
      </c>
      <c r="D55" s="2">
        <v>54</v>
      </c>
      <c r="E55" s="62">
        <f>Table1[[#This Row],[Number Of Products Sold]]/Table1[[#This Row],[EOQ]]</f>
        <v>1.211232382143095</v>
      </c>
      <c r="F55" s="62">
        <f>360/Table1[[#This Row],[Optimum No of Orders]]</f>
        <v>297.2179453814087</v>
      </c>
      <c r="H55" s="100"/>
      <c r="I55" s="100"/>
      <c r="J55" s="100"/>
      <c r="W55" s="114">
        <v>68.767169556649364</v>
      </c>
      <c r="X55" s="114"/>
      <c r="Y55" s="111"/>
      <c r="Z55" s="111"/>
      <c r="AA55" s="111"/>
    </row>
    <row r="56" spans="1:28" x14ac:dyDescent="0.3">
      <c r="A56" s="15" t="s">
        <v>108</v>
      </c>
      <c r="B56" s="15" t="s">
        <v>39</v>
      </c>
      <c r="C56" s="98">
        <f>SQRT((2*Table1[[#This Row],[Number Of Products Sold]]*Table1[[#This Row],[Costs]])/(0.3*Table1[[#This Row],[Price]]))</f>
        <v>329.21347444155242</v>
      </c>
      <c r="D56" s="15">
        <v>61</v>
      </c>
      <c r="E56" s="98">
        <f>Table1[[#This Row],[Number Of Products Sold]]/Table1[[#This Row],[EOQ]]</f>
        <v>1.8893515857912675</v>
      </c>
      <c r="F56" s="98">
        <f>360/Table1[[#This Row],[Optimum No of Orders]]</f>
        <v>190.54156077003034</v>
      </c>
      <c r="W56" s="30"/>
      <c r="X56" s="112"/>
      <c r="Y56" s="110"/>
      <c r="Z56" s="113"/>
    </row>
    <row r="57" spans="1:28" x14ac:dyDescent="0.3">
      <c r="A57" s="2" t="s">
        <v>109</v>
      </c>
      <c r="B57" s="2" t="s">
        <v>61</v>
      </c>
      <c r="C57" s="62">
        <f>SQRT((2*Table1[[#This Row],[Number Of Products Sold]]*Table1[[#This Row],[Costs]])/(0.3*Table1[[#This Row],[Price]]))</f>
        <v>137.49031786985719</v>
      </c>
      <c r="D57" s="2">
        <v>11</v>
      </c>
      <c r="E57" s="62">
        <f>Table1[[#This Row],[Number Of Products Sold]]/Table1[[#This Row],[EOQ]]</f>
        <v>5.0985408344428906</v>
      </c>
      <c r="F57" s="62">
        <f>360/Table1[[#This Row],[Optimum No of Orders]]</f>
        <v>70.608437137159186</v>
      </c>
      <c r="W57" s="30"/>
      <c r="X57" s="110"/>
      <c r="Y57" s="110"/>
      <c r="Z57" s="111"/>
    </row>
    <row r="58" spans="1:28" x14ac:dyDescent="0.3">
      <c r="A58" s="15" t="s">
        <v>110</v>
      </c>
      <c r="B58" s="15" t="s">
        <v>39</v>
      </c>
      <c r="C58" s="98">
        <f>SQRT((2*Table1[[#This Row],[Number Of Products Sold]]*Table1[[#This Row],[Costs]])/(0.3*Table1[[#This Row],[Price]]))</f>
        <v>156.79914569601979</v>
      </c>
      <c r="D58" s="15">
        <v>83</v>
      </c>
      <c r="E58" s="98">
        <f>Table1[[#This Row],[Number Of Products Sold]]/Table1[[#This Row],[EOQ]]</f>
        <v>0.59311547640887896</v>
      </c>
      <c r="F58" s="98">
        <f>360/Table1[[#This Row],[Optimum No of Orders]]</f>
        <v>606.96443495233461</v>
      </c>
      <c r="H58" s="101"/>
      <c r="I58" s="102"/>
      <c r="J58" s="101"/>
      <c r="W58" s="30"/>
      <c r="X58" s="112"/>
      <c r="Y58" s="110"/>
      <c r="Z58" s="113"/>
    </row>
    <row r="59" spans="1:28" x14ac:dyDescent="0.3">
      <c r="A59" s="2" t="s">
        <v>111</v>
      </c>
      <c r="B59" s="2" t="s">
        <v>61</v>
      </c>
      <c r="C59" s="62">
        <f>SQRT((2*Table1[[#This Row],[Number Of Products Sold]]*Table1[[#This Row],[Costs]])/(0.3*Table1[[#This Row],[Price]]))</f>
        <v>121.70701850151119</v>
      </c>
      <c r="D59" s="2">
        <v>51</v>
      </c>
      <c r="E59" s="62">
        <f>Table1[[#This Row],[Number Of Products Sold]]/Table1[[#This Row],[EOQ]]</f>
        <v>1.8651348360586242</v>
      </c>
      <c r="F59" s="62">
        <f>360/Table1[[#This Row],[Optimum No of Orders]]</f>
        <v>193.01553594953316</v>
      </c>
      <c r="H59" s="100"/>
      <c r="I59" s="100"/>
      <c r="J59" s="100"/>
      <c r="X59" s="105"/>
      <c r="Y59" s="105"/>
      <c r="Z59" s="107"/>
    </row>
    <row r="60" spans="1:28" x14ac:dyDescent="0.3">
      <c r="A60" s="15" t="s">
        <v>112</v>
      </c>
      <c r="B60" s="15" t="s">
        <v>28</v>
      </c>
      <c r="C60" s="98">
        <f>SQRT((2*Table1[[#This Row],[Number Of Products Sold]]*Table1[[#This Row],[Costs]])/(0.3*Table1[[#This Row],[Price]]))</f>
        <v>104.95938875771772</v>
      </c>
      <c r="D60" s="15">
        <v>44</v>
      </c>
      <c r="E60" s="98">
        <f>Table1[[#This Row],[Number Of Products Sold]]/Table1[[#This Row],[EOQ]]</f>
        <v>8.536635079576115</v>
      </c>
      <c r="F60" s="98">
        <f>360/Table1[[#This Row],[Optimum No of Orders]]</f>
        <v>42.171182983011583</v>
      </c>
      <c r="H60" s="100"/>
      <c r="I60" s="100"/>
      <c r="J60" s="100"/>
      <c r="X60" s="104"/>
      <c r="Y60" s="105"/>
      <c r="Z60" s="106"/>
    </row>
    <row r="61" spans="1:28" x14ac:dyDescent="0.3">
      <c r="A61" s="2" t="s">
        <v>113</v>
      </c>
      <c r="B61" s="2" t="s">
        <v>39</v>
      </c>
      <c r="C61" s="62">
        <f>SQRT((2*Table1[[#This Row],[Number Of Products Sold]]*Table1[[#This Row],[Costs]])/(0.3*Table1[[#This Row],[Price]]))</f>
        <v>125.70330409395962</v>
      </c>
      <c r="D61" s="2">
        <v>26</v>
      </c>
      <c r="E61" s="62">
        <f>Table1[[#This Row],[Number Of Products Sold]]/Table1[[#This Row],[EOQ]]</f>
        <v>3.8503363415031946</v>
      </c>
      <c r="F61" s="62">
        <f>360/Table1[[#This Row],[Optimum No of Orders]]</f>
        <v>93.498325359143507</v>
      </c>
      <c r="H61" s="100"/>
      <c r="I61" s="100"/>
      <c r="J61" s="100"/>
      <c r="X61" s="105"/>
      <c r="Y61" s="105"/>
      <c r="Z61" s="107"/>
    </row>
    <row r="62" spans="1:28" x14ac:dyDescent="0.3">
      <c r="A62" s="15" t="s">
        <v>114</v>
      </c>
      <c r="B62" s="15" t="s">
        <v>52</v>
      </c>
      <c r="C62" s="98">
        <f>SQRT((2*Table1[[#This Row],[Number Of Products Sold]]*Table1[[#This Row],[Costs]])/(0.3*Table1[[#This Row],[Price]]))</f>
        <v>252.97848992950898</v>
      </c>
      <c r="D62" s="15">
        <v>72</v>
      </c>
      <c r="E62" s="98">
        <f>Table1[[#This Row],[Number Of Products Sold]]/Table1[[#This Row],[EOQ]]</f>
        <v>1.502103993528797</v>
      </c>
      <c r="F62" s="98">
        <f>360/Table1[[#This Row],[Optimum No of Orders]]</f>
        <v>239.66383256479799</v>
      </c>
      <c r="H62" s="100"/>
      <c r="I62" s="100"/>
      <c r="J62" s="100"/>
      <c r="X62" s="104"/>
      <c r="Y62" s="105"/>
      <c r="Z62" s="106"/>
    </row>
    <row r="63" spans="1:28" x14ac:dyDescent="0.3">
      <c r="A63" s="2" t="s">
        <v>115</v>
      </c>
      <c r="B63" s="2" t="s">
        <v>52</v>
      </c>
      <c r="C63" s="62">
        <f>SQRT((2*Table1[[#This Row],[Number Of Products Sold]]*Table1[[#This Row],[Costs]])/(0.3*Table1[[#This Row],[Price]]))</f>
        <v>49.640059887156525</v>
      </c>
      <c r="D63" s="2">
        <v>36</v>
      </c>
      <c r="E63" s="62">
        <f>Table1[[#This Row],[Number Of Products Sold]]/Table1[[#This Row],[EOQ]]</f>
        <v>2.3569673418196593</v>
      </c>
      <c r="F63" s="62">
        <f>360/Table1[[#This Row],[Optimum No of Orders]]</f>
        <v>152.73864580663545</v>
      </c>
      <c r="H63" s="100"/>
      <c r="I63" s="100"/>
      <c r="J63" s="100"/>
      <c r="X63" s="105"/>
      <c r="Y63" s="105"/>
      <c r="Z63" s="107"/>
    </row>
    <row r="64" spans="1:28" x14ac:dyDescent="0.3">
      <c r="A64" s="15" t="s">
        <v>116</v>
      </c>
      <c r="B64" s="15" t="s">
        <v>61</v>
      </c>
      <c r="C64" s="98">
        <f>SQRT((2*Table1[[#This Row],[Number Of Products Sold]]*Table1[[#This Row],[Costs]])/(0.3*Table1[[#This Row],[Price]]))</f>
        <v>89.069723117694977</v>
      </c>
      <c r="D64" s="15">
        <v>40</v>
      </c>
      <c r="E64" s="98">
        <f>Table1[[#This Row],[Number Of Products Sold]]/Table1[[#This Row],[EOQ]]</f>
        <v>3.0313331011844205</v>
      </c>
      <c r="F64" s="98">
        <f>360/Table1[[#This Row],[Optimum No of Orders]]</f>
        <v>118.75963082359331</v>
      </c>
      <c r="H64" s="100"/>
      <c r="I64" s="100"/>
      <c r="J64" s="100"/>
      <c r="X64" s="104"/>
      <c r="Y64" s="105"/>
      <c r="Z64" s="106"/>
    </row>
    <row r="65" spans="1:26" x14ac:dyDescent="0.3">
      <c r="A65" s="2" t="s">
        <v>117</v>
      </c>
      <c r="B65" s="2" t="s">
        <v>28</v>
      </c>
      <c r="C65" s="62">
        <f>SQRT((2*Table1[[#This Row],[Number Of Products Sold]]*Table1[[#This Row],[Costs]])/(0.3*Table1[[#This Row],[Price]]))</f>
        <v>294.25848261321698</v>
      </c>
      <c r="D65" s="2">
        <v>10</v>
      </c>
      <c r="E65" s="62">
        <f>Table1[[#This Row],[Number Of Products Sold]]/Table1[[#This Row],[EOQ]]</f>
        <v>0.83599968916903067</v>
      </c>
      <c r="F65" s="62">
        <f>360/Table1[[#This Row],[Optimum No of Orders]]</f>
        <v>430.6221696778785</v>
      </c>
      <c r="H65" s="100"/>
      <c r="I65" s="100"/>
      <c r="J65" s="100"/>
      <c r="X65" s="105"/>
      <c r="Y65" s="105"/>
      <c r="Z65" s="107"/>
    </row>
    <row r="66" spans="1:26" x14ac:dyDescent="0.3">
      <c r="A66" s="15" t="s">
        <v>118</v>
      </c>
      <c r="B66" s="15" t="s">
        <v>39</v>
      </c>
      <c r="C66" s="98">
        <f>SQRT((2*Table1[[#This Row],[Number Of Products Sold]]*Table1[[#This Row],[Costs]])/(0.3*Table1[[#This Row],[Price]]))</f>
        <v>87.671961387542282</v>
      </c>
      <c r="D66" s="15">
        <v>75</v>
      </c>
      <c r="E66" s="98">
        <f>Table1[[#This Row],[Number Of Products Sold]]/Table1[[#This Row],[EOQ]]</f>
        <v>1.5284247994369691</v>
      </c>
      <c r="F66" s="98">
        <f>360/Table1[[#This Row],[Optimum No of Orders]]</f>
        <v>235.5366126829494</v>
      </c>
      <c r="H66" s="100"/>
      <c r="I66" s="100"/>
      <c r="J66" s="100"/>
      <c r="X66" s="104"/>
      <c r="Y66" s="105"/>
      <c r="Z66" s="106"/>
    </row>
    <row r="67" spans="1:26" x14ac:dyDescent="0.3">
      <c r="A67" s="2" t="s">
        <v>119</v>
      </c>
      <c r="B67" s="2" t="s">
        <v>44</v>
      </c>
      <c r="C67" s="62">
        <f>SQRT((2*Table1[[#This Row],[Number Of Products Sold]]*Table1[[#This Row],[Costs]])/(0.3*Table1[[#This Row],[Price]]))</f>
        <v>224.1788263848876</v>
      </c>
      <c r="D67" s="2">
        <v>54</v>
      </c>
      <c r="E67" s="62">
        <f>Table1[[#This Row],[Number Of Products Sold]]/Table1[[#This Row],[EOQ]]</f>
        <v>2.0385511306736301</v>
      </c>
      <c r="F67" s="62">
        <f>360/Table1[[#This Row],[Optimum No of Orders]]</f>
        <v>176.59601203185892</v>
      </c>
      <c r="H67" s="100"/>
      <c r="I67" s="100"/>
      <c r="J67" s="100"/>
      <c r="X67" s="104"/>
      <c r="Y67" s="105"/>
      <c r="Z67" s="106"/>
    </row>
    <row r="68" spans="1:26" x14ac:dyDescent="0.3">
      <c r="A68" s="15" t="s">
        <v>120</v>
      </c>
      <c r="B68" s="15" t="s">
        <v>44</v>
      </c>
      <c r="C68" s="98">
        <f>SQRT((2*Table1[[#This Row],[Number Of Products Sold]]*Table1[[#This Row],[Costs]])/(0.3*Table1[[#This Row],[Price]]))</f>
        <v>266.45553911515208</v>
      </c>
      <c r="D68" s="15">
        <v>19</v>
      </c>
      <c r="E68" s="98">
        <f>Table1[[#This Row],[Number Of Products Sold]]/Table1[[#This Row],[EOQ]]</f>
        <v>2.642091818912264</v>
      </c>
      <c r="F68" s="98">
        <f>360/Table1[[#This Row],[Optimum No of Orders]]</f>
        <v>136.25567341115729</v>
      </c>
      <c r="H68" s="100"/>
      <c r="I68" s="100"/>
      <c r="J68" s="100"/>
      <c r="X68" s="105"/>
      <c r="Y68" s="105"/>
      <c r="Z68" s="107"/>
    </row>
    <row r="69" spans="1:26" x14ac:dyDescent="0.3">
      <c r="A69" s="2" t="s">
        <v>121</v>
      </c>
      <c r="B69" s="2" t="s">
        <v>39</v>
      </c>
      <c r="C69" s="62">
        <f>SQRT((2*Table1[[#This Row],[Number Of Products Sold]]*Table1[[#This Row],[Costs]])/(0.3*Table1[[#This Row],[Price]]))</f>
        <v>81.221004420092171</v>
      </c>
      <c r="D69" s="2">
        <v>71</v>
      </c>
      <c r="E69" s="62">
        <f>Table1[[#This Row],[Number Of Products Sold]]/Table1[[#This Row],[EOQ]]</f>
        <v>6.3161001721507377</v>
      </c>
      <c r="F69" s="62">
        <f>360/Table1[[#This Row],[Optimum No of Orders]]</f>
        <v>56.99719608427521</v>
      </c>
      <c r="H69" s="100"/>
      <c r="I69" s="100"/>
      <c r="J69" s="100"/>
      <c r="X69" s="105"/>
      <c r="Y69" s="105"/>
      <c r="Z69" s="107"/>
    </row>
    <row r="70" spans="1:26" x14ac:dyDescent="0.3">
      <c r="A70" s="15" t="s">
        <v>122</v>
      </c>
      <c r="B70" s="15" t="s">
        <v>61</v>
      </c>
      <c r="C70" s="98">
        <f>SQRT((2*Table1[[#This Row],[Number Of Products Sold]]*Table1[[#This Row],[Costs]])/(0.3*Table1[[#This Row],[Price]]))</f>
        <v>92.660430609576963</v>
      </c>
      <c r="D70" s="15">
        <v>58</v>
      </c>
      <c r="E70" s="98">
        <f>Table1[[#This Row],[Number Of Products Sold]]/Table1[[#This Row],[EOQ]]</f>
        <v>1.7591111861631372</v>
      </c>
      <c r="F70" s="98">
        <f>360/Table1[[#This Row],[Optimum No of Orders]]</f>
        <v>204.64880380029268</v>
      </c>
      <c r="H70" s="100"/>
      <c r="I70" s="100"/>
      <c r="J70" s="100"/>
      <c r="X70" s="104"/>
      <c r="Y70" s="105"/>
      <c r="Z70" s="106"/>
    </row>
    <row r="71" spans="1:26" x14ac:dyDescent="0.3">
      <c r="A71" s="2" t="s">
        <v>123</v>
      </c>
      <c r="B71" s="2" t="s">
        <v>52</v>
      </c>
      <c r="C71" s="62">
        <f>SQRT((2*Table1[[#This Row],[Number Of Products Sold]]*Table1[[#This Row],[Costs]])/(0.3*Table1[[#This Row],[Price]]))</f>
        <v>113.55200695735081</v>
      </c>
      <c r="D71" s="2">
        <v>27</v>
      </c>
      <c r="E71" s="62">
        <f>Table1[[#This Row],[Number Of Products Sold]]/Table1[[#This Row],[EOQ]]</f>
        <v>4.5001406288831811</v>
      </c>
      <c r="F71" s="62">
        <f>360/Table1[[#This Row],[Optimum No of Orders]]</f>
        <v>79.997500009092548</v>
      </c>
      <c r="H71" s="100"/>
      <c r="I71" s="100"/>
      <c r="J71" s="100"/>
      <c r="X71" s="105"/>
      <c r="Y71" s="105"/>
      <c r="Z71" s="107"/>
    </row>
    <row r="72" spans="1:26" x14ac:dyDescent="0.3">
      <c r="A72" s="15" t="s">
        <v>124</v>
      </c>
      <c r="B72" s="15" t="s">
        <v>39</v>
      </c>
      <c r="C72" s="98">
        <f>SQRT((2*Table1[[#This Row],[Number Of Products Sold]]*Table1[[#This Row],[Costs]])/(0.3*Table1[[#This Row],[Price]]))</f>
        <v>28.565696278551766</v>
      </c>
      <c r="D72" s="15">
        <v>22</v>
      </c>
      <c r="E72" s="98">
        <f>Table1[[#This Row],[Number Of Products Sold]]/Table1[[#This Row],[EOQ]]</f>
        <v>1.1202247509726149</v>
      </c>
      <c r="F72" s="98">
        <f>360/Table1[[#This Row],[Optimum No of Orders]]</f>
        <v>321.36408313370731</v>
      </c>
      <c r="H72" s="100"/>
      <c r="I72" s="100"/>
      <c r="J72" s="100"/>
      <c r="X72" s="105"/>
      <c r="Y72" s="105"/>
      <c r="Z72" s="107"/>
    </row>
    <row r="73" spans="1:26" x14ac:dyDescent="0.3">
      <c r="A73" s="2" t="s">
        <v>125</v>
      </c>
      <c r="B73" s="2" t="s">
        <v>61</v>
      </c>
      <c r="C73" s="62">
        <f>SQRT((2*Table1[[#This Row],[Number Of Products Sold]]*Table1[[#This Row],[Costs]])/(0.3*Table1[[#This Row],[Price]]))</f>
        <v>519.25255320254519</v>
      </c>
      <c r="D73" s="2">
        <v>26</v>
      </c>
      <c r="E73" s="62">
        <f>Table1[[#This Row],[Number Of Products Sold]]/Table1[[#This Row],[EOQ]]</f>
        <v>1.2267633467976902</v>
      </c>
      <c r="F73" s="62">
        <f>360/Table1[[#This Row],[Optimum No of Orders]]</f>
        <v>293.45513210818882</v>
      </c>
      <c r="H73" s="100"/>
      <c r="I73" s="100"/>
      <c r="J73" s="100"/>
      <c r="X73" s="104"/>
      <c r="Y73" s="105"/>
      <c r="Z73" s="106"/>
    </row>
    <row r="74" spans="1:26" x14ac:dyDescent="0.3">
      <c r="A74" s="15" t="s">
        <v>126</v>
      </c>
      <c r="B74" s="15" t="s">
        <v>39</v>
      </c>
      <c r="C74" s="98">
        <f>SQRT((2*Table1[[#This Row],[Number Of Products Sold]]*Table1[[#This Row],[Costs]])/(0.3*Table1[[#This Row],[Price]]))</f>
        <v>154.75742136892501</v>
      </c>
      <c r="D74" s="15">
        <v>77</v>
      </c>
      <c r="E74" s="98">
        <f>Table1[[#This Row],[Number Of Products Sold]]/Table1[[#This Row],[EOQ]]</f>
        <v>3.0887048632097556</v>
      </c>
      <c r="F74" s="98">
        <f>360/Table1[[#This Row],[Optimum No of Orders]]</f>
        <v>116.55370647032008</v>
      </c>
      <c r="H74" s="100"/>
      <c r="I74" s="100"/>
      <c r="J74" s="100"/>
      <c r="X74" s="105"/>
      <c r="Y74" s="105"/>
      <c r="Z74" s="107"/>
    </row>
    <row r="75" spans="1:26" x14ac:dyDescent="0.3">
      <c r="A75" s="2" t="s">
        <v>127</v>
      </c>
      <c r="B75" s="2" t="s">
        <v>52</v>
      </c>
      <c r="C75" s="62">
        <f>SQRT((2*Table1[[#This Row],[Number Of Products Sold]]*Table1[[#This Row],[Costs]])/(0.3*Table1[[#This Row],[Price]]))</f>
        <v>160.72865202200751</v>
      </c>
      <c r="D75" s="2">
        <v>66</v>
      </c>
      <c r="E75" s="62">
        <f>Table1[[#This Row],[Number Of Products Sold]]/Table1[[#This Row],[EOQ]]</f>
        <v>2.3331247744717833</v>
      </c>
      <c r="F75" s="62">
        <f>360/Table1[[#This Row],[Optimum No of Orders]]</f>
        <v>154.29950594112719</v>
      </c>
      <c r="H75" s="100"/>
      <c r="I75" s="100"/>
      <c r="J75" s="100"/>
      <c r="X75" s="104"/>
      <c r="Y75" s="105"/>
      <c r="Z75" s="106"/>
    </row>
    <row r="76" spans="1:26" x14ac:dyDescent="0.3">
      <c r="A76" s="15" t="s">
        <v>128</v>
      </c>
      <c r="B76" s="15" t="s">
        <v>52</v>
      </c>
      <c r="C76" s="98">
        <f>SQRT((2*Table1[[#This Row],[Number Of Products Sold]]*Table1[[#This Row],[Costs]])/(0.3*Table1[[#This Row],[Price]]))</f>
        <v>805.81807878567895</v>
      </c>
      <c r="D76" s="15">
        <v>1</v>
      </c>
      <c r="E76" s="98">
        <f>Table1[[#This Row],[Number Of Products Sold]]/Table1[[#This Row],[EOQ]]</f>
        <v>1.1218412986741071</v>
      </c>
      <c r="F76" s="98">
        <f>360/Table1[[#This Row],[Optimum No of Orders]]</f>
        <v>320.90100482615532</v>
      </c>
      <c r="H76" s="100"/>
      <c r="I76" s="100"/>
      <c r="J76" s="100"/>
      <c r="X76" s="105"/>
      <c r="Y76" s="105"/>
      <c r="Z76" s="107"/>
    </row>
    <row r="77" spans="1:26" x14ac:dyDescent="0.3">
      <c r="A77" s="2" t="s">
        <v>129</v>
      </c>
      <c r="B77" s="2" t="s">
        <v>39</v>
      </c>
      <c r="C77" s="62">
        <f>SQRT((2*Table1[[#This Row],[Number Of Products Sold]]*Table1[[#This Row],[Costs]])/(0.3*Table1[[#This Row],[Price]]))</f>
        <v>81.454010395155933</v>
      </c>
      <c r="D77" s="2">
        <v>56</v>
      </c>
      <c r="E77" s="62">
        <f>Table1[[#This Row],[Number Of Products Sold]]/Table1[[#This Row],[EOQ]]</f>
        <v>1.3013478340202611</v>
      </c>
      <c r="F77" s="62">
        <f>360/Table1[[#This Row],[Optimum No of Orders]]</f>
        <v>276.63626171939751</v>
      </c>
      <c r="H77" s="100"/>
      <c r="I77" s="100"/>
      <c r="J77" s="100"/>
      <c r="X77" s="104"/>
      <c r="Y77" s="105"/>
      <c r="Z77" s="106"/>
    </row>
    <row r="78" spans="1:26" x14ac:dyDescent="0.3">
      <c r="A78" s="15" t="s">
        <v>130</v>
      </c>
      <c r="B78" s="15" t="s">
        <v>61</v>
      </c>
      <c r="C78" s="98">
        <f>SQRT((2*Table1[[#This Row],[Number Of Products Sold]]*Table1[[#This Row],[Costs]])/(0.3*Table1[[#This Row],[Price]]))</f>
        <v>152.27683000371678</v>
      </c>
      <c r="D78" s="15">
        <v>22</v>
      </c>
      <c r="E78" s="98">
        <f>Table1[[#This Row],[Number Of Products Sold]]/Table1[[#This Row],[EOQ]]</f>
        <v>1.5826439255014546</v>
      </c>
      <c r="F78" s="98">
        <f>360/Table1[[#This Row],[Optimum No of Orders]]</f>
        <v>227.46746390596698</v>
      </c>
      <c r="H78" s="100"/>
      <c r="I78" s="100"/>
      <c r="J78" s="100"/>
      <c r="X78" s="105"/>
      <c r="Y78" s="105"/>
      <c r="Z78" s="107"/>
    </row>
    <row r="79" spans="1:26" x14ac:dyDescent="0.3">
      <c r="A79" s="2" t="s">
        <v>131</v>
      </c>
      <c r="B79" s="2" t="s">
        <v>39</v>
      </c>
      <c r="C79" s="62">
        <f>SQRT((2*Table1[[#This Row],[Number Of Products Sold]]*Table1[[#This Row],[Costs]])/(0.3*Table1[[#This Row],[Price]]))</f>
        <v>188.4612593975578</v>
      </c>
      <c r="D79" s="2">
        <v>57</v>
      </c>
      <c r="E79" s="62">
        <f>Table1[[#This Row],[Number Of Products Sold]]/Table1[[#This Row],[EOQ]]</f>
        <v>1.9049007798610316</v>
      </c>
      <c r="F79" s="62">
        <f>360/Table1[[#This Row],[Optimum No of Orders]]</f>
        <v>188.98622112289917</v>
      </c>
      <c r="H79" s="100"/>
      <c r="I79" s="100"/>
      <c r="J79" s="100"/>
      <c r="X79" s="104"/>
      <c r="Y79" s="105"/>
      <c r="Z79" s="106"/>
    </row>
    <row r="80" spans="1:26" x14ac:dyDescent="0.3">
      <c r="A80" s="15" t="s">
        <v>132</v>
      </c>
      <c r="B80" s="15" t="s">
        <v>44</v>
      </c>
      <c r="C80" s="98">
        <f>SQRT((2*Table1[[#This Row],[Number Of Products Sold]]*Table1[[#This Row],[Costs]])/(0.3*Table1[[#This Row],[Price]]))</f>
        <v>568.84188911449189</v>
      </c>
      <c r="D80" s="15">
        <v>51</v>
      </c>
      <c r="E80" s="98">
        <f>Table1[[#This Row],[Number Of Products Sold]]/Table1[[#This Row],[EOQ]]</f>
        <v>1.6630280190381632</v>
      </c>
      <c r="F80" s="98">
        <f>360/Table1[[#This Row],[Optimum No of Orders]]</f>
        <v>216.47260050868616</v>
      </c>
      <c r="H80" s="100"/>
      <c r="I80" s="100"/>
      <c r="J80" s="100"/>
      <c r="X80" s="105"/>
      <c r="Y80" s="105"/>
      <c r="Z80" s="107"/>
    </row>
    <row r="81" spans="1:26" x14ac:dyDescent="0.3">
      <c r="A81" s="2" t="s">
        <v>133</v>
      </c>
      <c r="B81" s="2" t="s">
        <v>28</v>
      </c>
      <c r="C81" s="62">
        <f>SQRT((2*Table1[[#This Row],[Number Of Products Sold]]*Table1[[#This Row],[Costs]])/(0.3*Table1[[#This Row],[Price]]))</f>
        <v>90.177387938616377</v>
      </c>
      <c r="D81" s="2">
        <v>20</v>
      </c>
      <c r="E81" s="62">
        <f>Table1[[#This Row],[Number Of Products Sold]]/Table1[[#This Row],[EOQ]]</f>
        <v>2.1956723800292188</v>
      </c>
      <c r="F81" s="62">
        <f>360/Table1[[#This Row],[Optimum No of Orders]]</f>
        <v>163.95888716112069</v>
      </c>
      <c r="H81" s="100"/>
      <c r="I81" s="100"/>
      <c r="J81" s="100"/>
      <c r="X81" s="104"/>
      <c r="Y81" s="105"/>
      <c r="Z81" s="106"/>
    </row>
    <row r="82" spans="1:26" x14ac:dyDescent="0.3">
      <c r="A82" s="15" t="s">
        <v>134</v>
      </c>
      <c r="B82" s="15" t="s">
        <v>28</v>
      </c>
      <c r="C82" s="98">
        <f>SQRT((2*Table1[[#This Row],[Number Of Products Sold]]*Table1[[#This Row],[Costs]])/(0.3*Table1[[#This Row],[Price]]))</f>
        <v>224.17561461739436</v>
      </c>
      <c r="D82" s="15">
        <v>41</v>
      </c>
      <c r="E82" s="98">
        <f>Table1[[#This Row],[Number Of Products Sold]]/Table1[[#This Row],[EOQ]]</f>
        <v>3.8898075577411144</v>
      </c>
      <c r="F82" s="98">
        <f>360/Table1[[#This Row],[Optimum No of Orders]]</f>
        <v>92.549565667731613</v>
      </c>
      <c r="H82" s="100"/>
      <c r="I82" s="100"/>
      <c r="J82" s="100"/>
      <c r="X82" s="105"/>
      <c r="Y82" s="105"/>
      <c r="Z82" s="107"/>
    </row>
    <row r="83" spans="1:26" x14ac:dyDescent="0.3">
      <c r="A83" s="2" t="s">
        <v>135</v>
      </c>
      <c r="B83" s="2" t="s">
        <v>28</v>
      </c>
      <c r="C83" s="62">
        <f>SQRT((2*Table1[[#This Row],[Number Of Products Sold]]*Table1[[#This Row],[Costs]])/(0.3*Table1[[#This Row],[Price]]))</f>
        <v>140.04510238239152</v>
      </c>
      <c r="D83" s="2">
        <v>8</v>
      </c>
      <c r="E83" s="62">
        <f>Table1[[#This Row],[Number Of Products Sold]]/Table1[[#This Row],[EOQ]]</f>
        <v>5.5267909183043189</v>
      </c>
      <c r="F83" s="62">
        <f>360/Table1[[#This Row],[Optimum No of Orders]]</f>
        <v>65.137256922042567</v>
      </c>
      <c r="H83" s="100"/>
      <c r="I83" s="100"/>
      <c r="J83" s="100"/>
      <c r="X83" s="104"/>
      <c r="Y83" s="105"/>
      <c r="Z83" s="106"/>
    </row>
    <row r="84" spans="1:26" x14ac:dyDescent="0.3">
      <c r="A84" s="15" t="s">
        <v>136</v>
      </c>
      <c r="B84" s="15" t="s">
        <v>61</v>
      </c>
      <c r="C84" s="98">
        <f>SQRT((2*Table1[[#This Row],[Number Of Products Sold]]*Table1[[#This Row],[Costs]])/(0.3*Table1[[#This Row],[Price]]))</f>
        <v>278.52997247850965</v>
      </c>
      <c r="D84" s="15">
        <v>72</v>
      </c>
      <c r="E84" s="98">
        <f>Table1[[#This Row],[Number Of Products Sold]]/Table1[[#This Row],[EOQ]]</f>
        <v>1.2063333687577358</v>
      </c>
      <c r="F84" s="98">
        <f>360/Table1[[#This Row],[Optimum No of Orders]]</f>
        <v>298.4249705126889</v>
      </c>
      <c r="H84" s="100"/>
      <c r="I84" s="100"/>
      <c r="X84" s="105"/>
      <c r="Y84" s="105"/>
      <c r="Z84" s="107"/>
    </row>
    <row r="85" spans="1:26" x14ac:dyDescent="0.3">
      <c r="A85" s="2" t="s">
        <v>137</v>
      </c>
      <c r="B85" s="2" t="s">
        <v>39</v>
      </c>
      <c r="C85" s="62">
        <f>SQRT((2*Table1[[#This Row],[Number Of Products Sold]]*Table1[[#This Row],[Costs]])/(0.3*Table1[[#This Row],[Price]]))</f>
        <v>209.29903219434954</v>
      </c>
      <c r="D85" s="2">
        <v>7</v>
      </c>
      <c r="E85" s="62">
        <f>Table1[[#This Row],[Number Of Products Sold]]/Table1[[#This Row],[EOQ]]</f>
        <v>3.1677165109122711</v>
      </c>
      <c r="F85" s="62">
        <f>360/Table1[[#This Row],[Optimum No of Orders]]</f>
        <v>113.64653331819883</v>
      </c>
      <c r="H85" s="100"/>
      <c r="I85" s="100"/>
      <c r="J85" s="100"/>
      <c r="X85" s="104"/>
      <c r="Y85" s="105"/>
      <c r="Z85" s="106"/>
    </row>
    <row r="86" spans="1:26" x14ac:dyDescent="0.3">
      <c r="A86" s="15" t="s">
        <v>138</v>
      </c>
      <c r="B86" s="15" t="s">
        <v>44</v>
      </c>
      <c r="C86" s="98">
        <f>SQRT((2*Table1[[#This Row],[Number Of Products Sold]]*Table1[[#This Row],[Costs]])/(0.3*Table1[[#This Row],[Price]]))</f>
        <v>146.70296737620012</v>
      </c>
      <c r="D86" s="15">
        <v>80</v>
      </c>
      <c r="E86" s="98">
        <f>Table1[[#This Row],[Number Of Products Sold]]/Table1[[#This Row],[EOQ]]</f>
        <v>4.2125937263097191</v>
      </c>
      <c r="F86" s="98">
        <f>360/Table1[[#This Row],[Optimum No of Orders]]</f>
        <v>85.458039248271916</v>
      </c>
      <c r="H86" s="100"/>
      <c r="I86" s="100"/>
      <c r="J86" s="100"/>
      <c r="X86" s="105"/>
      <c r="Y86" s="105"/>
      <c r="Z86" s="107"/>
    </row>
    <row r="87" spans="1:26" x14ac:dyDescent="0.3">
      <c r="A87" s="2" t="s">
        <v>139</v>
      </c>
      <c r="B87" s="2" t="s">
        <v>44</v>
      </c>
      <c r="C87" s="62">
        <f>SQRT((2*Table1[[#This Row],[Number Of Products Sold]]*Table1[[#This Row],[Costs]])/(0.3*Table1[[#This Row],[Price]]))</f>
        <v>42.718549690285421</v>
      </c>
      <c r="D87" s="2">
        <v>66</v>
      </c>
      <c r="E87" s="62">
        <f>Table1[[#This Row],[Number Of Products Sold]]/Table1[[#This Row],[EOQ]]</f>
        <v>0.58522586045764613</v>
      </c>
      <c r="F87" s="62">
        <f>360/Table1[[#This Row],[Optimum No of Orders]]</f>
        <v>615.14711554011012</v>
      </c>
      <c r="H87" s="100"/>
      <c r="I87" s="100"/>
      <c r="J87" s="100"/>
      <c r="X87" s="105"/>
      <c r="Y87" s="105"/>
      <c r="Z87" s="107"/>
    </row>
    <row r="88" spans="1:26" x14ac:dyDescent="0.3">
      <c r="A88" s="15" t="s">
        <v>140</v>
      </c>
      <c r="B88" s="15" t="s">
        <v>39</v>
      </c>
      <c r="C88" s="98">
        <f>SQRT((2*Table1[[#This Row],[Number Of Products Sold]]*Table1[[#This Row],[Costs]])/(0.3*Table1[[#This Row],[Price]]))</f>
        <v>140.15968567135087</v>
      </c>
      <c r="D88" s="15">
        <v>22</v>
      </c>
      <c r="E88" s="98">
        <f>Table1[[#This Row],[Number Of Products Sold]]/Table1[[#This Row],[EOQ]]</f>
        <v>1.591042380923247</v>
      </c>
      <c r="F88" s="98">
        <f>360/Table1[[#This Row],[Optimum No of Orders]]</f>
        <v>226.26675713760679</v>
      </c>
      <c r="I88" s="100"/>
      <c r="J88" s="100"/>
      <c r="X88" s="104"/>
      <c r="Y88" s="105"/>
      <c r="Z88" s="106"/>
    </row>
    <row r="89" spans="1:26" x14ac:dyDescent="0.3">
      <c r="A89" s="2" t="s">
        <v>141</v>
      </c>
      <c r="B89" s="2" t="s">
        <v>28</v>
      </c>
      <c r="C89" s="62">
        <f>SQRT((2*Table1[[#This Row],[Number Of Products Sold]]*Table1[[#This Row],[Costs]])/(0.3*Table1[[#This Row],[Price]]))</f>
        <v>75.890103397920853</v>
      </c>
      <c r="D89" s="2">
        <v>55</v>
      </c>
      <c r="E89" s="62">
        <f>Table1[[#This Row],[Number Of Products Sold]]/Table1[[#This Row],[EOQ]]</f>
        <v>1.0409789480160907</v>
      </c>
      <c r="F89" s="62">
        <f>360/Table1[[#This Row],[Optimum No of Orders]]</f>
        <v>345.82831928166462</v>
      </c>
      <c r="I89" s="100"/>
      <c r="J89" s="100"/>
      <c r="X89" s="105"/>
      <c r="Y89" s="105"/>
      <c r="Z89" s="107"/>
    </row>
    <row r="90" spans="1:26" x14ac:dyDescent="0.3">
      <c r="A90" s="15" t="s">
        <v>142</v>
      </c>
      <c r="B90" s="15" t="s">
        <v>61</v>
      </c>
      <c r="C90" s="98">
        <f>SQRT((2*Table1[[#This Row],[Number Of Products Sold]]*Table1[[#This Row],[Costs]])/(0.3*Table1[[#This Row],[Price]]))</f>
        <v>82.360260401419453</v>
      </c>
      <c r="D90" s="15">
        <v>85</v>
      </c>
      <c r="E90" s="98">
        <f>Table1[[#This Row],[Number Of Products Sold]]/Table1[[#This Row],[EOQ]]</f>
        <v>8.9484904055414809</v>
      </c>
      <c r="F90" s="98">
        <f>360/Table1[[#This Row],[Optimum No of Orders]]</f>
        <v>40.230249314126198</v>
      </c>
      <c r="I90" s="100"/>
      <c r="J90" s="100"/>
      <c r="X90" s="105"/>
      <c r="Y90" s="105"/>
      <c r="Z90" s="107"/>
    </row>
    <row r="91" spans="1:26" x14ac:dyDescent="0.3">
      <c r="A91" s="2" t="s">
        <v>143</v>
      </c>
      <c r="B91" s="2" t="s">
        <v>39</v>
      </c>
      <c r="C91" s="62">
        <f>SQRT((2*Table1[[#This Row],[Number Of Products Sold]]*Table1[[#This Row],[Costs]])/(0.3*Table1[[#This Row],[Price]]))</f>
        <v>68.767169556649364</v>
      </c>
      <c r="D91" s="2">
        <v>27</v>
      </c>
      <c r="E91" s="62">
        <f>Table1[[#This Row],[Number Of Products Sold]]/Table1[[#This Row],[EOQ]]</f>
        <v>1.9486042665986536</v>
      </c>
      <c r="F91" s="62">
        <f>360/Table1[[#This Row],[Optimum No of Orders]]</f>
        <v>184.74761970443114</v>
      </c>
      <c r="I91" s="100"/>
      <c r="J91" s="100"/>
    </row>
    <row r="92" spans="1:26" x14ac:dyDescent="0.3">
      <c r="A92" s="15" t="s">
        <v>144</v>
      </c>
      <c r="B92" s="15" t="s">
        <v>28</v>
      </c>
      <c r="C92" s="98">
        <f>SQRT((2*Table1[[#This Row],[Number Of Products Sold]]*Table1[[#This Row],[Costs]])/(0.3*Table1[[#This Row],[Price]]))</f>
        <v>390.06726162547869</v>
      </c>
      <c r="D92" s="15">
        <v>96</v>
      </c>
      <c r="E92" s="98">
        <f>Table1[[#This Row],[Number Of Products Sold]]/Table1[[#This Row],[EOQ]]</f>
        <v>0.82037133459112632</v>
      </c>
      <c r="F92" s="98">
        <f>360/Table1[[#This Row],[Optimum No of Orders]]</f>
        <v>438.82566932866354</v>
      </c>
      <c r="I92" s="100"/>
      <c r="J92" s="100"/>
    </row>
    <row r="93" spans="1:26" x14ac:dyDescent="0.3">
      <c r="A93" s="2" t="s">
        <v>145</v>
      </c>
      <c r="B93" s="2" t="s">
        <v>52</v>
      </c>
      <c r="C93" s="62">
        <f>SQRT((2*Table1[[#This Row],[Number Of Products Sold]]*Table1[[#This Row],[Costs]])/(0.3*Table1[[#This Row],[Price]]))</f>
        <v>313.05003871671386</v>
      </c>
      <c r="D93" s="2">
        <v>85</v>
      </c>
      <c r="E93" s="62">
        <f>Table1[[#This Row],[Number Of Products Sold]]/Table1[[#This Row],[EOQ]]</f>
        <v>2.926049789851358</v>
      </c>
      <c r="F93" s="62">
        <f>360/Table1[[#This Row],[Optimum No of Orders]]</f>
        <v>123.0327663078788</v>
      </c>
      <c r="H93" s="100"/>
      <c r="I93" s="100"/>
      <c r="J93" s="100"/>
    </row>
    <row r="94" spans="1:26" x14ac:dyDescent="0.3">
      <c r="A94" s="15" t="s">
        <v>146</v>
      </c>
      <c r="B94" s="15" t="s">
        <v>61</v>
      </c>
      <c r="C94" s="98">
        <f>SQRT((2*Table1[[#This Row],[Number Of Products Sold]]*Table1[[#This Row],[Costs]])/(0.3*Table1[[#This Row],[Price]]))</f>
        <v>94.196862091589068</v>
      </c>
      <c r="D94" s="15">
        <v>10</v>
      </c>
      <c r="E94" s="98">
        <f>Table1[[#This Row],[Number Of Products Sold]]/Table1[[#This Row],[EOQ]]</f>
        <v>2.930033908471823</v>
      </c>
      <c r="F94" s="98">
        <f>360/Table1[[#This Row],[Optimum No of Orders]]</f>
        <v>122.86547229337704</v>
      </c>
    </row>
    <row r="95" spans="1:26" x14ac:dyDescent="0.3">
      <c r="A95" s="2" t="s">
        <v>147</v>
      </c>
      <c r="B95" s="2" t="s">
        <v>52</v>
      </c>
      <c r="C95" s="62">
        <f>SQRT((2*Table1[[#This Row],[Number Of Products Sold]]*Table1[[#This Row],[Costs]])/(0.3*Table1[[#This Row],[Price]]))</f>
        <v>95.040125420748154</v>
      </c>
      <c r="D95" s="2">
        <v>66</v>
      </c>
      <c r="E95" s="62">
        <f>Table1[[#This Row],[Number Of Products Sold]]/Table1[[#This Row],[EOQ]]</f>
        <v>1.1994933665682297</v>
      </c>
      <c r="F95" s="62">
        <f>360/Table1[[#This Row],[Optimum No of Orders]]</f>
        <v>300.1267118549942</v>
      </c>
    </row>
    <row r="96" spans="1:26" x14ac:dyDescent="0.3">
      <c r="A96" s="15" t="s">
        <v>148</v>
      </c>
      <c r="B96" s="15" t="s">
        <v>61</v>
      </c>
      <c r="C96" s="98">
        <f>SQRT((2*Table1[[#This Row],[Number Of Products Sold]]*Table1[[#This Row],[Costs]])/(0.3*Table1[[#This Row],[Price]]))</f>
        <v>1354.2448154720894</v>
      </c>
      <c r="D96" s="15">
        <v>72</v>
      </c>
      <c r="E96" s="98">
        <f>Table1[[#This Row],[Number Of Products Sold]]/Table1[[#This Row],[EOQ]]</f>
        <v>0.72881947837173888</v>
      </c>
      <c r="F96" s="98">
        <f>360/Table1[[#This Row],[Optimum No of Orders]]</f>
        <v>493.94947676793538</v>
      </c>
    </row>
    <row r="97" spans="1:6" x14ac:dyDescent="0.3">
      <c r="A97" s="2" t="s">
        <v>149</v>
      </c>
      <c r="B97" s="2" t="s">
        <v>52</v>
      </c>
      <c r="C97" s="62">
        <f>SQRT((2*Table1[[#This Row],[Number Of Products Sold]]*Table1[[#This Row],[Costs]])/(0.3*Table1[[#This Row],[Price]]))</f>
        <v>211.63632615943146</v>
      </c>
      <c r="D97" s="2">
        <v>26</v>
      </c>
      <c r="E97" s="62">
        <f>Table1[[#This Row],[Number Of Products Sold]]/Table1[[#This Row],[EOQ]]</f>
        <v>3.1752582942389762</v>
      </c>
      <c r="F97" s="62">
        <f>360/Table1[[#This Row],[Optimum No of Orders]]</f>
        <v>113.37660329969543</v>
      </c>
    </row>
    <row r="98" spans="1:6" x14ac:dyDescent="0.3">
      <c r="A98" s="15" t="s">
        <v>150</v>
      </c>
      <c r="B98" s="15" t="s">
        <v>28</v>
      </c>
      <c r="C98" s="98">
        <f>SQRT((2*Table1[[#This Row],[Number Of Products Sold]]*Table1[[#This Row],[Costs]])/(0.3*Table1[[#This Row],[Price]]))</f>
        <v>129.19944293557208</v>
      </c>
      <c r="D98" s="15">
        <v>32</v>
      </c>
      <c r="E98" s="98">
        <f>Table1[[#This Row],[Number Of Products Sold]]/Table1[[#This Row],[EOQ]]</f>
        <v>2.5077507506094214</v>
      </c>
      <c r="F98" s="98">
        <f>360/Table1[[#This Row],[Optimum No of Orders]]</f>
        <v>143.55493659508008</v>
      </c>
    </row>
    <row r="99" spans="1:6" x14ac:dyDescent="0.3">
      <c r="A99" s="2" t="s">
        <v>151</v>
      </c>
      <c r="B99" s="2" t="s">
        <v>52</v>
      </c>
      <c r="C99" s="62">
        <f>SQRT((2*Table1[[#This Row],[Number Of Products Sold]]*Table1[[#This Row],[Costs]])/(0.3*Table1[[#This Row],[Price]]))</f>
        <v>251.62415726340731</v>
      </c>
      <c r="D99" s="2">
        <v>4</v>
      </c>
      <c r="E99" s="62">
        <f>Table1[[#This Row],[Number Of Products Sold]]/Table1[[#This Row],[EOQ]]</f>
        <v>0.24639923556742066</v>
      </c>
      <c r="F99" s="62">
        <f>360/Table1[[#This Row],[Optimum No of Orders]]</f>
        <v>1461.0434937875264</v>
      </c>
    </row>
    <row r="100" spans="1:6" x14ac:dyDescent="0.3">
      <c r="A100" s="15" t="s">
        <v>152</v>
      </c>
      <c r="B100" s="15" t="s">
        <v>44</v>
      </c>
      <c r="C100" s="98">
        <f>SQRT((2*Table1[[#This Row],[Number Of Products Sold]]*Table1[[#This Row],[Costs]])/(0.3*Table1[[#This Row],[Price]]))</f>
        <v>521.36135004068217</v>
      </c>
      <c r="D100" s="15">
        <v>27</v>
      </c>
      <c r="E100" s="98">
        <f>Table1[[#This Row],[Number Of Products Sold]]/Table1[[#This Row],[EOQ]]</f>
        <v>1.7511846628614838</v>
      </c>
      <c r="F100" s="98">
        <f>360/Table1[[#This Row],[Optimum No of Orders]]</f>
        <v>205.57512159325913</v>
      </c>
    </row>
    <row r="101" spans="1:6" x14ac:dyDescent="0.3">
      <c r="A101" s="2" t="s">
        <v>153</v>
      </c>
      <c r="B101" s="2" t="s">
        <v>61</v>
      </c>
      <c r="C101" s="62">
        <f>SQRT((2*Table1[[#This Row],[Number Of Products Sold]]*Table1[[#This Row],[Costs]])/(0.3*Table1[[#This Row],[Price]]))</f>
        <v>113.38691010476025</v>
      </c>
      <c r="D101" s="2">
        <v>59</v>
      </c>
      <c r="E101" s="62">
        <f>Table1[[#This Row],[Number Of Products Sold]]/Table1[[#This Row],[EOQ]]</f>
        <v>5.5297388333512503</v>
      </c>
      <c r="F101" s="62">
        <f>360/Table1[[#This Row],[Optimum No of Orders]]</f>
        <v>65.102532117565687</v>
      </c>
    </row>
  </sheetData>
  <sortState xmlns:xlrd2="http://schemas.microsoft.com/office/spreadsheetml/2017/richdata2" ref="X3:Z90">
    <sortCondition ref="X3:X90"/>
  </sortState>
  <mergeCells count="1">
    <mergeCell ref="X1:Z1"/>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Raw Data</vt:lpstr>
      <vt:lpstr>Excel Tracker</vt:lpstr>
      <vt:lpstr>Dashboard</vt:lpstr>
      <vt:lpstr>General Analysis</vt:lpstr>
      <vt:lpstr>Order Tracker</vt:lpstr>
      <vt:lpstr>Defect Insights</vt:lpstr>
      <vt:lpstr>Risk Assessment</vt:lpstr>
      <vt:lpstr>Order Quantity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Indu mathi</cp:lastModifiedBy>
  <dcterms:created xsi:type="dcterms:W3CDTF">2024-11-13T04:20:42Z</dcterms:created>
  <dcterms:modified xsi:type="dcterms:W3CDTF">2024-11-14T03:52:29Z</dcterms:modified>
</cp:coreProperties>
</file>