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5" yWindow="-15" windowWidth="25215" windowHeight="6330"/>
  </bookViews>
  <sheets>
    <sheet name="Base de dados" sheetId="1" r:id="rId1"/>
    <sheet name="descrição_variaveis" sheetId="2" state="hidden" r:id="rId2"/>
  </sheets>
  <calcPr calcId="162913"/>
</workbook>
</file>

<file path=xl/calcChain.xml><?xml version="1.0" encoding="utf-8"?>
<calcChain xmlns="http://schemas.openxmlformats.org/spreadsheetml/2006/main">
  <c r="DN157" i="1" l="1"/>
  <c r="DN156" i="1"/>
  <c r="DF156" i="1"/>
  <c r="AQ156" i="1"/>
  <c r="DN155" i="1"/>
  <c r="DF155" i="1"/>
  <c r="AQ155" i="1"/>
  <c r="R10" i="1" l="1"/>
  <c r="M10" i="1"/>
  <c r="P10" i="1"/>
  <c r="DN9" i="1"/>
  <c r="DN8" i="1"/>
  <c r="DN4" i="1"/>
  <c r="DN3" i="1"/>
  <c r="DN2" i="1"/>
  <c r="DN7" i="1"/>
  <c r="AQ4" i="1" l="1"/>
  <c r="AQ3" i="1"/>
  <c r="BT330" i="1" l="1"/>
  <c r="CB330" i="1"/>
  <c r="AQ320" i="1"/>
  <c r="DF320" i="1"/>
  <c r="AQ310" i="1"/>
  <c r="DF310" i="1"/>
  <c r="AQ308" i="1"/>
  <c r="BT308" i="1"/>
  <c r="DF308" i="1"/>
  <c r="AQ306" i="1"/>
  <c r="BT306" i="1"/>
  <c r="DF306" i="1"/>
  <c r="DF194" i="1" l="1"/>
  <c r="DF174" i="1" l="1"/>
  <c r="DF346" i="1" l="1"/>
  <c r="AQ351" i="1"/>
  <c r="BT350" i="1"/>
  <c r="AQ350" i="1"/>
  <c r="DI349" i="1" l="1"/>
  <c r="DF349" i="1"/>
  <c r="AQ349" i="1"/>
  <c r="BT348" i="1"/>
  <c r="DI348" i="1"/>
  <c r="DF348" i="1"/>
  <c r="AQ357" i="1"/>
  <c r="DF355" i="1"/>
  <c r="BT354" i="1"/>
  <c r="AQ354" i="1"/>
  <c r="CB346" i="1" l="1"/>
  <c r="AY346" i="1"/>
  <c r="AQ346" i="1"/>
  <c r="CB345" i="1"/>
  <c r="BT345" i="1"/>
  <c r="AQ345" i="1"/>
  <c r="DF345" i="1"/>
  <c r="DF344" i="1"/>
  <c r="AQ343" i="1"/>
  <c r="DI343" i="1"/>
  <c r="DF342" i="1"/>
  <c r="BT342" i="1"/>
  <c r="BX342" i="1"/>
  <c r="BX341" i="1"/>
  <c r="BT341" i="1"/>
  <c r="DF341" i="1"/>
  <c r="AQ339" i="1"/>
  <c r="AU339" i="1"/>
  <c r="DF339" i="1"/>
  <c r="AU338" i="1"/>
  <c r="AQ338" i="1"/>
  <c r="DI338" i="1"/>
  <c r="DF338" i="1"/>
  <c r="DF337" i="1"/>
  <c r="AU337" i="1"/>
  <c r="AQ337" i="1"/>
  <c r="BX336" i="1"/>
  <c r="AU336" i="1"/>
  <c r="DF335" i="1"/>
  <c r="DF334" i="1"/>
  <c r="DF333" i="1"/>
  <c r="BX332" i="1"/>
  <c r="AY332" i="1"/>
  <c r="AU332" i="1"/>
  <c r="AQ332" i="1"/>
  <c r="BC331" i="1"/>
  <c r="CB329" i="1"/>
  <c r="BT329" i="1"/>
  <c r="DF328" i="1"/>
  <c r="CB328" i="1"/>
  <c r="CB327" i="1"/>
  <c r="BX327" i="1"/>
  <c r="DF326" i="1" l="1"/>
  <c r="AY326" i="1"/>
  <c r="AU326" i="1"/>
  <c r="DL325" i="1"/>
  <c r="DI325" i="1"/>
  <c r="DF325" i="1"/>
  <c r="BX325" i="1"/>
  <c r="BT325" i="1"/>
  <c r="AU325" i="1"/>
  <c r="AQ325" i="1"/>
  <c r="DF324" i="1"/>
  <c r="BT324" i="1"/>
  <c r="AU324" i="1"/>
  <c r="AT324" i="1"/>
  <c r="BG323" i="1"/>
  <c r="BC323" i="1"/>
  <c r="AY323" i="1"/>
  <c r="AU323" i="1"/>
  <c r="AQ323" i="1"/>
  <c r="DF323" i="1" l="1"/>
  <c r="DI323" i="1"/>
  <c r="DI322" i="1"/>
  <c r="DF322" i="1"/>
  <c r="BK322" i="1"/>
  <c r="BG322" i="1"/>
  <c r="BC322" i="1"/>
  <c r="AY322" i="1"/>
  <c r="AQ322" i="1"/>
  <c r="DF321" i="1"/>
  <c r="BT321" i="1"/>
  <c r="AQ321" i="1"/>
  <c r="DF319" i="1"/>
  <c r="AQ319" i="1"/>
  <c r="AQ318" i="1" l="1"/>
  <c r="DF318" i="1"/>
  <c r="DI318" i="1"/>
  <c r="DI317" i="1"/>
  <c r="DF317" i="1"/>
  <c r="AQ317" i="1"/>
  <c r="BT316" i="1"/>
  <c r="DF316" i="1"/>
  <c r="DF315" i="1"/>
  <c r="BT315" i="1"/>
  <c r="BT314" i="1"/>
  <c r="AQ314" i="1"/>
  <c r="DF314" i="1"/>
  <c r="DF309" i="1"/>
  <c r="DF311" i="1"/>
  <c r="DF312" i="1"/>
  <c r="DF313" i="1"/>
  <c r="BT313" i="1"/>
  <c r="AQ313" i="1"/>
  <c r="AQ312" i="1"/>
  <c r="DN311" i="1"/>
  <c r="AQ311" i="1"/>
  <c r="AQ309" i="1"/>
  <c r="DF307" i="1"/>
  <c r="BT307" i="1"/>
  <c r="AQ307" i="1"/>
  <c r="DF305" i="1" l="1"/>
  <c r="BT305" i="1"/>
  <c r="AQ305" i="1"/>
  <c r="AQ304" i="1"/>
  <c r="AU304" i="1"/>
  <c r="BT304" i="1"/>
  <c r="BX304" i="1"/>
  <c r="CA304" i="1"/>
  <c r="CA303" i="1"/>
  <c r="BX303" i="1"/>
  <c r="BT303" i="1"/>
  <c r="AU303" i="1"/>
  <c r="AQ303" i="1"/>
  <c r="DF302" i="1"/>
  <c r="DF301" i="1"/>
  <c r="BT300" i="1"/>
  <c r="BX300" i="1"/>
  <c r="AQ300" i="1"/>
  <c r="DF300" i="1"/>
  <c r="DF299" i="1"/>
  <c r="BX299" i="1"/>
  <c r="BT299" i="1"/>
  <c r="AQ299" i="1"/>
  <c r="DF296" i="1"/>
  <c r="DF295" i="1"/>
  <c r="AQ295" i="1"/>
  <c r="DF294" i="1"/>
  <c r="DN294" i="1"/>
  <c r="DR294" i="1"/>
  <c r="DR293" i="1"/>
  <c r="DN293" i="1"/>
  <c r="DF293" i="1"/>
  <c r="AQ293" i="1"/>
  <c r="AQ292" i="1"/>
  <c r="AQ291" i="1"/>
  <c r="AQ286" i="1"/>
  <c r="AQ285" i="1"/>
  <c r="AQ284" i="1" l="1"/>
  <c r="DF283" i="1"/>
  <c r="BX283" i="1"/>
  <c r="BT283" i="1"/>
  <c r="BT282" i="1"/>
  <c r="DI282" i="1"/>
  <c r="DF282" i="1"/>
  <c r="DF281" i="1"/>
  <c r="AQ281" i="1"/>
  <c r="DF280" i="1"/>
  <c r="AQ280" i="1"/>
  <c r="AU279" i="1"/>
  <c r="AQ279" i="1"/>
  <c r="DF278" i="1"/>
  <c r="AY278" i="1"/>
  <c r="AU278" i="1"/>
  <c r="AQ278" i="1"/>
  <c r="DI277" i="1"/>
  <c r="DF277" i="1"/>
  <c r="AU277" i="1"/>
  <c r="AQ277" i="1"/>
  <c r="AQ276" i="1"/>
  <c r="DF276" i="1"/>
  <c r="DF275" i="1"/>
  <c r="AQ275" i="1"/>
  <c r="BT273" i="1"/>
  <c r="DF272" i="1"/>
  <c r="BT272" i="1"/>
  <c r="DI271" i="1"/>
  <c r="BT271" i="1"/>
  <c r="AQ271" i="1"/>
  <c r="DF269" i="1"/>
  <c r="DI268" i="1"/>
  <c r="DF268" i="1"/>
  <c r="CB268" i="1"/>
  <c r="DI267" i="1"/>
  <c r="DF267" i="1"/>
  <c r="DF266" i="1"/>
  <c r="BG266" i="1"/>
  <c r="AY266" i="1"/>
  <c r="AQ266" i="1"/>
  <c r="DF265" i="1"/>
  <c r="AQ264" i="1"/>
  <c r="DF264" i="1"/>
  <c r="DI263" i="1"/>
  <c r="DF263" i="1"/>
  <c r="AQ263" i="1"/>
  <c r="DI262" i="1"/>
  <c r="DF262" i="1"/>
  <c r="CB262" i="1"/>
  <c r="BX262" i="1"/>
  <c r="DF261" i="1"/>
  <c r="CF261" i="1"/>
  <c r="CB261" i="1"/>
  <c r="BX261" i="1"/>
  <c r="BT260" i="1"/>
  <c r="DF260" i="1"/>
  <c r="DF259" i="1"/>
  <c r="BT259" i="1"/>
  <c r="AQ259" i="1"/>
  <c r="BT258" i="1"/>
  <c r="AQ258" i="1"/>
  <c r="AQ257" i="1"/>
  <c r="DI256" i="1"/>
  <c r="DF256" i="1"/>
  <c r="CR256" i="1"/>
  <c r="BX256" i="1"/>
  <c r="BT256" i="1"/>
  <c r="DI255" i="1"/>
  <c r="DF255" i="1"/>
  <c r="CJ255" i="1"/>
  <c r="BX255" i="1"/>
  <c r="BT255" i="1"/>
  <c r="DF254" i="1"/>
  <c r="BS252" i="1"/>
  <c r="BT252" i="1"/>
  <c r="DF252" i="1"/>
  <c r="DF251" i="1"/>
  <c r="BT251" i="1"/>
  <c r="BS251" i="1"/>
  <c r="DF250" i="1"/>
  <c r="BX250" i="1"/>
  <c r="BT250" i="1"/>
  <c r="BS250" i="1"/>
  <c r="AU250" i="1"/>
  <c r="BT249" i="1"/>
  <c r="DF249" i="1"/>
  <c r="AQ248" i="1"/>
  <c r="DF248" i="1"/>
  <c r="DF247" i="1"/>
  <c r="DF246" i="1"/>
  <c r="CF246" i="1"/>
  <c r="BX246" i="1" l="1"/>
  <c r="DI245" i="1"/>
  <c r="DF245" i="1"/>
  <c r="BX245" i="1"/>
  <c r="BT245" i="1"/>
  <c r="BX244" i="1"/>
  <c r="DF244" i="1"/>
  <c r="DF243" i="1"/>
  <c r="CF243" i="1"/>
  <c r="DF242" i="1"/>
  <c r="DF241" i="1"/>
  <c r="DF240" i="1"/>
  <c r="DF239" i="1"/>
  <c r="DF238" i="1"/>
  <c r="DI237" i="1"/>
  <c r="DF237" i="1"/>
  <c r="BX235" i="1"/>
  <c r="BT235" i="1"/>
  <c r="BX234" i="1"/>
  <c r="BT234" i="1"/>
  <c r="BT230" i="1"/>
  <c r="AQ230" i="1"/>
  <c r="BT229" i="1"/>
  <c r="DF228" i="1"/>
  <c r="DF227" i="1"/>
  <c r="BT225" i="1"/>
  <c r="DF225" i="1"/>
  <c r="DF226" i="1"/>
  <c r="BT226" i="1"/>
  <c r="DF224" i="1"/>
  <c r="BT223" i="1"/>
  <c r="BX223" i="1"/>
  <c r="BX222" i="1"/>
  <c r="BT222" i="1"/>
  <c r="AQ221" i="1"/>
  <c r="DF221" i="1"/>
  <c r="DF220" i="1"/>
  <c r="DF219" i="1"/>
  <c r="DF218" i="1"/>
  <c r="BX217" i="1"/>
  <c r="BT217" i="1"/>
  <c r="DF216" i="1"/>
  <c r="BT216" i="1"/>
  <c r="BX215" i="1"/>
  <c r="BT215" i="1"/>
  <c r="DF214" i="1"/>
  <c r="BT214" i="1"/>
  <c r="DI213" i="1"/>
  <c r="DF213" i="1"/>
  <c r="AQ213" i="1"/>
  <c r="DF212" i="1"/>
  <c r="AU212" i="1"/>
  <c r="AQ212" i="1"/>
  <c r="AY211" i="1"/>
  <c r="AQ211" i="1"/>
  <c r="DF208" i="1"/>
  <c r="DF207" i="1"/>
  <c r="DF206" i="1"/>
  <c r="DF205" i="1"/>
  <c r="AQ204" i="1"/>
  <c r="DN290" i="1" l="1"/>
  <c r="DN289" i="1"/>
  <c r="AQ289" i="1"/>
  <c r="AU264" i="1" l="1"/>
  <c r="DI67" i="1"/>
  <c r="DI75" i="1"/>
  <c r="DI77" i="1"/>
  <c r="DI86" i="1"/>
  <c r="DI90" i="1"/>
  <c r="DI95" i="1"/>
  <c r="DI98" i="1"/>
  <c r="DI100" i="1"/>
  <c r="DI122" i="1"/>
  <c r="DI128" i="1"/>
  <c r="DI129" i="1"/>
  <c r="DI148" i="1"/>
  <c r="DI179" i="1"/>
  <c r="DI183" i="1"/>
  <c r="DI253" i="1"/>
  <c r="AQ255" i="1"/>
  <c r="AQ254" i="1"/>
  <c r="DF253" i="1"/>
  <c r="AQ253" i="1"/>
  <c r="CB238" i="1" l="1"/>
  <c r="CA238" i="1"/>
  <c r="CB237" i="1" l="1"/>
  <c r="CA237" i="1"/>
  <c r="BW234" i="1" l="1"/>
  <c r="BS234" i="1"/>
  <c r="AP230" i="1"/>
  <c r="BS229" i="1"/>
  <c r="AU210" i="1" l="1"/>
  <c r="AQ210" i="1"/>
  <c r="DF201" i="1" l="1"/>
  <c r="DF199" i="1"/>
  <c r="DF200" i="1"/>
  <c r="DF198" i="1"/>
  <c r="DF197" i="1"/>
  <c r="AQ197" i="1"/>
  <c r="DF196" i="1"/>
  <c r="DF195" i="1"/>
  <c r="DF193" i="1"/>
  <c r="BX193" i="1"/>
  <c r="DF192" i="1"/>
  <c r="BT192" i="1"/>
  <c r="DF191" i="1"/>
  <c r="AQ191" i="1"/>
  <c r="DF189" i="1"/>
  <c r="AQ189" i="1"/>
  <c r="DF188" i="1"/>
  <c r="DF187" i="1"/>
  <c r="DF186" i="1"/>
  <c r="DF185" i="1"/>
  <c r="DF184" i="1"/>
  <c r="DF182" i="1"/>
  <c r="DF181" i="1"/>
  <c r="DF180" i="1"/>
  <c r="DF179" i="1"/>
  <c r="DF178" i="1"/>
  <c r="DF177" i="1"/>
  <c r="DF176" i="1"/>
  <c r="AU176" i="1"/>
  <c r="DF173" i="1"/>
  <c r="DF172" i="1"/>
  <c r="AQ172" i="1"/>
  <c r="DF171" i="1"/>
  <c r="DF170" i="1"/>
  <c r="AU170" i="1"/>
  <c r="AQ170" i="1"/>
  <c r="DF169" i="1"/>
  <c r="AY169" i="1"/>
  <c r="BT168" i="1"/>
  <c r="AU168" i="1"/>
  <c r="AQ168" i="1"/>
  <c r="DF168" i="1"/>
  <c r="AQ167" i="1"/>
  <c r="BT166" i="1"/>
  <c r="DN175" i="1"/>
  <c r="AU175" i="1"/>
  <c r="AQ175" i="1"/>
  <c r="DF165" i="1" l="1"/>
  <c r="DF164" i="1"/>
  <c r="AY164" i="1"/>
  <c r="AQ164" i="1"/>
  <c r="BC163" i="1"/>
  <c r="AU162" i="1"/>
  <c r="AQ162" i="1"/>
  <c r="AQ161" i="1"/>
  <c r="DF160" i="1"/>
  <c r="AU159" i="1"/>
  <c r="DF159" i="1"/>
  <c r="DF158" i="1"/>
  <c r="BT149" i="1"/>
  <c r="AQ149" i="1"/>
  <c r="DF148" i="1"/>
  <c r="AU148" i="1"/>
  <c r="DF147" i="1"/>
  <c r="BT147" i="1"/>
  <c r="DF146" i="1"/>
  <c r="AU146" i="1"/>
  <c r="AQ146" i="1"/>
  <c r="AQ145" i="1"/>
  <c r="AP145" i="1"/>
  <c r="AQ144" i="1"/>
  <c r="DF142" i="1"/>
  <c r="BC141" i="1"/>
  <c r="AQ140" i="1"/>
  <c r="DF139" i="1"/>
  <c r="DF137" i="1"/>
  <c r="DF136" i="1"/>
  <c r="BC135" i="1"/>
  <c r="AY135" i="1"/>
  <c r="AU135" i="1"/>
  <c r="AQ135" i="1"/>
  <c r="DF134" i="1"/>
  <c r="DF133" i="1"/>
  <c r="AQ134" i="1"/>
  <c r="AQ133" i="1"/>
  <c r="DF132" i="1"/>
  <c r="AQ132" i="1"/>
  <c r="DF131" i="1"/>
  <c r="AQ131" i="1"/>
  <c r="DF130" i="1"/>
  <c r="DF129" i="1"/>
  <c r="AQ129" i="1"/>
  <c r="DF128" i="1"/>
  <c r="BT127" i="1"/>
  <c r="DF127" i="1"/>
  <c r="DF125" i="1"/>
  <c r="AU124" i="1"/>
  <c r="AT124" i="1"/>
  <c r="AQ123" i="1"/>
  <c r="DF122" i="1"/>
  <c r="AQ122" i="1"/>
  <c r="BX121" i="1"/>
  <c r="BT121" i="1"/>
  <c r="AU120" i="1"/>
  <c r="AQ120" i="1"/>
  <c r="DF119" i="1"/>
  <c r="AU119" i="1"/>
  <c r="AQ119" i="1"/>
  <c r="DF118" i="1"/>
  <c r="AQ117" i="1"/>
  <c r="AQ116" i="1"/>
  <c r="DF114" i="1"/>
  <c r="AQ113" i="1" l="1"/>
  <c r="DF111" i="1"/>
  <c r="DF110" i="1"/>
  <c r="AQ110" i="1"/>
  <c r="DF109" i="1"/>
  <c r="AQ109" i="1"/>
  <c r="AQ106" i="1"/>
  <c r="AU104" i="1"/>
  <c r="DF100" i="1"/>
  <c r="AQ100" i="1"/>
  <c r="BX98" i="1"/>
  <c r="BT98" i="1"/>
  <c r="DF98" i="1"/>
  <c r="DF96" i="1"/>
  <c r="BT96" i="1"/>
  <c r="AQ96" i="1"/>
  <c r="DF95" i="1"/>
  <c r="AQ95" i="1"/>
  <c r="DF94" i="1"/>
  <c r="AQ93" i="1"/>
  <c r="DF92" i="1"/>
  <c r="DF91" i="1"/>
  <c r="DF90" i="1"/>
  <c r="BT88" i="1"/>
  <c r="DF87" i="1"/>
  <c r="AQ87" i="1"/>
  <c r="BT87" i="1"/>
  <c r="DF86" i="1" l="1"/>
  <c r="AU85" i="1"/>
  <c r="DF84" i="1"/>
  <c r="DF83" i="1"/>
  <c r="AY83" i="1"/>
  <c r="AQ83" i="1"/>
  <c r="AP83" i="1"/>
  <c r="DF82" i="1"/>
  <c r="AY81" i="1"/>
  <c r="AU81" i="1"/>
  <c r="AQ80" i="1"/>
  <c r="AU79" i="1"/>
  <c r="AT79" i="1"/>
  <c r="DF78" i="1" l="1"/>
  <c r="AU78" i="1"/>
  <c r="AQ78" i="1"/>
  <c r="BT77" i="1"/>
  <c r="DF77" i="1"/>
  <c r="DF76" i="1"/>
  <c r="AY76" i="1"/>
  <c r="AU76" i="1"/>
  <c r="AQ76" i="1"/>
  <c r="BX74" i="1"/>
  <c r="BT74" i="1"/>
  <c r="AY74" i="1"/>
  <c r="DF73" i="1"/>
  <c r="AQ73" i="1"/>
  <c r="DF72" i="1"/>
  <c r="BT71" i="1" l="1"/>
  <c r="AU71" i="1"/>
  <c r="AQ71" i="1"/>
  <c r="BT70" i="1"/>
  <c r="DF70" i="1"/>
  <c r="BT69" i="1"/>
  <c r="AQ69" i="1"/>
  <c r="DF68" i="1"/>
  <c r="AQ68" i="1"/>
  <c r="DF67" i="1"/>
  <c r="AU67" i="1"/>
  <c r="AQ67" i="1"/>
  <c r="AU66" i="1"/>
  <c r="DF65" i="1"/>
  <c r="DF64" i="1"/>
  <c r="AU64" i="1"/>
  <c r="AQ64" i="1"/>
  <c r="DF63" i="1"/>
  <c r="AU63" i="1"/>
  <c r="AQ63" i="1"/>
  <c r="AU62" i="1"/>
  <c r="DF61" i="1"/>
  <c r="AQ61" i="1"/>
  <c r="AU60" i="1"/>
  <c r="AQ60" i="1"/>
  <c r="DF60" i="1"/>
  <c r="DF59" i="1"/>
  <c r="DF58" i="1"/>
  <c r="DF56" i="1"/>
  <c r="DF55" i="1"/>
  <c r="DF54" i="1"/>
  <c r="DF53" i="1"/>
  <c r="DF52" i="1"/>
  <c r="BT52" i="1"/>
  <c r="DF50" i="1"/>
  <c r="DF36" i="1"/>
  <c r="K328" i="1" l="1"/>
</calcChain>
</file>

<file path=xl/comments1.xml><?xml version="1.0" encoding="utf-8"?>
<comments xmlns="http://schemas.openxmlformats.org/spreadsheetml/2006/main">
  <authors>
    <author>Frodo</author>
  </authors>
  <commentList>
    <comment ref="DT26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Easy (entrance in the front)</t>
        </r>
      </text>
    </comment>
    <comment ref="DT40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Médio (entrance at the back)</t>
        </r>
      </text>
    </comment>
    <comment ref="DT41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Easy</t>
        </r>
      </text>
    </comment>
    <comment ref="DT4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Medio</t>
        </r>
      </text>
    </comment>
    <comment ref="DT48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Medio</t>
        </r>
      </text>
    </comment>
    <comment ref="DR6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 hand/arm restrainded</t>
        </r>
      </text>
    </comment>
    <comment ref="X7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16,58% com flexão do tronco</t>
        </r>
      </text>
    </comment>
    <comment ref="DT7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 whole body</t>
        </r>
      </text>
    </comment>
    <comment ref="X80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bent
</t>
        </r>
      </text>
    </comment>
    <comment ref="DT81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 whole body
</t>
        </r>
      </text>
    </comment>
    <comment ref="DT86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 whiole body
</t>
        </r>
      </text>
    </comment>
    <comment ref="X88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do tempo ao nivel do ombro</t>
        </r>
      </text>
    </comment>
    <comment ref="X8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em flexão do tronco
</t>
        </r>
      </text>
    </comment>
    <comment ref="X92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Flexão do tronco</t>
        </r>
      </text>
    </comment>
    <comment ref="DT92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 whole body
</t>
        </r>
      </text>
    </comment>
    <comment ref="X94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tronco fletido</t>
        </r>
      </text>
    </comment>
    <comment ref="DR94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 Medium arm restrained
</t>
        </r>
      </text>
    </comment>
    <comment ref="X95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flexão do tronco
</t>
        </r>
      </text>
    </comment>
    <comment ref="DR10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 hand arm </t>
        </r>
      </text>
    </comment>
    <comment ref="DT10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 whole body</t>
        </r>
      </text>
    </comment>
    <comment ref="DR10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 arm</t>
        </r>
      </text>
    </comment>
    <comment ref="DR14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 hand/arm
</t>
        </r>
      </text>
    </comment>
    <comment ref="DR148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 hand/arm
</t>
        </r>
      </text>
    </comment>
    <comment ref="DT16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 body restriction
</t>
        </r>
      </text>
    </comment>
    <comment ref="X17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2,75 - flexed
1,6 - twisted/bent
</t>
        </r>
      </text>
    </comment>
    <comment ref="DT17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 whole body
</t>
        </r>
      </text>
    </comment>
    <comment ref="DR202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 hand
</t>
        </r>
      </text>
    </comment>
    <comment ref="DR212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 hand/arm
</t>
        </r>
      </text>
    </comment>
    <comment ref="DT21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 while body
</t>
        </r>
      </text>
    </comment>
    <comment ref="T222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0,25 - sentado
restante - em pé</t>
        </r>
      </text>
    </comment>
    <comment ref="T22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stand
</t>
        </r>
      </text>
    </comment>
    <comment ref="X224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0,77 altura do ombro</t>
        </r>
      </text>
    </comment>
    <comment ref="T225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11,39 pé
13.64 sentado
</t>
        </r>
      </text>
    </comment>
    <comment ref="T226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5,89 pé
12,74 sentado</t>
        </r>
      </text>
    </comment>
    <comment ref="T22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1,58 sentado
2,85 pé</t>
        </r>
      </text>
    </comment>
    <comment ref="DR23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 arm
</t>
        </r>
      </text>
    </comment>
    <comment ref="DR240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 hand</t>
        </r>
      </text>
    </comment>
    <comment ref="DT240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 whole body
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tronco fletido</t>
        </r>
      </text>
    </comment>
    <comment ref="X246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fletido</t>
        </r>
      </text>
    </comment>
    <comment ref="X248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10,37 flexed</t>
        </r>
      </text>
    </comment>
    <comment ref="X24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21,88% fletido
</t>
        </r>
      </text>
    </comment>
    <comment ref="DT24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1 light
1 medium
</t>
        </r>
      </text>
    </comment>
    <comment ref="DR25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 hand</t>
        </r>
      </text>
    </comment>
    <comment ref="DT253" authorId="0" shapeId="0">
      <text>
        <r>
          <rPr>
            <b/>
            <sz val="9"/>
            <color indexed="81"/>
            <rFont val="Tahoma"/>
            <family val="2"/>
          </rPr>
          <t>light whole body</t>
        </r>
      </text>
    </comment>
    <comment ref="T255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0,31 kneeling</t>
        </r>
      </text>
    </comment>
    <comment ref="X255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3,36 fletido
</t>
        </r>
      </text>
    </comment>
    <comment ref="T256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em kneeling</t>
        </r>
      </text>
    </comment>
    <comment ref="X256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1,45 fletido
</t>
        </r>
      </text>
    </comment>
    <comment ref="DR257" authorId="0" shapeId="0">
      <text>
        <r>
          <rPr>
            <b/>
            <sz val="9"/>
            <color indexed="81"/>
            <rFont val="Tahoma"/>
            <family val="2"/>
          </rPr>
          <t>Frodo:
strong</t>
        </r>
      </text>
    </comment>
    <comment ref="DR258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</t>
        </r>
      </text>
    </comment>
    <comment ref="T264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do tempo sentado
</t>
        </r>
      </text>
    </comment>
    <comment ref="T265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de tempo sentado
</t>
        </r>
      </text>
    </comment>
    <comment ref="T266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do tempo sentado</t>
        </r>
      </text>
    </comment>
    <comment ref="T26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6,03 sentado</t>
        </r>
      </text>
    </comment>
    <comment ref="X26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em flexao do tronco
</t>
        </r>
      </text>
    </comment>
    <comment ref="DR26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 hand</t>
        </r>
      </text>
    </comment>
    <comment ref="X268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10,79 feltido</t>
        </r>
      </text>
    </comment>
    <comment ref="DR268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 hand</t>
        </r>
      </text>
    </comment>
    <comment ref="X26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em flexão
</t>
        </r>
      </text>
    </comment>
    <comment ref="DR26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1,1 kneeling
5,69 standing</t>
        </r>
      </text>
    </comment>
    <comment ref="DR270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
</t>
        </r>
      </text>
    </comment>
    <comment ref="T271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tempo total sentado
</t>
        </r>
      </text>
    </comment>
    <comment ref="X271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tempo total fletido
</t>
        </r>
      </text>
    </comment>
    <comment ref="DR271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 hand</t>
        </r>
      </text>
    </comment>
    <comment ref="DR27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1,89 strong
6,91 medium
</t>
        </r>
      </text>
    </comment>
    <comment ref="DR274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R275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 hand
</t>
        </r>
      </text>
    </comment>
    <comment ref="DR276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T27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standing</t>
        </r>
      </text>
    </comment>
    <comment ref="DR29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R298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R30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 hand</t>
        </r>
      </text>
    </comment>
    <comment ref="DR304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</t>
        </r>
      </text>
    </comment>
    <comment ref="DR315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
</t>
        </r>
      </text>
    </comment>
    <comment ref="DR316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T31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de tempo sentado</t>
        </r>
      </text>
    </comment>
    <comment ref="DT322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 whole body</t>
        </r>
      </text>
    </comment>
    <comment ref="T32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2,32 kneeling
3,25 sitting
3,23 standing
</t>
        </r>
      </text>
    </comment>
    <comment ref="X32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8,36 fletido
</t>
        </r>
      </text>
    </comment>
    <comment ref="DT32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 whole body</t>
        </r>
      </text>
    </comment>
    <comment ref="T325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0,35 sitting
31,94 standing
</t>
        </r>
      </text>
    </comment>
    <comment ref="DT325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 whole body
</t>
        </r>
      </text>
    </comment>
    <comment ref="DT326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 whole body</t>
        </r>
      </text>
    </comment>
    <comment ref="T32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0,03 sentado</t>
        </r>
      </text>
    </comment>
    <comment ref="T328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tempo total sentado</t>
        </r>
      </text>
    </comment>
    <comment ref="T331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tempo total sentado
</t>
        </r>
      </text>
    </comment>
    <comment ref="DR33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
</t>
        </r>
      </text>
    </comment>
    <comment ref="T334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tempo total sentado
</t>
        </r>
      </text>
    </comment>
    <comment ref="T335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tempo total sentado
</t>
        </r>
      </text>
    </comment>
    <comment ref="DT340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</t>
        </r>
      </text>
    </comment>
    <comment ref="DT34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</t>
        </r>
      </text>
    </comment>
    <comment ref="T34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0,28 sentado
</t>
        </r>
      </text>
    </comment>
    <comment ref="DT349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
</t>
        </r>
      </text>
    </comment>
    <comment ref="T350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total sentado</t>
        </r>
      </text>
    </comment>
    <comment ref="DT350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
</t>
        </r>
      </text>
    </comment>
    <comment ref="T351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0,15 stand</t>
        </r>
      </text>
    </comment>
    <comment ref="DT351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</t>
        </r>
      </text>
    </comment>
    <comment ref="T352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0,38 sitting</t>
        </r>
      </text>
    </comment>
    <comment ref="DT352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</t>
        </r>
      </text>
    </comment>
    <comment ref="X353" authorId="0" shapeId="0">
      <text>
        <r>
          <rPr>
            <b/>
            <sz val="9"/>
            <color indexed="81"/>
            <rFont val="Tahoma"/>
            <family val="2"/>
          </rPr>
          <t>Fro</t>
        </r>
      </text>
    </comment>
    <comment ref="DR353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strong</t>
        </r>
      </text>
    </comment>
    <comment ref="DT354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
</t>
        </r>
      </text>
    </comment>
    <comment ref="DT356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light</t>
        </r>
      </text>
    </comment>
    <comment ref="DT357" authorId="0" shapeId="0">
      <text>
        <r>
          <rPr>
            <b/>
            <sz val="9"/>
            <color indexed="81"/>
            <rFont val="Tahoma"/>
            <family val="2"/>
          </rPr>
          <t>Frodo:</t>
        </r>
        <r>
          <rPr>
            <sz val="9"/>
            <color indexed="81"/>
            <rFont val="Tahoma"/>
            <family val="2"/>
          </rPr>
          <t xml:space="preserve">
medium whole body</t>
        </r>
      </text>
    </comment>
  </commentList>
</comments>
</file>

<file path=xl/sharedStrings.xml><?xml version="1.0" encoding="utf-8"?>
<sst xmlns="http://schemas.openxmlformats.org/spreadsheetml/2006/main" count="1233" uniqueCount="491">
  <si>
    <t>zona</t>
  </si>
  <si>
    <t>URQ</t>
  </si>
  <si>
    <t>Estacao</t>
  </si>
  <si>
    <t>Data</t>
  </si>
  <si>
    <t>Operacionalização das variaveis</t>
  </si>
  <si>
    <t>Data de introdução dos dados na base de dados</t>
  </si>
  <si>
    <t>Número da estação a que correspondem os dados</t>
  </si>
  <si>
    <t xml:space="preserve">Zona </t>
  </si>
  <si>
    <t xml:space="preserve">URQ </t>
  </si>
  <si>
    <t>P_standwalk</t>
  </si>
  <si>
    <t>P_sitting</t>
  </si>
  <si>
    <t>P_lying</t>
  </si>
  <si>
    <t>P_bent</t>
  </si>
  <si>
    <t>P_twisted</t>
  </si>
  <si>
    <t>P_shoulder_height</t>
  </si>
  <si>
    <t>P_head_level</t>
  </si>
  <si>
    <t>P_60_range</t>
  </si>
  <si>
    <t>P_80_range</t>
  </si>
  <si>
    <t>P_arm_stretched</t>
  </si>
  <si>
    <t>P_kneeling</t>
  </si>
  <si>
    <t>% de tempo, do tempo de ciclo, parado ou a andar</t>
  </si>
  <si>
    <t>% de tempo, do tempo de ciclo, sentado</t>
  </si>
  <si>
    <t>% de tempo, do tempo de ciclo, deitado</t>
  </si>
  <si>
    <t>% de tempo, do tempo de ciclo, com o tronco fletido</t>
  </si>
  <si>
    <t>% de tempo, do tempo de ciclo, com o tronco em flexão extrema</t>
  </si>
  <si>
    <t>% de tempo, do tempo de ciclo, como tronco em rotação ou inclinação</t>
  </si>
  <si>
    <t>% de tempo, do tempo de ciclo, com o braço acima ou nivel dos ombros</t>
  </si>
  <si>
    <t>% de tempo, do tempo de ciclo, com uma das mãos acima do nível da cabeça</t>
  </si>
  <si>
    <t>% de tempo, do tempo de ciclo, com um alcance de 60%</t>
  </si>
  <si>
    <t>% de tempo, do tempo de ciclo, com um alcance de 80%</t>
  </si>
  <si>
    <t>% de tempo, do tempo de ciclo, com os joelhos no chão</t>
  </si>
  <si>
    <t>% de tempo, do tempo de ciclo, com um alcance de 100%</t>
  </si>
  <si>
    <t>MMC_weight</t>
  </si>
  <si>
    <t>MMC_frequency</t>
  </si>
  <si>
    <t>Número de vezes que movimenta a carga durante o ciclo</t>
  </si>
  <si>
    <t>Peso da carga movimentada durante o ciclo</t>
  </si>
  <si>
    <t>F_maobraco</t>
  </si>
  <si>
    <t>F_corpointeiro</t>
  </si>
  <si>
    <t>Presença de força com o sistema mãobraço
0-Não realiza
1-Realiza</t>
  </si>
  <si>
    <t>Intensidade da força realizada pelo sistema mão braço - Newton</t>
  </si>
  <si>
    <t>Presença de força com o corpo inteiro
0-Não realiza
1-Realiza</t>
  </si>
  <si>
    <t>Intensidade da força realizada pelo corpo inteiro - Newton</t>
  </si>
  <si>
    <t>Intensidade_MB</t>
  </si>
  <si>
    <t>Intensidade_CI</t>
  </si>
  <si>
    <t>P_s_bent</t>
  </si>
  <si>
    <t>P_100_range</t>
  </si>
  <si>
    <t>Intensity</t>
  </si>
  <si>
    <t>grip</t>
  </si>
  <si>
    <t>jointposition_50</t>
  </si>
  <si>
    <t>jointposition_75</t>
  </si>
  <si>
    <t>reduced_accessibility</t>
  </si>
  <si>
    <t>entrance_car</t>
  </si>
  <si>
    <t>Tempo_ciclo</t>
  </si>
  <si>
    <t>ferramenta</t>
  </si>
  <si>
    <t>ferramenta_tempo</t>
  </si>
  <si>
    <t>frequency</t>
  </si>
  <si>
    <t>ferramenta_torque</t>
  </si>
  <si>
    <t>P_twisted_bent</t>
  </si>
  <si>
    <t>P_Stand_shoulderheight</t>
  </si>
  <si>
    <t>P_Stand_abovehead</t>
  </si>
  <si>
    <t>P_Sit_shoulderheight</t>
  </si>
  <si>
    <t>P_sit_abovehead</t>
  </si>
  <si>
    <t>P_kneeling_crounching</t>
  </si>
  <si>
    <t>A</t>
  </si>
  <si>
    <t>A1</t>
  </si>
  <si>
    <t>2F</t>
  </si>
  <si>
    <t>P_Stand_bent</t>
  </si>
  <si>
    <t>P_Stand_Strongly_bent</t>
  </si>
  <si>
    <t>P_Sit_bent</t>
  </si>
  <si>
    <t>P_Sit_Strongly_bent</t>
  </si>
  <si>
    <t>jointposition_100</t>
  </si>
  <si>
    <t>2L</t>
  </si>
  <si>
    <t>2R</t>
  </si>
  <si>
    <t>3L</t>
  </si>
  <si>
    <t>3R</t>
  </si>
  <si>
    <t>4L</t>
  </si>
  <si>
    <t>4F</t>
  </si>
  <si>
    <t>5R</t>
  </si>
  <si>
    <t>5F</t>
  </si>
  <si>
    <t>MMC_type</t>
  </si>
  <si>
    <t>6L</t>
  </si>
  <si>
    <t>6R</t>
  </si>
  <si>
    <t>7L</t>
  </si>
  <si>
    <t>7R</t>
  </si>
  <si>
    <t>8L</t>
  </si>
  <si>
    <t>8R</t>
  </si>
  <si>
    <t>A2</t>
  </si>
  <si>
    <t>9L</t>
  </si>
  <si>
    <t>9R</t>
  </si>
  <si>
    <t>10L</t>
  </si>
  <si>
    <t>10R</t>
  </si>
  <si>
    <t>11L</t>
  </si>
  <si>
    <t>11R</t>
  </si>
  <si>
    <t>11B</t>
  </si>
  <si>
    <t>12L</t>
  </si>
  <si>
    <t>12R</t>
  </si>
  <si>
    <t>12B</t>
  </si>
  <si>
    <t>13L</t>
  </si>
  <si>
    <t>13R</t>
  </si>
  <si>
    <t>14L</t>
  </si>
  <si>
    <t>14R</t>
  </si>
  <si>
    <t>15IL</t>
  </si>
  <si>
    <t>15IR</t>
  </si>
  <si>
    <t>A3</t>
  </si>
  <si>
    <t>16F</t>
  </si>
  <si>
    <t>16L</t>
  </si>
  <si>
    <t>16R</t>
  </si>
  <si>
    <t>17L</t>
  </si>
  <si>
    <t>17R</t>
  </si>
  <si>
    <t>18L</t>
  </si>
  <si>
    <t>18R</t>
  </si>
  <si>
    <t>19L</t>
  </si>
  <si>
    <t>20L</t>
  </si>
  <si>
    <t>20F</t>
  </si>
  <si>
    <t>MMC_weight1</t>
  </si>
  <si>
    <t>MMC_distance1</t>
  </si>
  <si>
    <t>MMC_frequency1</t>
  </si>
  <si>
    <t>MMC_weight2</t>
  </si>
  <si>
    <t>MMC_distance2</t>
  </si>
  <si>
    <t>MMC_frequency2</t>
  </si>
  <si>
    <t>20R</t>
  </si>
  <si>
    <t>22L</t>
  </si>
  <si>
    <t>22F</t>
  </si>
  <si>
    <t>22R</t>
  </si>
  <si>
    <t>23R</t>
  </si>
  <si>
    <t>24F</t>
  </si>
  <si>
    <t>A4</t>
  </si>
  <si>
    <t>24L</t>
  </si>
  <si>
    <t>24R</t>
  </si>
  <si>
    <t>25F1</t>
  </si>
  <si>
    <t>25F2</t>
  </si>
  <si>
    <t>25L</t>
  </si>
  <si>
    <t>25R</t>
  </si>
  <si>
    <t>26L</t>
  </si>
  <si>
    <t>26R</t>
  </si>
  <si>
    <t>26F</t>
  </si>
  <si>
    <t>A5</t>
  </si>
  <si>
    <t>26AL</t>
  </si>
  <si>
    <t>26UR</t>
  </si>
  <si>
    <t>26UF</t>
  </si>
  <si>
    <t>26SA</t>
  </si>
  <si>
    <t>B</t>
  </si>
  <si>
    <t>B1</t>
  </si>
  <si>
    <t>27R</t>
  </si>
  <si>
    <t>27L</t>
  </si>
  <si>
    <t>27F</t>
  </si>
  <si>
    <t>28L</t>
  </si>
  <si>
    <t>29F</t>
  </si>
  <si>
    <t>30F</t>
  </si>
  <si>
    <t>31F</t>
  </si>
  <si>
    <t>31IT</t>
  </si>
  <si>
    <t>31EX</t>
  </si>
  <si>
    <t>31IF</t>
  </si>
  <si>
    <t>B2</t>
  </si>
  <si>
    <t>32B</t>
  </si>
  <si>
    <t>32F</t>
  </si>
  <si>
    <t>32R1</t>
  </si>
  <si>
    <t>P_sit</t>
  </si>
  <si>
    <t>33R2</t>
  </si>
  <si>
    <t>33F</t>
  </si>
  <si>
    <t>35R4</t>
  </si>
  <si>
    <t>35F</t>
  </si>
  <si>
    <t>36F</t>
  </si>
  <si>
    <t>36B</t>
  </si>
  <si>
    <t>37BL</t>
  </si>
  <si>
    <t>37F</t>
  </si>
  <si>
    <t>38BL</t>
  </si>
  <si>
    <t>39BL</t>
  </si>
  <si>
    <t>40BR</t>
  </si>
  <si>
    <t>B3</t>
  </si>
  <si>
    <t>B4</t>
  </si>
  <si>
    <t>B5</t>
  </si>
  <si>
    <t>40BL</t>
  </si>
  <si>
    <t>40F</t>
  </si>
  <si>
    <t>41F</t>
  </si>
  <si>
    <t>42UB</t>
  </si>
  <si>
    <t>KITT1</t>
  </si>
  <si>
    <t>DK201</t>
  </si>
  <si>
    <t>DK202</t>
  </si>
  <si>
    <t>DK20R</t>
  </si>
  <si>
    <t>DK20L</t>
  </si>
  <si>
    <t>DK30S</t>
  </si>
  <si>
    <t>DK40</t>
  </si>
  <si>
    <t>DK50R</t>
  </si>
  <si>
    <t>DK50L</t>
  </si>
  <si>
    <t>DK90</t>
  </si>
  <si>
    <t>54R</t>
  </si>
  <si>
    <t>54L</t>
  </si>
  <si>
    <t>54FR</t>
  </si>
  <si>
    <t>54FL</t>
  </si>
  <si>
    <t>55R</t>
  </si>
  <si>
    <t>55L</t>
  </si>
  <si>
    <t>56AR</t>
  </si>
  <si>
    <t>56AL</t>
  </si>
  <si>
    <t>56CB</t>
  </si>
  <si>
    <t>56CR</t>
  </si>
  <si>
    <t>56EL</t>
  </si>
  <si>
    <t>C1</t>
  </si>
  <si>
    <t>C</t>
  </si>
  <si>
    <t>ED20</t>
  </si>
  <si>
    <t>ED30</t>
  </si>
  <si>
    <t>ED40</t>
  </si>
  <si>
    <t>P_Standing_precision</t>
  </si>
  <si>
    <t>ED50R</t>
  </si>
  <si>
    <t>ED06</t>
  </si>
  <si>
    <t>ED07</t>
  </si>
  <si>
    <t>ED75</t>
  </si>
  <si>
    <t>ED76R</t>
  </si>
  <si>
    <t>ED76L</t>
  </si>
  <si>
    <t>ED77L</t>
  </si>
  <si>
    <t>ED77R</t>
  </si>
  <si>
    <t>ED78</t>
  </si>
  <si>
    <t>C2</t>
  </si>
  <si>
    <t>ED80L</t>
  </si>
  <si>
    <t>ED90</t>
  </si>
  <si>
    <t>ED10R</t>
  </si>
  <si>
    <t>ED11L</t>
  </si>
  <si>
    <t>ED12</t>
  </si>
  <si>
    <t>ED130L</t>
  </si>
  <si>
    <t>PA02R</t>
  </si>
  <si>
    <t>PA02L</t>
  </si>
  <si>
    <t>PA04L</t>
  </si>
  <si>
    <t>PA05R</t>
  </si>
  <si>
    <t>C3</t>
  </si>
  <si>
    <t>PA07L</t>
  </si>
  <si>
    <t>PA07R</t>
  </si>
  <si>
    <t>PA09L</t>
  </si>
  <si>
    <t>PA10L</t>
  </si>
  <si>
    <t>PA10R</t>
  </si>
  <si>
    <t>PA11R</t>
  </si>
  <si>
    <t>PA11L</t>
  </si>
  <si>
    <t>PA12R</t>
  </si>
  <si>
    <t>PA13R</t>
  </si>
  <si>
    <t>C4</t>
  </si>
  <si>
    <t>PA13L</t>
  </si>
  <si>
    <t>PA14R</t>
  </si>
  <si>
    <t>PA14L</t>
  </si>
  <si>
    <t>PA15L</t>
  </si>
  <si>
    <t>PA15R</t>
  </si>
  <si>
    <t>T18S1</t>
  </si>
  <si>
    <t>PA19R</t>
  </si>
  <si>
    <t>PA19L</t>
  </si>
  <si>
    <t>PA20L</t>
  </si>
  <si>
    <t>PA21R</t>
  </si>
  <si>
    <t>E</t>
  </si>
  <si>
    <t>E1</t>
  </si>
  <si>
    <t>57A</t>
  </si>
  <si>
    <t>57BR</t>
  </si>
  <si>
    <t>57CR</t>
  </si>
  <si>
    <t>57DF</t>
  </si>
  <si>
    <t>57E</t>
  </si>
  <si>
    <t>57FR</t>
  </si>
  <si>
    <t>57FL</t>
  </si>
  <si>
    <t>57HL</t>
  </si>
  <si>
    <t>E2</t>
  </si>
  <si>
    <t>58L</t>
  </si>
  <si>
    <t>59F</t>
  </si>
  <si>
    <t>60F</t>
  </si>
  <si>
    <t>61L</t>
  </si>
  <si>
    <t>62FL</t>
  </si>
  <si>
    <t>62FR</t>
  </si>
  <si>
    <t>62F</t>
  </si>
  <si>
    <t>63R</t>
  </si>
  <si>
    <t>63L</t>
  </si>
  <si>
    <t>64R</t>
  </si>
  <si>
    <t>64L</t>
  </si>
  <si>
    <t>E3</t>
  </si>
  <si>
    <t>65UL</t>
  </si>
  <si>
    <t>65UR</t>
  </si>
  <si>
    <t>66FL</t>
  </si>
  <si>
    <t>66FR</t>
  </si>
  <si>
    <t>67L</t>
  </si>
  <si>
    <t>67R</t>
  </si>
  <si>
    <t>68L</t>
  </si>
  <si>
    <t>68R</t>
  </si>
  <si>
    <t>69BL</t>
  </si>
  <si>
    <t>69BR</t>
  </si>
  <si>
    <t>70L</t>
  </si>
  <si>
    <t>70R</t>
  </si>
  <si>
    <t>E4</t>
  </si>
  <si>
    <t>71L</t>
  </si>
  <si>
    <t>71R</t>
  </si>
  <si>
    <t>71E</t>
  </si>
  <si>
    <t>72L</t>
  </si>
  <si>
    <t>72R</t>
  </si>
  <si>
    <t>73L</t>
  </si>
  <si>
    <t>73R</t>
  </si>
  <si>
    <t>74B</t>
  </si>
  <si>
    <t>MMC_weight3</t>
  </si>
  <si>
    <t>MMC_distance3</t>
  </si>
  <si>
    <t>MMC_frequency3</t>
  </si>
  <si>
    <t>MMC_weight4</t>
  </si>
  <si>
    <t>MMC_distance4</t>
  </si>
  <si>
    <t>MMC_frequency4</t>
  </si>
  <si>
    <t>79R</t>
  </si>
  <si>
    <t>80L</t>
  </si>
  <si>
    <t>80R</t>
  </si>
  <si>
    <t>83BR</t>
  </si>
  <si>
    <t>83FR</t>
  </si>
  <si>
    <t>85L</t>
  </si>
  <si>
    <t>85R</t>
  </si>
  <si>
    <t>86F</t>
  </si>
  <si>
    <t>E5</t>
  </si>
  <si>
    <t>F</t>
  </si>
  <si>
    <t>F1</t>
  </si>
  <si>
    <t>87B</t>
  </si>
  <si>
    <t>87L</t>
  </si>
  <si>
    <t>87R</t>
  </si>
  <si>
    <t>87I</t>
  </si>
  <si>
    <t>88L</t>
  </si>
  <si>
    <t>88R</t>
  </si>
  <si>
    <t>88I</t>
  </si>
  <si>
    <t>90B</t>
  </si>
  <si>
    <t>90L</t>
  </si>
  <si>
    <t>90R</t>
  </si>
  <si>
    <t>91L</t>
  </si>
  <si>
    <t>91R</t>
  </si>
  <si>
    <t>F2</t>
  </si>
  <si>
    <t>93BL</t>
  </si>
  <si>
    <t>93BR</t>
  </si>
  <si>
    <t>95L</t>
  </si>
  <si>
    <t>95R</t>
  </si>
  <si>
    <t>96L</t>
  </si>
  <si>
    <t>96R</t>
  </si>
  <si>
    <t>97L</t>
  </si>
  <si>
    <t>97R</t>
  </si>
  <si>
    <t>98IL</t>
  </si>
  <si>
    <t>98IR</t>
  </si>
  <si>
    <t>F3</t>
  </si>
  <si>
    <t>99IL</t>
  </si>
  <si>
    <t>99IR</t>
  </si>
  <si>
    <t>101I</t>
  </si>
  <si>
    <t>102I</t>
  </si>
  <si>
    <t>102F</t>
  </si>
  <si>
    <t>104L</t>
  </si>
  <si>
    <t>104R</t>
  </si>
  <si>
    <t>F4</t>
  </si>
  <si>
    <t>106L</t>
  </si>
  <si>
    <t>106R</t>
  </si>
  <si>
    <t>107L</t>
  </si>
  <si>
    <t>107R</t>
  </si>
  <si>
    <t>109L</t>
  </si>
  <si>
    <t>109R</t>
  </si>
  <si>
    <t>110L</t>
  </si>
  <si>
    <t>110R</t>
  </si>
  <si>
    <t>F5</t>
  </si>
  <si>
    <t>111F</t>
  </si>
  <si>
    <t>111B</t>
  </si>
  <si>
    <t>112F</t>
  </si>
  <si>
    <t>112R</t>
  </si>
  <si>
    <t>112L</t>
  </si>
  <si>
    <t>113R</t>
  </si>
  <si>
    <t>114L</t>
  </si>
  <si>
    <t>114R</t>
  </si>
  <si>
    <t>115L</t>
  </si>
  <si>
    <t>115R</t>
  </si>
  <si>
    <t>115FR</t>
  </si>
  <si>
    <t>115FL</t>
  </si>
  <si>
    <t>F6</t>
  </si>
  <si>
    <t>116L</t>
  </si>
  <si>
    <t>116R</t>
  </si>
  <si>
    <t>117L</t>
  </si>
  <si>
    <t>117R</t>
  </si>
  <si>
    <t>118L</t>
  </si>
  <si>
    <t>118R</t>
  </si>
  <si>
    <t>122L</t>
  </si>
  <si>
    <t>122R</t>
  </si>
  <si>
    <t>123L</t>
  </si>
  <si>
    <t>123R</t>
  </si>
  <si>
    <t>124L</t>
  </si>
  <si>
    <t>G</t>
  </si>
  <si>
    <t>G1</t>
  </si>
  <si>
    <t>G2</t>
  </si>
  <si>
    <t>15R</t>
  </si>
  <si>
    <t>15L</t>
  </si>
  <si>
    <t>19R</t>
  </si>
  <si>
    <t>G3</t>
  </si>
  <si>
    <t>21R</t>
  </si>
  <si>
    <t>21L</t>
  </si>
  <si>
    <t>24R0</t>
  </si>
  <si>
    <t>28R</t>
  </si>
  <si>
    <t>H</t>
  </si>
  <si>
    <t>H2</t>
  </si>
  <si>
    <t>19LR</t>
  </si>
  <si>
    <t>21B</t>
  </si>
  <si>
    <t>24LR</t>
  </si>
  <si>
    <t>125L</t>
  </si>
  <si>
    <t>125R</t>
  </si>
  <si>
    <t>126L</t>
  </si>
  <si>
    <t>126R</t>
  </si>
  <si>
    <t>127L</t>
  </si>
  <si>
    <t>127R</t>
  </si>
  <si>
    <t>128L</t>
  </si>
  <si>
    <t>128R</t>
  </si>
  <si>
    <t>129L</t>
  </si>
  <si>
    <t>129R</t>
  </si>
  <si>
    <t>142L</t>
  </si>
  <si>
    <t>H3</t>
  </si>
  <si>
    <t>143L</t>
  </si>
  <si>
    <t>143R</t>
  </si>
  <si>
    <t>144L</t>
  </si>
  <si>
    <t>144R</t>
  </si>
  <si>
    <t>145L</t>
  </si>
  <si>
    <t>145R</t>
  </si>
  <si>
    <t>H4</t>
  </si>
  <si>
    <t>136F</t>
  </si>
  <si>
    <t>J</t>
  </si>
  <si>
    <t>J1</t>
  </si>
  <si>
    <t>DRV</t>
  </si>
  <si>
    <t>U-AL</t>
  </si>
  <si>
    <t>ALI</t>
  </si>
  <si>
    <t>ROLL-C</t>
  </si>
  <si>
    <t>POSR</t>
  </si>
  <si>
    <t>FAZ</t>
  </si>
  <si>
    <t>J3</t>
  </si>
  <si>
    <t>26 - ECOS</t>
  </si>
  <si>
    <t>42L</t>
  </si>
  <si>
    <t>146L</t>
  </si>
  <si>
    <t>147L -ECOS</t>
  </si>
  <si>
    <t>157L</t>
  </si>
  <si>
    <t>Score</t>
  </si>
  <si>
    <t>Carga_trabalho</t>
  </si>
  <si>
    <t>VIOLI</t>
  </si>
  <si>
    <t>1 e 2</t>
  </si>
  <si>
    <t>Duration</t>
  </si>
  <si>
    <t>Intensity_1</t>
  </si>
  <si>
    <t>frequency_2</t>
  </si>
  <si>
    <t>frequency_1</t>
  </si>
  <si>
    <t>F_direction_1</t>
  </si>
  <si>
    <t>Intensity_2</t>
  </si>
  <si>
    <t>Duration_2</t>
  </si>
  <si>
    <t>F_direction_2</t>
  </si>
  <si>
    <t>Intensity_3</t>
  </si>
  <si>
    <t>frequency_3</t>
  </si>
  <si>
    <t>Duration_3</t>
  </si>
  <si>
    <t>F_direction_3</t>
  </si>
  <si>
    <t>Intensity_4</t>
  </si>
  <si>
    <t>Duration_</t>
  </si>
  <si>
    <t>frequency_4</t>
  </si>
  <si>
    <t>Duration_4</t>
  </si>
  <si>
    <t>F_direction_4</t>
  </si>
  <si>
    <t>Intensity_5</t>
  </si>
  <si>
    <t>frequency_5</t>
  </si>
  <si>
    <t>Duration_5</t>
  </si>
  <si>
    <t>F_direction_5</t>
  </si>
  <si>
    <t>ferramenta_tipo</t>
  </si>
  <si>
    <t xml:space="preserve"> </t>
  </si>
  <si>
    <t>57GR</t>
  </si>
  <si>
    <t>57F0</t>
  </si>
  <si>
    <t>58R0</t>
  </si>
  <si>
    <t>61R</t>
  </si>
  <si>
    <t>Intensity_6</t>
  </si>
  <si>
    <t>frequency_6</t>
  </si>
  <si>
    <t>Duration_6</t>
  </si>
  <si>
    <t>F_direction_6</t>
  </si>
  <si>
    <t>Intensity_7</t>
  </si>
  <si>
    <t>frequency_7</t>
  </si>
  <si>
    <t>Duration_7</t>
  </si>
  <si>
    <t>F_direction_7</t>
  </si>
  <si>
    <t>Intensity_8</t>
  </si>
  <si>
    <t>frequency_8</t>
  </si>
  <si>
    <t>Duration_8</t>
  </si>
  <si>
    <t>F_direction_8</t>
  </si>
  <si>
    <t>07L</t>
  </si>
  <si>
    <t>07R</t>
  </si>
  <si>
    <t>Intensity_9</t>
  </si>
  <si>
    <t>frequency_9</t>
  </si>
  <si>
    <t>Duration_9</t>
  </si>
  <si>
    <t>F_direction_9</t>
  </si>
  <si>
    <t>0,72+0,73</t>
  </si>
  <si>
    <t>T34B</t>
  </si>
  <si>
    <t>T34R3</t>
  </si>
  <si>
    <t>PA06S1</t>
  </si>
  <si>
    <t>77FR</t>
  </si>
  <si>
    <t>Score_Posture</t>
  </si>
  <si>
    <t>Score_MMC</t>
  </si>
  <si>
    <t>Score_Force</t>
  </si>
  <si>
    <t>Score_ferramenta</t>
  </si>
  <si>
    <t>Score_jointposition</t>
  </si>
  <si>
    <t>Score_reduced acessibility</t>
  </si>
  <si>
    <t>Score_otherbodyloads</t>
  </si>
  <si>
    <t>83B</t>
  </si>
  <si>
    <t>83F</t>
  </si>
  <si>
    <t>A0</t>
  </si>
  <si>
    <t>01W</t>
  </si>
  <si>
    <t>01L</t>
  </si>
  <si>
    <t>01R</t>
  </si>
  <si>
    <t>02L</t>
  </si>
  <si>
    <t>02R</t>
  </si>
  <si>
    <t>F115</t>
  </si>
  <si>
    <t>ZFRET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</si>
</sst>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1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2" fontId="0" fillId="0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14" fontId="0" fillId="0" borderId="0" xfId="0" applyNumberFormat="1" applyFont="1" applyFill="1"/>
    <xf numFmtId="0" fontId="4" fillId="0" borderId="0" xfId="0" applyFont="1" applyFill="1"/>
    <xf numFmtId="0" fontId="1" fillId="0" borderId="0" xfId="0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center"/>
    </xf>
    <xf numFmtId="1" fontId="0" fillId="0" borderId="0" xfId="0" applyNumberFormat="1" applyFill="1"/>
    <xf numFmtId="16" fontId="0" fillId="0" borderId="0" xfId="0" applyNumberFormat="1" applyFill="1"/>
    <xf numFmtId="14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4" fontId="0" fillId="0" borderId="2" xfId="0" applyNumberFormat="1" applyFill="1" applyBorder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491"/>
  <sheetViews>
    <sheetView tabSelected="1" zoomScaleNormal="100" workbookViewId="0">
      <pane xSplit="4" ySplit="1" topLeftCell="E2" activePane="bottomRight" state="frozen"/>
      <selection activeCell="B23" sqref="B23"/>
      <selection pane="topRight" activeCell="B23" sqref="B23"/>
      <selection pane="bottomLeft" activeCell="B23" sqref="B23"/>
      <selection pane="bottomRight" activeCell="A358" sqref="A358:XFD483"/>
    </sheetView>
  </sheetViews>
  <sheetFormatPr defaultRowHeight="14.25" x14ac:dyDescent="0.2"/>
  <cols>
    <col min="1" max="1" width="10.125" style="9" customWidth="1"/>
    <col min="2" max="2" width="5.125" style="9" customWidth="1"/>
    <col min="3" max="3" width="5.125" style="9" bestFit="1" customWidth="1"/>
    <col min="4" max="4" width="7.25" style="9" customWidth="1"/>
    <col min="5" max="5" width="6.125" style="9" customWidth="1"/>
    <col min="6" max="6" width="14.5" style="11" customWidth="1"/>
    <col min="7" max="7" width="12.125" style="11" customWidth="1"/>
    <col min="8" max="8" width="9.375" style="11" customWidth="1"/>
    <col min="9" max="9" width="10.125" style="9" customWidth="1"/>
    <col min="10" max="10" width="20.5" style="9" customWidth="1"/>
    <col min="11" max="11" width="23.125" style="9" customWidth="1"/>
    <col min="12" max="12" width="19.375" style="9" customWidth="1"/>
    <col min="13" max="13" width="13.375" style="9" customWidth="1"/>
    <col min="14" max="14" width="22" style="9" customWidth="1"/>
    <col min="15" max="15" width="5.875" style="9" customWidth="1"/>
    <col min="16" max="16" width="20.25" style="9" customWidth="1"/>
    <col min="17" max="17" width="16.25" style="9" customWidth="1"/>
    <col min="18" max="18" width="10.5" style="9" customWidth="1"/>
    <col min="19" max="19" width="19.125" style="9" customWidth="1"/>
    <col min="20" max="20" width="14.625" style="9" customWidth="1"/>
    <col min="21" max="22" width="11.25" style="9" customWidth="1"/>
    <col min="23" max="23" width="12.25" style="9" customWidth="1"/>
    <col min="24" max="24" width="22.125" style="9" customWidth="1"/>
    <col min="25" max="25" width="8.875" style="9" customWidth="1"/>
    <col min="26" max="26" width="10.25" style="9" customWidth="1"/>
    <col min="27" max="27" width="13.5" style="9" customWidth="1"/>
    <col min="28" max="28" width="15.125" style="9" customWidth="1"/>
    <col min="29" max="29" width="16.5" style="9" customWidth="1"/>
    <col min="30" max="30" width="13.5" style="9" customWidth="1"/>
    <col min="31" max="31" width="15.125" style="9" customWidth="1"/>
    <col min="32" max="32" width="16.5" style="9" customWidth="1"/>
    <col min="33" max="33" width="13.5" style="9" customWidth="1"/>
    <col min="34" max="34" width="15.125" style="9" customWidth="1"/>
    <col min="35" max="35" width="16.5" style="9" customWidth="1"/>
    <col min="36" max="36" width="13.5" style="9" customWidth="1"/>
    <col min="37" max="37" width="15.125" style="9" customWidth="1"/>
    <col min="38" max="38" width="16.5" style="9" customWidth="1"/>
    <col min="39" max="39" width="12.25" style="9" bestFit="1" customWidth="1"/>
    <col min="40" max="40" width="10.5" style="9" customWidth="1"/>
    <col min="41" max="41" width="8.375" style="9" customWidth="1"/>
    <col min="42" max="42" width="5.375" style="9" customWidth="1"/>
    <col min="43" max="43" width="6.125" style="9" customWidth="1"/>
    <col min="44" max="44" width="4.375" style="9" customWidth="1"/>
    <col min="45" max="46" width="5.25" style="9" customWidth="1"/>
    <col min="47" max="47" width="5.5" style="9" customWidth="1"/>
    <col min="48" max="48" width="4.875" style="9" customWidth="1"/>
    <col min="49" max="50" width="4.375" style="9" customWidth="1"/>
    <col min="51" max="51" width="8.5" style="12" customWidth="1"/>
    <col min="52" max="68" width="4.375" style="9" customWidth="1"/>
    <col min="69" max="69" width="13.5" style="9" customWidth="1"/>
    <col min="70" max="70" width="10.375" style="9" customWidth="1"/>
    <col min="71" max="71" width="11.75" style="9" customWidth="1"/>
    <col min="72" max="72" width="9.5" style="9" customWidth="1"/>
    <col min="73" max="73" width="13" style="9" customWidth="1"/>
    <col min="74" max="74" width="10.375" style="9" customWidth="1"/>
    <col min="75" max="75" width="11.75" style="9" customWidth="1"/>
    <col min="76" max="76" width="10.5" style="9" customWidth="1"/>
    <col min="77" max="77" width="13" style="9" customWidth="1"/>
    <col min="78" max="78" width="10.375" style="9" customWidth="1"/>
    <col min="79" max="79" width="11.75" style="9" customWidth="1"/>
    <col min="80" max="80" width="10.5" style="9" customWidth="1"/>
    <col min="81" max="81" width="13" style="9" customWidth="1"/>
    <col min="82" max="82" width="10.375" style="9" customWidth="1"/>
    <col min="83" max="83" width="11.75" style="9" customWidth="1"/>
    <col min="84" max="84" width="10.5" style="9" customWidth="1"/>
    <col min="85" max="85" width="13" style="9" customWidth="1"/>
    <col min="86" max="86" width="10.375" style="9" customWidth="1"/>
    <col min="87" max="87" width="11.75" style="9" customWidth="1"/>
    <col min="88" max="88" width="10.5" style="9" customWidth="1"/>
    <col min="89" max="105" width="13" style="9" customWidth="1"/>
    <col min="106" max="106" width="17.125" style="9" bestFit="1" customWidth="1"/>
    <col min="107" max="107" width="10.625" style="9" bestFit="1" customWidth="1"/>
    <col min="108" max="108" width="15.125" style="9" bestFit="1" customWidth="1"/>
    <col min="109" max="109" width="17.625" style="9" customWidth="1"/>
    <col min="110" max="110" width="17.5" style="9" bestFit="1" customWidth="1"/>
    <col min="111" max="111" width="15.125" style="9" bestFit="1" customWidth="1"/>
    <col min="112" max="112" width="17.625" style="9" customWidth="1"/>
    <col min="113" max="113" width="17.5" style="9" bestFit="1" customWidth="1"/>
    <col min="114" max="114" width="15.125" style="9" bestFit="1" customWidth="1"/>
    <col min="115" max="115" width="17.625" style="9" bestFit="1" customWidth="1"/>
    <col min="116" max="116" width="17.5" style="9" bestFit="1" customWidth="1"/>
    <col min="117" max="117" width="10" style="9" customWidth="1"/>
    <col min="118" max="119" width="15" style="9" customWidth="1"/>
    <col min="120" max="120" width="16" style="9" customWidth="1"/>
    <col min="121" max="121" width="12.25" style="9" customWidth="1"/>
    <col min="122" max="123" width="20.25" style="9" customWidth="1"/>
    <col min="124" max="124" width="12.5" style="9" customWidth="1"/>
    <col min="125" max="16384" width="9" style="9"/>
  </cols>
  <sheetData>
    <row r="1" spans="1:124" ht="15" x14ac:dyDescent="0.25">
      <c r="A1" s="20" t="s">
        <v>3</v>
      </c>
      <c r="B1" s="20" t="s">
        <v>0</v>
      </c>
      <c r="C1" s="20" t="s">
        <v>1</v>
      </c>
      <c r="D1" s="20" t="s">
        <v>2</v>
      </c>
      <c r="E1" s="20" t="s">
        <v>420</v>
      </c>
      <c r="F1" s="21" t="s">
        <v>421</v>
      </c>
      <c r="G1" s="21" t="s">
        <v>52</v>
      </c>
      <c r="H1" s="21" t="s">
        <v>474</v>
      </c>
      <c r="I1" s="20" t="s">
        <v>9</v>
      </c>
      <c r="J1" s="20" t="s">
        <v>202</v>
      </c>
      <c r="K1" s="20" t="s">
        <v>58</v>
      </c>
      <c r="L1" s="20" t="s">
        <v>59</v>
      </c>
      <c r="M1" s="20" t="s">
        <v>66</v>
      </c>
      <c r="N1" s="20" t="s">
        <v>67</v>
      </c>
      <c r="O1" s="20" t="s">
        <v>157</v>
      </c>
      <c r="P1" s="20" t="s">
        <v>60</v>
      </c>
      <c r="Q1" s="20" t="s">
        <v>61</v>
      </c>
      <c r="R1" s="20" t="s">
        <v>68</v>
      </c>
      <c r="S1" s="20" t="s">
        <v>69</v>
      </c>
      <c r="T1" s="20" t="s">
        <v>57</v>
      </c>
      <c r="U1" s="20" t="s">
        <v>16</v>
      </c>
      <c r="V1" s="20" t="s">
        <v>17</v>
      </c>
      <c r="W1" s="20" t="s">
        <v>45</v>
      </c>
      <c r="X1" s="20" t="s">
        <v>62</v>
      </c>
      <c r="Y1" s="20" t="s">
        <v>475</v>
      </c>
      <c r="Z1" s="20" t="s">
        <v>79</v>
      </c>
      <c r="AA1" s="20" t="s">
        <v>114</v>
      </c>
      <c r="AB1" s="20" t="s">
        <v>115</v>
      </c>
      <c r="AC1" s="20" t="s">
        <v>116</v>
      </c>
      <c r="AD1" s="20" t="s">
        <v>117</v>
      </c>
      <c r="AE1" s="20" t="s">
        <v>118</v>
      </c>
      <c r="AF1" s="20" t="s">
        <v>119</v>
      </c>
      <c r="AG1" s="20" t="s">
        <v>288</v>
      </c>
      <c r="AH1" s="20" t="s">
        <v>289</v>
      </c>
      <c r="AI1" s="20" t="s">
        <v>290</v>
      </c>
      <c r="AJ1" s="20" t="s">
        <v>291</v>
      </c>
      <c r="AK1" s="20" t="s">
        <v>292</v>
      </c>
      <c r="AL1" s="20" t="s">
        <v>293</v>
      </c>
      <c r="AM1" s="20" t="s">
        <v>476</v>
      </c>
      <c r="AN1" s="20" t="s">
        <v>36</v>
      </c>
      <c r="AO1" s="20" t="s">
        <v>46</v>
      </c>
      <c r="AP1" s="20" t="s">
        <v>55</v>
      </c>
      <c r="AQ1" s="20" t="s">
        <v>424</v>
      </c>
      <c r="AR1" s="20" t="s">
        <v>47</v>
      </c>
      <c r="AS1" s="20" t="s">
        <v>46</v>
      </c>
      <c r="AT1" s="20" t="s">
        <v>55</v>
      </c>
      <c r="AU1" s="20" t="s">
        <v>424</v>
      </c>
      <c r="AV1" s="20" t="s">
        <v>47</v>
      </c>
      <c r="AW1" s="20" t="s">
        <v>46</v>
      </c>
      <c r="AX1" s="20" t="s">
        <v>55</v>
      </c>
      <c r="AY1" s="22" t="s">
        <v>424</v>
      </c>
      <c r="AZ1" s="20" t="s">
        <v>47</v>
      </c>
      <c r="BA1" s="20" t="s">
        <v>46</v>
      </c>
      <c r="BB1" s="20" t="s">
        <v>55</v>
      </c>
      <c r="BC1" s="22" t="s">
        <v>424</v>
      </c>
      <c r="BD1" s="20" t="s">
        <v>47</v>
      </c>
      <c r="BE1" s="20" t="s">
        <v>46</v>
      </c>
      <c r="BF1" s="20" t="s">
        <v>55</v>
      </c>
      <c r="BG1" s="22" t="s">
        <v>424</v>
      </c>
      <c r="BH1" s="20" t="s">
        <v>47</v>
      </c>
      <c r="BI1" s="20" t="s">
        <v>46</v>
      </c>
      <c r="BJ1" s="20" t="s">
        <v>55</v>
      </c>
      <c r="BK1" s="22" t="s">
        <v>424</v>
      </c>
      <c r="BL1" s="20" t="s">
        <v>47</v>
      </c>
      <c r="BM1" s="20" t="s">
        <v>46</v>
      </c>
      <c r="BN1" s="20" t="s">
        <v>55</v>
      </c>
      <c r="BO1" s="22" t="s">
        <v>424</v>
      </c>
      <c r="BP1" s="20" t="s">
        <v>47</v>
      </c>
      <c r="BQ1" s="20" t="s">
        <v>37</v>
      </c>
      <c r="BR1" s="20" t="s">
        <v>425</v>
      </c>
      <c r="BS1" s="20" t="s">
        <v>427</v>
      </c>
      <c r="BT1" s="20" t="s">
        <v>437</v>
      </c>
      <c r="BU1" s="20" t="s">
        <v>428</v>
      </c>
      <c r="BV1" s="20" t="s">
        <v>429</v>
      </c>
      <c r="BW1" s="20" t="s">
        <v>426</v>
      </c>
      <c r="BX1" s="20" t="s">
        <v>430</v>
      </c>
      <c r="BY1" s="20" t="s">
        <v>431</v>
      </c>
      <c r="BZ1" s="20" t="s">
        <v>432</v>
      </c>
      <c r="CA1" s="20" t="s">
        <v>433</v>
      </c>
      <c r="CB1" s="20" t="s">
        <v>434</v>
      </c>
      <c r="CC1" s="20" t="s">
        <v>435</v>
      </c>
      <c r="CD1" s="20" t="s">
        <v>436</v>
      </c>
      <c r="CE1" s="20" t="s">
        <v>438</v>
      </c>
      <c r="CF1" s="20" t="s">
        <v>439</v>
      </c>
      <c r="CG1" s="20" t="s">
        <v>440</v>
      </c>
      <c r="CH1" s="20" t="s">
        <v>441</v>
      </c>
      <c r="CI1" s="20" t="s">
        <v>442</v>
      </c>
      <c r="CJ1" s="20" t="s">
        <v>443</v>
      </c>
      <c r="CK1" s="20" t="s">
        <v>444</v>
      </c>
      <c r="CL1" s="20" t="s">
        <v>451</v>
      </c>
      <c r="CM1" s="20" t="s">
        <v>452</v>
      </c>
      <c r="CN1" s="20" t="s">
        <v>453</v>
      </c>
      <c r="CO1" s="20" t="s">
        <v>454</v>
      </c>
      <c r="CP1" s="20" t="s">
        <v>455</v>
      </c>
      <c r="CQ1" s="20" t="s">
        <v>456</v>
      </c>
      <c r="CR1" s="20" t="s">
        <v>457</v>
      </c>
      <c r="CS1" s="20" t="s">
        <v>458</v>
      </c>
      <c r="CT1" s="20" t="s">
        <v>459</v>
      </c>
      <c r="CU1" s="20" t="s">
        <v>460</v>
      </c>
      <c r="CV1" s="20" t="s">
        <v>461</v>
      </c>
      <c r="CW1" s="20" t="s">
        <v>462</v>
      </c>
      <c r="CX1" s="20" t="s">
        <v>465</v>
      </c>
      <c r="CY1" s="20" t="s">
        <v>466</v>
      </c>
      <c r="CZ1" s="20" t="s">
        <v>467</v>
      </c>
      <c r="DA1" s="20" t="s">
        <v>468</v>
      </c>
      <c r="DB1" s="20" t="s">
        <v>477</v>
      </c>
      <c r="DC1" s="20" t="s">
        <v>53</v>
      </c>
      <c r="DD1" s="20" t="s">
        <v>445</v>
      </c>
      <c r="DE1" s="20" t="s">
        <v>56</v>
      </c>
      <c r="DF1" s="20" t="s">
        <v>54</v>
      </c>
      <c r="DG1" s="20" t="s">
        <v>445</v>
      </c>
      <c r="DH1" s="20" t="s">
        <v>56</v>
      </c>
      <c r="DI1" s="20" t="s">
        <v>54</v>
      </c>
      <c r="DJ1" s="20" t="s">
        <v>445</v>
      </c>
      <c r="DK1" s="20" t="s">
        <v>56</v>
      </c>
      <c r="DL1" s="20" t="s">
        <v>54</v>
      </c>
      <c r="DM1" s="20" t="s">
        <v>478</v>
      </c>
      <c r="DN1" s="20" t="s">
        <v>48</v>
      </c>
      <c r="DO1" s="20" t="s">
        <v>49</v>
      </c>
      <c r="DP1" s="20" t="s">
        <v>70</v>
      </c>
      <c r="DQ1" s="20" t="s">
        <v>479</v>
      </c>
      <c r="DR1" s="20" t="s">
        <v>50</v>
      </c>
      <c r="DS1" s="20" t="s">
        <v>480</v>
      </c>
      <c r="DT1" s="20" t="s">
        <v>51</v>
      </c>
    </row>
    <row r="2" spans="1:124" s="13" customFormat="1" x14ac:dyDescent="0.2">
      <c r="A2" s="18">
        <v>42936</v>
      </c>
      <c r="B2" s="13" t="s">
        <v>63</v>
      </c>
      <c r="C2" s="13" t="s">
        <v>483</v>
      </c>
      <c r="D2" s="14" t="s">
        <v>484</v>
      </c>
      <c r="E2" s="13">
        <v>28.5</v>
      </c>
      <c r="F2" s="15">
        <v>69.3</v>
      </c>
      <c r="G2" s="15">
        <v>114</v>
      </c>
      <c r="H2" s="15">
        <v>19.5</v>
      </c>
      <c r="I2" s="15">
        <v>79.150000000000006</v>
      </c>
      <c r="J2" s="15">
        <v>0</v>
      </c>
      <c r="K2" s="15">
        <v>3.87</v>
      </c>
      <c r="L2" s="15">
        <v>2.86</v>
      </c>
      <c r="M2" s="15">
        <v>14.12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0.82</v>
      </c>
      <c r="U2" s="15">
        <v>11.71</v>
      </c>
      <c r="V2" s="15">
        <v>15.43</v>
      </c>
      <c r="W2" s="15">
        <v>4.91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6"/>
      <c r="AZ2" s="15"/>
      <c r="BC2" s="16"/>
      <c r="BG2" s="16"/>
      <c r="BK2" s="16"/>
      <c r="BO2" s="16"/>
      <c r="BQ2" s="13">
        <v>0</v>
      </c>
      <c r="DB2" s="13">
        <v>0</v>
      </c>
      <c r="DC2" s="13">
        <v>0</v>
      </c>
      <c r="DM2" s="13">
        <v>8.6999999999999993</v>
      </c>
      <c r="DN2" s="13">
        <f>3.27*4+1.23+0.08+0.52*2</f>
        <v>15.43</v>
      </c>
      <c r="DO2" s="13">
        <v>0</v>
      </c>
      <c r="DP2" s="13">
        <v>0</v>
      </c>
      <c r="DQ2" s="13">
        <v>0</v>
      </c>
      <c r="DR2" s="13">
        <v>0</v>
      </c>
      <c r="DS2" s="13">
        <v>0</v>
      </c>
      <c r="DT2" s="13">
        <v>0</v>
      </c>
    </row>
    <row r="3" spans="1:124" s="13" customFormat="1" x14ac:dyDescent="0.2">
      <c r="A3" s="18">
        <v>42936</v>
      </c>
      <c r="B3" s="13" t="s">
        <v>63</v>
      </c>
      <c r="C3" s="13" t="s">
        <v>483</v>
      </c>
      <c r="D3" s="13" t="s">
        <v>485</v>
      </c>
      <c r="E3" s="13">
        <v>38.5</v>
      </c>
      <c r="F3" s="15">
        <v>55</v>
      </c>
      <c r="G3" s="15">
        <v>114</v>
      </c>
      <c r="H3" s="15">
        <v>7.8</v>
      </c>
      <c r="I3" s="15">
        <v>95.15</v>
      </c>
      <c r="J3" s="15">
        <v>0</v>
      </c>
      <c r="K3" s="15">
        <v>3.78</v>
      </c>
      <c r="L3" s="15">
        <v>0</v>
      </c>
      <c r="M3" s="15">
        <v>1.07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15.05</v>
      </c>
      <c r="V3" s="15">
        <v>4.58</v>
      </c>
      <c r="W3" s="15">
        <v>0.1</v>
      </c>
      <c r="X3" s="15">
        <v>0</v>
      </c>
      <c r="Y3" s="15">
        <v>0</v>
      </c>
      <c r="Z3" s="15">
        <v>0</v>
      </c>
      <c r="AM3" s="13">
        <v>22.8</v>
      </c>
      <c r="AN3" s="13">
        <v>1</v>
      </c>
      <c r="AO3" s="13">
        <v>38</v>
      </c>
      <c r="AP3" s="13">
        <v>5</v>
      </c>
      <c r="AQ3" s="13">
        <f>2.45+1.09</f>
        <v>3.54</v>
      </c>
      <c r="AR3" s="13">
        <v>5</v>
      </c>
      <c r="AY3" s="16"/>
      <c r="BC3" s="16"/>
      <c r="BG3" s="16"/>
      <c r="BK3" s="16"/>
      <c r="BO3" s="16"/>
      <c r="BQ3" s="13">
        <v>0</v>
      </c>
      <c r="DB3" s="13">
        <v>0</v>
      </c>
      <c r="DC3" s="13">
        <v>0</v>
      </c>
      <c r="DM3" s="13">
        <v>7.84</v>
      </c>
      <c r="DN3" s="13">
        <f>2.45+1.09</f>
        <v>3.54</v>
      </c>
      <c r="DO3" s="13">
        <v>0</v>
      </c>
      <c r="DP3" s="13">
        <v>0</v>
      </c>
      <c r="DQ3" s="13">
        <v>0</v>
      </c>
      <c r="DR3" s="13">
        <v>0</v>
      </c>
      <c r="DS3" s="13">
        <v>0</v>
      </c>
      <c r="DT3" s="13">
        <v>0</v>
      </c>
    </row>
    <row r="4" spans="1:124" s="13" customFormat="1" x14ac:dyDescent="0.2">
      <c r="A4" s="18">
        <v>42936</v>
      </c>
      <c r="B4" s="13" t="s">
        <v>63</v>
      </c>
      <c r="C4" s="13" t="s">
        <v>483</v>
      </c>
      <c r="D4" s="13" t="s">
        <v>486</v>
      </c>
      <c r="E4" s="13">
        <v>38</v>
      </c>
      <c r="F4" s="15">
        <v>48.8</v>
      </c>
      <c r="G4" s="15">
        <v>114</v>
      </c>
      <c r="H4" s="15">
        <v>7.2</v>
      </c>
      <c r="I4" s="15">
        <v>96.13</v>
      </c>
      <c r="J4" s="15">
        <v>0</v>
      </c>
      <c r="K4" s="15">
        <v>3.78</v>
      </c>
      <c r="L4" s="15">
        <v>0</v>
      </c>
      <c r="M4" s="15">
        <v>0.1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12.85</v>
      </c>
      <c r="V4" s="15">
        <v>4.58</v>
      </c>
      <c r="W4" s="15">
        <v>0.1</v>
      </c>
      <c r="X4" s="15">
        <v>0</v>
      </c>
      <c r="Y4" s="15">
        <v>0</v>
      </c>
      <c r="Z4" s="15">
        <v>0</v>
      </c>
      <c r="AM4" s="13">
        <v>22.8</v>
      </c>
      <c r="AN4" s="13">
        <v>1</v>
      </c>
      <c r="AO4" s="13">
        <v>38</v>
      </c>
      <c r="AP4" s="13">
        <v>5</v>
      </c>
      <c r="AQ4" s="13">
        <f>2.45+1.09</f>
        <v>3.54</v>
      </c>
      <c r="AR4" s="13">
        <v>5</v>
      </c>
      <c r="AS4" s="13">
        <v>20</v>
      </c>
      <c r="AT4" s="13">
        <v>4</v>
      </c>
      <c r="AU4" s="13">
        <v>0.28999999999999998</v>
      </c>
      <c r="AV4" s="13">
        <v>2</v>
      </c>
      <c r="AY4" s="16"/>
      <c r="BC4" s="16"/>
      <c r="BG4" s="16"/>
      <c r="BK4" s="16"/>
      <c r="BO4" s="16"/>
      <c r="BQ4" s="13">
        <v>0</v>
      </c>
      <c r="DB4" s="13">
        <v>0</v>
      </c>
      <c r="DC4" s="13">
        <v>0</v>
      </c>
      <c r="DM4" s="13">
        <v>7.84</v>
      </c>
      <c r="DN4" s="13">
        <f>2.45+1.09</f>
        <v>3.54</v>
      </c>
      <c r="DO4" s="13">
        <v>0</v>
      </c>
      <c r="DP4" s="13">
        <v>0</v>
      </c>
      <c r="DQ4" s="13">
        <v>0</v>
      </c>
      <c r="DR4" s="13">
        <v>0</v>
      </c>
      <c r="DS4" s="13">
        <v>0</v>
      </c>
      <c r="DT4" s="13">
        <v>0</v>
      </c>
    </row>
    <row r="5" spans="1:124" s="13" customFormat="1" x14ac:dyDescent="0.2">
      <c r="A5" s="18">
        <v>42936</v>
      </c>
      <c r="B5" s="13" t="s">
        <v>63</v>
      </c>
      <c r="C5" s="13" t="s">
        <v>483</v>
      </c>
      <c r="D5" s="13" t="s">
        <v>487</v>
      </c>
      <c r="E5" s="13">
        <v>64</v>
      </c>
      <c r="F5" s="15">
        <v>70.599999999999994</v>
      </c>
      <c r="G5" s="15">
        <v>114</v>
      </c>
      <c r="H5" s="15">
        <v>14.9</v>
      </c>
      <c r="I5" s="15">
        <v>88.29</v>
      </c>
      <c r="J5" s="15">
        <v>0</v>
      </c>
      <c r="K5" s="15">
        <v>9.81</v>
      </c>
      <c r="L5" s="15">
        <v>1.64</v>
      </c>
      <c r="M5" s="15">
        <v>0.26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0.55000000000000004</v>
      </c>
      <c r="U5" s="15">
        <v>22.64</v>
      </c>
      <c r="V5" s="15">
        <v>2.58</v>
      </c>
      <c r="W5" s="15">
        <v>0.13</v>
      </c>
      <c r="X5" s="15">
        <v>0</v>
      </c>
      <c r="Y5" s="15">
        <v>0</v>
      </c>
      <c r="Z5" s="15">
        <v>0</v>
      </c>
      <c r="AM5" s="13">
        <v>40.4</v>
      </c>
      <c r="AN5" s="13">
        <v>1</v>
      </c>
      <c r="AO5" s="13">
        <v>38</v>
      </c>
      <c r="AP5" s="13">
        <v>9</v>
      </c>
      <c r="AQ5" s="13">
        <v>5.52</v>
      </c>
      <c r="AR5" s="13">
        <v>5</v>
      </c>
      <c r="AS5" s="13">
        <v>23</v>
      </c>
      <c r="AT5" s="13">
        <v>1</v>
      </c>
      <c r="AU5" s="13">
        <v>0.09</v>
      </c>
      <c r="AV5" s="13">
        <v>3</v>
      </c>
      <c r="AY5" s="16"/>
      <c r="BC5" s="16"/>
      <c r="BG5" s="16"/>
      <c r="BK5" s="16"/>
      <c r="BO5" s="16"/>
      <c r="BQ5" s="13">
        <v>0</v>
      </c>
      <c r="DB5" s="13">
        <v>0</v>
      </c>
      <c r="DC5" s="13">
        <v>0</v>
      </c>
      <c r="DM5" s="13">
        <v>8.33</v>
      </c>
      <c r="DN5" s="13">
        <v>5.52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</row>
    <row r="6" spans="1:124" s="13" customFormat="1" x14ac:dyDescent="0.2">
      <c r="A6" s="18">
        <v>42936</v>
      </c>
      <c r="B6" s="13" t="s">
        <v>63</v>
      </c>
      <c r="C6" s="13" t="s">
        <v>483</v>
      </c>
      <c r="D6" s="13" t="s">
        <v>488</v>
      </c>
      <c r="E6" s="13">
        <v>64</v>
      </c>
      <c r="F6" s="15">
        <v>79.5</v>
      </c>
      <c r="G6" s="15">
        <v>114</v>
      </c>
      <c r="H6" s="15">
        <v>15</v>
      </c>
      <c r="I6" s="15">
        <v>88.29</v>
      </c>
      <c r="J6" s="15">
        <v>0</v>
      </c>
      <c r="K6" s="15">
        <v>9.81</v>
      </c>
      <c r="L6" s="15">
        <v>1.64</v>
      </c>
      <c r="M6" s="15">
        <v>0.26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0.55000000000000004</v>
      </c>
      <c r="U6" s="15">
        <v>24</v>
      </c>
      <c r="V6" s="15">
        <v>4.3099999999999996</v>
      </c>
      <c r="W6" s="15">
        <v>0.82</v>
      </c>
      <c r="X6" s="15">
        <v>0</v>
      </c>
      <c r="Y6" s="15">
        <v>0</v>
      </c>
      <c r="Z6" s="15">
        <v>0</v>
      </c>
      <c r="AA6" s="15"/>
      <c r="AM6" s="13">
        <v>40.4</v>
      </c>
      <c r="AN6" s="13">
        <v>1</v>
      </c>
      <c r="AO6" s="13">
        <v>38</v>
      </c>
      <c r="AP6" s="13">
        <v>9</v>
      </c>
      <c r="AQ6" s="13">
        <v>5.52</v>
      </c>
      <c r="AR6" s="13">
        <v>5</v>
      </c>
      <c r="AS6" s="13">
        <v>23</v>
      </c>
      <c r="AT6" s="13">
        <v>1</v>
      </c>
      <c r="AU6" s="13">
        <v>0.09</v>
      </c>
      <c r="AV6" s="13">
        <v>3</v>
      </c>
      <c r="AY6" s="16"/>
      <c r="BC6" s="16"/>
      <c r="BG6" s="16"/>
      <c r="BK6" s="16"/>
      <c r="BO6" s="16"/>
      <c r="BQ6" s="13">
        <v>0</v>
      </c>
      <c r="DB6" s="13">
        <v>0</v>
      </c>
      <c r="DC6" s="13">
        <v>0</v>
      </c>
      <c r="DM6" s="13">
        <v>8.33</v>
      </c>
      <c r="DN6" s="13">
        <v>5.52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</row>
    <row r="7" spans="1:124" s="13" customFormat="1" x14ac:dyDescent="0.2">
      <c r="A7" s="18">
        <v>42936</v>
      </c>
      <c r="B7" s="13" t="s">
        <v>141</v>
      </c>
      <c r="C7" s="13" t="s">
        <v>483</v>
      </c>
      <c r="D7" s="13" t="s">
        <v>144</v>
      </c>
      <c r="E7" s="13">
        <v>24.5</v>
      </c>
      <c r="F7" s="15">
        <v>58.4</v>
      </c>
      <c r="G7" s="15">
        <v>114</v>
      </c>
      <c r="H7" s="15">
        <v>12</v>
      </c>
      <c r="I7" s="15">
        <v>92.09</v>
      </c>
      <c r="J7" s="15">
        <v>0</v>
      </c>
      <c r="K7" s="15">
        <v>0</v>
      </c>
      <c r="L7" s="15">
        <v>5.57</v>
      </c>
      <c r="M7" s="15">
        <v>2.35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8.58</v>
      </c>
      <c r="U7" s="15">
        <v>3.1</v>
      </c>
      <c r="V7" s="15">
        <v>0.55000000000000004</v>
      </c>
      <c r="W7" s="15">
        <v>0.71</v>
      </c>
      <c r="X7" s="15">
        <v>0</v>
      </c>
      <c r="Y7" s="15">
        <v>0</v>
      </c>
      <c r="Z7" s="15">
        <v>0</v>
      </c>
      <c r="AM7" s="13">
        <v>7.2</v>
      </c>
      <c r="AN7" s="13">
        <v>1</v>
      </c>
      <c r="AO7" s="15">
        <v>30</v>
      </c>
      <c r="AP7" s="15">
        <v>2</v>
      </c>
      <c r="AQ7" s="15">
        <v>1.0900000000000001</v>
      </c>
      <c r="AR7" s="15">
        <v>4</v>
      </c>
      <c r="AS7" s="15">
        <v>30</v>
      </c>
      <c r="AT7" s="15">
        <v>2</v>
      </c>
      <c r="AU7" s="15">
        <v>0.27</v>
      </c>
      <c r="AV7" s="15">
        <v>2</v>
      </c>
      <c r="AW7" s="15">
        <v>34</v>
      </c>
      <c r="AX7" s="15">
        <v>1</v>
      </c>
      <c r="AY7" s="16">
        <v>1.0900000000000001</v>
      </c>
      <c r="AZ7" s="15">
        <v>1</v>
      </c>
      <c r="BC7" s="16"/>
      <c r="BG7" s="16"/>
      <c r="BK7" s="16"/>
      <c r="BO7" s="16"/>
      <c r="BQ7" s="13">
        <v>0</v>
      </c>
      <c r="DB7" s="13">
        <v>0</v>
      </c>
      <c r="DC7" s="13">
        <v>0</v>
      </c>
      <c r="DM7" s="13">
        <v>5.3</v>
      </c>
      <c r="DN7" s="13">
        <f>0.27+8.58+0.32</f>
        <v>9.17</v>
      </c>
      <c r="DO7" s="13">
        <v>0</v>
      </c>
      <c r="DP7" s="13">
        <v>0</v>
      </c>
      <c r="DQ7" s="13">
        <v>0</v>
      </c>
      <c r="DR7" s="13">
        <v>8.58</v>
      </c>
      <c r="DS7" s="13">
        <v>0</v>
      </c>
      <c r="DT7" s="13">
        <v>0</v>
      </c>
    </row>
    <row r="8" spans="1:124" s="13" customFormat="1" x14ac:dyDescent="0.2">
      <c r="A8" s="18">
        <v>42936</v>
      </c>
      <c r="B8" s="13" t="s">
        <v>141</v>
      </c>
      <c r="C8" s="13" t="s">
        <v>483</v>
      </c>
      <c r="D8" s="13" t="s">
        <v>143</v>
      </c>
      <c r="E8" s="13">
        <v>22</v>
      </c>
      <c r="F8" s="15">
        <v>44.2</v>
      </c>
      <c r="G8" s="15">
        <v>114</v>
      </c>
      <c r="H8" s="15">
        <v>10.9</v>
      </c>
      <c r="I8" s="15">
        <v>92.8</v>
      </c>
      <c r="J8" s="15">
        <v>0</v>
      </c>
      <c r="K8" s="15">
        <v>0</v>
      </c>
      <c r="L8" s="15">
        <v>5.57</v>
      </c>
      <c r="M8" s="15">
        <v>1.64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8.58</v>
      </c>
      <c r="U8" s="15">
        <v>1.57</v>
      </c>
      <c r="V8" s="15">
        <v>0.55000000000000004</v>
      </c>
      <c r="W8" s="15">
        <v>0</v>
      </c>
      <c r="X8" s="15">
        <v>0</v>
      </c>
      <c r="Y8" s="15">
        <v>0</v>
      </c>
      <c r="Z8" s="15">
        <v>0</v>
      </c>
      <c r="AM8" s="13">
        <v>7.15</v>
      </c>
      <c r="AN8" s="13">
        <v>1</v>
      </c>
      <c r="AO8" s="15">
        <v>30</v>
      </c>
      <c r="AP8" s="15">
        <v>2</v>
      </c>
      <c r="AQ8" s="15">
        <v>1.0900000000000001</v>
      </c>
      <c r="AR8" s="15">
        <v>4</v>
      </c>
      <c r="AS8" s="15">
        <v>30</v>
      </c>
      <c r="AT8" s="15">
        <v>2</v>
      </c>
      <c r="AU8" s="15">
        <v>0.27</v>
      </c>
      <c r="AV8" s="15">
        <v>2</v>
      </c>
      <c r="AW8" s="15">
        <v>34</v>
      </c>
      <c r="AX8" s="15">
        <v>1</v>
      </c>
      <c r="AY8" s="16">
        <v>1.0900000000000001</v>
      </c>
      <c r="AZ8" s="15">
        <v>1</v>
      </c>
      <c r="BC8" s="16"/>
      <c r="BG8" s="16"/>
      <c r="BK8" s="16"/>
      <c r="BO8" s="16"/>
      <c r="DB8" s="13">
        <v>0</v>
      </c>
      <c r="DC8" s="13">
        <v>0</v>
      </c>
      <c r="DM8" s="13">
        <v>2.59</v>
      </c>
      <c r="DN8" s="13">
        <f>0.27+0.32</f>
        <v>0.59000000000000008</v>
      </c>
      <c r="DO8" s="13">
        <v>0</v>
      </c>
      <c r="DP8" s="13">
        <v>0</v>
      </c>
      <c r="DQ8" s="13">
        <v>0</v>
      </c>
      <c r="DR8" s="13">
        <v>0</v>
      </c>
      <c r="DS8" s="13">
        <v>1.03</v>
      </c>
      <c r="DT8" s="13">
        <v>0</v>
      </c>
    </row>
    <row r="9" spans="1:124" s="13" customFormat="1" x14ac:dyDescent="0.2">
      <c r="A9" s="18">
        <v>42936</v>
      </c>
      <c r="B9" s="13" t="s">
        <v>303</v>
      </c>
      <c r="C9" s="13" t="s">
        <v>483</v>
      </c>
      <c r="D9" s="13" t="s">
        <v>489</v>
      </c>
      <c r="E9" s="13">
        <v>10</v>
      </c>
      <c r="F9" s="15">
        <v>46.2</v>
      </c>
      <c r="G9" s="15">
        <v>114</v>
      </c>
      <c r="H9" s="15">
        <v>6.3</v>
      </c>
      <c r="I9" s="15">
        <v>0</v>
      </c>
      <c r="J9" s="15">
        <v>0</v>
      </c>
      <c r="K9" s="15">
        <v>1.91</v>
      </c>
      <c r="L9" s="15">
        <v>0</v>
      </c>
      <c r="M9" s="15">
        <v>1.91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8.85</v>
      </c>
      <c r="V9" s="15">
        <v>4.3600000000000003</v>
      </c>
      <c r="W9" s="15">
        <v>0</v>
      </c>
      <c r="X9" s="15">
        <v>0</v>
      </c>
      <c r="Y9" s="15">
        <v>0</v>
      </c>
      <c r="AM9" s="13">
        <v>0</v>
      </c>
      <c r="AY9" s="16"/>
      <c r="BC9" s="16"/>
      <c r="BG9" s="16"/>
      <c r="BK9" s="16"/>
      <c r="BO9" s="16"/>
      <c r="BQ9" s="13">
        <v>0</v>
      </c>
      <c r="DM9" s="13">
        <v>3.41</v>
      </c>
      <c r="DN9" s="13">
        <f>0.95*2+0.27*2</f>
        <v>2.44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</row>
    <row r="10" spans="1:124" s="13" customFormat="1" x14ac:dyDescent="0.2">
      <c r="A10" s="18">
        <v>42936</v>
      </c>
      <c r="B10" s="13" t="s">
        <v>303</v>
      </c>
      <c r="C10" s="13" t="s">
        <v>483</v>
      </c>
      <c r="D10" s="13" t="s">
        <v>490</v>
      </c>
      <c r="E10" s="13">
        <v>6</v>
      </c>
      <c r="F10" s="15">
        <v>64.3</v>
      </c>
      <c r="G10" s="15">
        <v>114</v>
      </c>
      <c r="H10" s="15">
        <v>4.5</v>
      </c>
      <c r="I10" s="15">
        <v>93.37</v>
      </c>
      <c r="J10" s="15">
        <v>0</v>
      </c>
      <c r="K10" s="15">
        <v>0.11</v>
      </c>
      <c r="L10" s="15">
        <v>0</v>
      </c>
      <c r="M10" s="15">
        <f>0.02+0.09</f>
        <v>0.11</v>
      </c>
      <c r="N10" s="15">
        <v>0</v>
      </c>
      <c r="O10" s="15">
        <v>6.51</v>
      </c>
      <c r="P10" s="13">
        <f>0.67+0.27*2</f>
        <v>1.21</v>
      </c>
      <c r="Q10" s="15">
        <v>0</v>
      </c>
      <c r="R10" s="13">
        <f>0.67+0.27*2+0.67+0.27*2</f>
        <v>2.42</v>
      </c>
      <c r="S10" s="15">
        <v>0</v>
      </c>
      <c r="T10" s="15">
        <v>1.22</v>
      </c>
      <c r="U10" s="15">
        <v>10.34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M10" s="13">
        <v>0</v>
      </c>
      <c r="AN10" s="13">
        <v>0</v>
      </c>
      <c r="AY10" s="16"/>
      <c r="BC10" s="16"/>
      <c r="BG10" s="16"/>
      <c r="BK10" s="16"/>
      <c r="BO10" s="16"/>
      <c r="BQ10" s="13">
        <v>0</v>
      </c>
      <c r="DB10" s="13">
        <v>7.0000000000000007E-2</v>
      </c>
      <c r="DC10" s="13">
        <v>1</v>
      </c>
      <c r="DD10" s="13">
        <v>1</v>
      </c>
      <c r="DF10" s="13">
        <v>0.09</v>
      </c>
      <c r="DM10" s="13">
        <v>1.2</v>
      </c>
      <c r="DN10" s="13">
        <v>1.2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</row>
    <row r="11" spans="1:124" x14ac:dyDescent="0.2">
      <c r="A11" s="10">
        <v>42936</v>
      </c>
      <c r="B11" s="9" t="s">
        <v>63</v>
      </c>
      <c r="C11" s="9" t="s">
        <v>64</v>
      </c>
      <c r="D11" s="9" t="s">
        <v>65</v>
      </c>
      <c r="E11" s="9">
        <v>37</v>
      </c>
      <c r="F11" s="11">
        <v>95.1</v>
      </c>
      <c r="G11" s="11">
        <v>80.400000000000006</v>
      </c>
      <c r="H11" s="11">
        <v>15.9</v>
      </c>
      <c r="I11" s="9">
        <v>82.71</v>
      </c>
      <c r="J11" s="15">
        <v>0</v>
      </c>
      <c r="K11" s="9">
        <v>10.32</v>
      </c>
      <c r="L11" s="9">
        <v>0.39</v>
      </c>
      <c r="M11" s="9">
        <v>10.32</v>
      </c>
      <c r="N11" s="9">
        <v>0</v>
      </c>
      <c r="O11" s="9">
        <v>0</v>
      </c>
      <c r="Q11" s="9">
        <v>0</v>
      </c>
      <c r="R11" s="9">
        <v>0</v>
      </c>
      <c r="S11" s="9">
        <v>0</v>
      </c>
      <c r="T11" s="9">
        <v>1.9</v>
      </c>
      <c r="U11" s="9">
        <v>26.26</v>
      </c>
      <c r="V11" s="9">
        <v>6.04</v>
      </c>
      <c r="W11" s="9">
        <v>2.19</v>
      </c>
      <c r="X11" s="9">
        <v>0</v>
      </c>
      <c r="Y11" s="9">
        <v>0</v>
      </c>
      <c r="Z11" s="9">
        <v>0</v>
      </c>
      <c r="AM11" s="9">
        <v>14.7</v>
      </c>
      <c r="AN11" s="9">
        <v>1</v>
      </c>
      <c r="AO11" s="9">
        <v>35</v>
      </c>
      <c r="AP11" s="9">
        <v>2</v>
      </c>
      <c r="AQ11" s="9">
        <v>1.8</v>
      </c>
      <c r="AR11" s="9">
        <v>3</v>
      </c>
      <c r="AY11" s="17"/>
      <c r="BQ11" s="9">
        <v>1</v>
      </c>
      <c r="BR11" s="9">
        <v>50</v>
      </c>
      <c r="BS11" s="9">
        <v>1</v>
      </c>
      <c r="BT11" s="9">
        <v>1.34</v>
      </c>
      <c r="BU11" s="9">
        <v>2</v>
      </c>
      <c r="BV11" s="9">
        <v>40</v>
      </c>
      <c r="BW11" s="9">
        <v>1</v>
      </c>
      <c r="BX11" s="9">
        <v>0.9</v>
      </c>
      <c r="BY11" s="9">
        <v>3</v>
      </c>
      <c r="BZ11" s="9">
        <v>50</v>
      </c>
      <c r="CA11" s="9">
        <v>1</v>
      </c>
      <c r="CB11" s="9">
        <v>0.9</v>
      </c>
      <c r="CC11" s="9">
        <v>3</v>
      </c>
      <c r="CD11" s="9">
        <v>80</v>
      </c>
      <c r="CE11" s="9">
        <v>2</v>
      </c>
      <c r="CF11" s="9">
        <v>2.68</v>
      </c>
      <c r="CG11" s="9">
        <v>2</v>
      </c>
      <c r="CH11" s="9">
        <v>100</v>
      </c>
      <c r="CI11" s="9">
        <v>1</v>
      </c>
      <c r="CJ11" s="9">
        <v>2.57</v>
      </c>
      <c r="CK11" s="9">
        <v>2</v>
      </c>
      <c r="DB11" s="9">
        <v>0</v>
      </c>
      <c r="DC11" s="23">
        <v>0</v>
      </c>
      <c r="DD11" s="23"/>
      <c r="DE11" s="10"/>
      <c r="DF11" s="10"/>
      <c r="DG11" s="23"/>
      <c r="DH11" s="10"/>
      <c r="DI11" s="10"/>
      <c r="DJ11" s="10"/>
      <c r="DK11" s="10"/>
      <c r="DL11" s="10"/>
      <c r="DM11" s="11">
        <v>5.1100000000000003</v>
      </c>
      <c r="DN11" s="9">
        <v>4.8099999999999996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</row>
    <row r="12" spans="1:124" x14ac:dyDescent="0.2">
      <c r="A12" s="10">
        <v>42936</v>
      </c>
      <c r="B12" s="9" t="s">
        <v>63</v>
      </c>
      <c r="C12" s="9" t="s">
        <v>64</v>
      </c>
      <c r="D12" s="9" t="s">
        <v>71</v>
      </c>
      <c r="E12" s="9">
        <v>34.5</v>
      </c>
      <c r="F12" s="11">
        <v>88.3</v>
      </c>
      <c r="G12" s="11">
        <v>80.400000000000006</v>
      </c>
      <c r="H12" s="11">
        <v>22.8</v>
      </c>
      <c r="I12" s="9">
        <v>73.89</v>
      </c>
      <c r="J12" s="15">
        <v>0</v>
      </c>
      <c r="K12" s="9">
        <v>14.94</v>
      </c>
      <c r="L12" s="9">
        <v>0.5</v>
      </c>
      <c r="M12" s="9">
        <v>10.66</v>
      </c>
      <c r="N12" s="9">
        <v>0</v>
      </c>
      <c r="O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46.29</v>
      </c>
      <c r="V12" s="9">
        <v>23.15</v>
      </c>
      <c r="W12" s="9">
        <v>0</v>
      </c>
      <c r="X12" s="9">
        <v>0</v>
      </c>
      <c r="Y12" s="9">
        <v>0</v>
      </c>
      <c r="Z12" s="9">
        <v>0</v>
      </c>
      <c r="AM12" s="9">
        <v>2.8</v>
      </c>
      <c r="AN12" s="9">
        <v>1</v>
      </c>
      <c r="AO12" s="9">
        <v>35</v>
      </c>
      <c r="AP12" s="9">
        <v>1</v>
      </c>
      <c r="AQ12" s="9">
        <v>0.5</v>
      </c>
      <c r="AR12" s="9">
        <v>3</v>
      </c>
      <c r="AY12" s="17"/>
      <c r="BQ12" s="9">
        <v>1</v>
      </c>
      <c r="BR12" s="9">
        <v>60</v>
      </c>
      <c r="BS12" s="9">
        <v>4</v>
      </c>
      <c r="BT12" s="9">
        <v>0.54</v>
      </c>
      <c r="BU12" s="9">
        <v>3</v>
      </c>
      <c r="DB12" s="11">
        <v>3.05</v>
      </c>
      <c r="DC12" s="11">
        <v>1</v>
      </c>
      <c r="DD12" s="11">
        <v>1</v>
      </c>
      <c r="DE12" s="11">
        <v>5</v>
      </c>
      <c r="DF12" s="11">
        <v>8.7100000000000009</v>
      </c>
      <c r="DG12" s="11">
        <v>2</v>
      </c>
      <c r="DH12" s="11">
        <v>25</v>
      </c>
      <c r="DI12" s="11">
        <v>12.44</v>
      </c>
      <c r="DJ12" s="11"/>
      <c r="DK12" s="11"/>
      <c r="DL12" s="11"/>
      <c r="DM12" s="11">
        <v>4.5</v>
      </c>
      <c r="DN12" s="11">
        <v>1.2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9">
        <v>0</v>
      </c>
    </row>
    <row r="13" spans="1:124" x14ac:dyDescent="0.2">
      <c r="A13" s="10">
        <v>42940</v>
      </c>
      <c r="B13" s="9" t="s">
        <v>63</v>
      </c>
      <c r="C13" s="9" t="s">
        <v>64</v>
      </c>
      <c r="D13" s="9" t="s">
        <v>72</v>
      </c>
      <c r="E13" s="9">
        <v>32</v>
      </c>
      <c r="F13" s="11">
        <v>75</v>
      </c>
      <c r="G13" s="11">
        <v>80.400000000000006</v>
      </c>
      <c r="H13" s="11">
        <v>22.6</v>
      </c>
      <c r="I13" s="9">
        <v>76.239999999999995</v>
      </c>
      <c r="J13" s="15">
        <v>0</v>
      </c>
      <c r="K13" s="9">
        <v>15.36</v>
      </c>
      <c r="L13" s="9">
        <v>1.93</v>
      </c>
      <c r="M13" s="9">
        <v>6.47</v>
      </c>
      <c r="N13" s="9">
        <v>0</v>
      </c>
      <c r="O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32.86</v>
      </c>
      <c r="V13" s="9">
        <v>26.39</v>
      </c>
      <c r="W13" s="9">
        <v>0</v>
      </c>
      <c r="X13" s="9">
        <v>0</v>
      </c>
      <c r="Y13" s="9">
        <v>0</v>
      </c>
      <c r="Z13" s="9">
        <v>0</v>
      </c>
      <c r="AM13" s="9">
        <v>5.6</v>
      </c>
      <c r="AN13" s="9">
        <v>1</v>
      </c>
      <c r="AO13" s="9">
        <v>35</v>
      </c>
      <c r="AP13" s="9">
        <v>1</v>
      </c>
      <c r="AQ13" s="9">
        <v>0.5</v>
      </c>
      <c r="AR13" s="9">
        <v>3</v>
      </c>
      <c r="AY13" s="17"/>
      <c r="BQ13" s="9">
        <v>1</v>
      </c>
      <c r="BR13" s="9">
        <v>60</v>
      </c>
      <c r="BS13" s="9">
        <v>5</v>
      </c>
      <c r="BT13" s="9">
        <v>3.13</v>
      </c>
      <c r="BU13" s="9">
        <v>2</v>
      </c>
      <c r="BV13" s="9">
        <v>50</v>
      </c>
      <c r="BW13" s="9">
        <v>2</v>
      </c>
      <c r="BX13" s="9">
        <v>0.67</v>
      </c>
      <c r="BY13" s="9">
        <v>2</v>
      </c>
      <c r="DB13" s="11">
        <v>1.43</v>
      </c>
      <c r="DC13" s="11">
        <v>1</v>
      </c>
      <c r="DD13" s="11">
        <v>1</v>
      </c>
      <c r="DE13" s="11">
        <v>4</v>
      </c>
      <c r="DF13" s="11">
        <v>17.43</v>
      </c>
      <c r="DG13" s="11"/>
      <c r="DH13" s="11"/>
      <c r="DI13" s="11"/>
      <c r="DJ13" s="11"/>
      <c r="DK13" s="11"/>
      <c r="DL13" s="11"/>
      <c r="DM13" s="11">
        <v>1.7</v>
      </c>
      <c r="DN13" s="11">
        <v>1.7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9">
        <v>0</v>
      </c>
    </row>
    <row r="14" spans="1:124" x14ac:dyDescent="0.2">
      <c r="A14" s="10">
        <v>42940</v>
      </c>
      <c r="B14" s="9" t="s">
        <v>63</v>
      </c>
      <c r="C14" s="9" t="s">
        <v>64</v>
      </c>
      <c r="D14" s="9" t="s">
        <v>73</v>
      </c>
      <c r="E14" s="9">
        <v>75</v>
      </c>
      <c r="F14" s="11">
        <v>87.9</v>
      </c>
      <c r="G14" s="11">
        <v>80.400000000000006</v>
      </c>
      <c r="H14" s="11">
        <v>45.2</v>
      </c>
      <c r="I14" s="9">
        <v>50.83</v>
      </c>
      <c r="J14" s="9">
        <v>0.05</v>
      </c>
      <c r="K14" s="9">
        <v>46.44</v>
      </c>
      <c r="L14" s="9">
        <v>2.67</v>
      </c>
      <c r="M14" s="9">
        <v>0</v>
      </c>
      <c r="N14" s="9">
        <v>0</v>
      </c>
      <c r="O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25.21</v>
      </c>
      <c r="V14" s="9">
        <v>43.57</v>
      </c>
      <c r="W14" s="9">
        <v>6.27</v>
      </c>
      <c r="X14" s="9">
        <v>0</v>
      </c>
      <c r="Y14" s="9">
        <v>0</v>
      </c>
      <c r="Z14" s="9">
        <v>0</v>
      </c>
      <c r="AM14" s="9">
        <v>17.8</v>
      </c>
      <c r="AN14" s="9">
        <v>1</v>
      </c>
      <c r="AO14" s="9">
        <v>35</v>
      </c>
      <c r="AP14" s="9">
        <v>9</v>
      </c>
      <c r="AQ14" s="9">
        <v>2.5499999999999998</v>
      </c>
      <c r="AR14" s="9">
        <v>3</v>
      </c>
      <c r="AY14" s="17"/>
      <c r="BQ14" s="9">
        <v>1</v>
      </c>
      <c r="BR14" s="9">
        <v>50</v>
      </c>
      <c r="BS14" s="9">
        <v>8</v>
      </c>
      <c r="BT14" s="9">
        <v>2.12</v>
      </c>
      <c r="BU14" s="9">
        <v>3</v>
      </c>
      <c r="DB14" s="11">
        <v>3.43</v>
      </c>
      <c r="DC14" s="11">
        <v>1</v>
      </c>
      <c r="DD14" s="11">
        <v>1</v>
      </c>
      <c r="DE14" s="11"/>
      <c r="DF14" s="11">
        <v>26.11</v>
      </c>
      <c r="DG14" s="11">
        <v>2</v>
      </c>
      <c r="DH14" s="11"/>
      <c r="DI14" s="11">
        <v>11.19</v>
      </c>
      <c r="DJ14" s="11"/>
      <c r="DK14" s="11"/>
      <c r="DL14" s="11"/>
      <c r="DM14" s="11">
        <v>6.39</v>
      </c>
      <c r="DN14" s="11">
        <v>3.31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9">
        <v>0</v>
      </c>
    </row>
    <row r="15" spans="1:124" x14ac:dyDescent="0.2">
      <c r="A15" s="10">
        <v>42940</v>
      </c>
      <c r="B15" s="9" t="s">
        <v>63</v>
      </c>
      <c r="C15" s="9" t="s">
        <v>64</v>
      </c>
      <c r="D15" s="9" t="s">
        <v>74</v>
      </c>
      <c r="E15" s="9">
        <v>74.5</v>
      </c>
      <c r="F15" s="11">
        <v>76.2</v>
      </c>
      <c r="G15" s="11">
        <v>80.400000000000006</v>
      </c>
      <c r="H15" s="11">
        <v>42.8</v>
      </c>
      <c r="I15" s="9">
        <v>57.15</v>
      </c>
      <c r="J15" s="9">
        <v>0.45</v>
      </c>
      <c r="K15" s="9">
        <v>39.090000000000003</v>
      </c>
      <c r="L15" s="9">
        <v>3.3</v>
      </c>
      <c r="M15" s="9">
        <v>0</v>
      </c>
      <c r="N15" s="9">
        <v>0</v>
      </c>
      <c r="O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18.260000000000002</v>
      </c>
      <c r="V15" s="9">
        <v>34.4</v>
      </c>
      <c r="W15" s="9">
        <v>6.27</v>
      </c>
      <c r="X15" s="9">
        <v>0</v>
      </c>
      <c r="Y15" s="9">
        <v>0</v>
      </c>
      <c r="Z15" s="9">
        <v>0</v>
      </c>
      <c r="AM15" s="9">
        <v>18.2</v>
      </c>
      <c r="AN15" s="9">
        <v>1</v>
      </c>
      <c r="AO15" s="9">
        <v>35</v>
      </c>
      <c r="AP15" s="9">
        <v>9</v>
      </c>
      <c r="AQ15" s="9">
        <v>2.5499999999999998</v>
      </c>
      <c r="AR15" s="9">
        <v>3</v>
      </c>
      <c r="AY15" s="17"/>
      <c r="BQ15" s="9">
        <v>1</v>
      </c>
      <c r="BR15" s="9">
        <v>50</v>
      </c>
      <c r="BS15" s="9">
        <v>8</v>
      </c>
      <c r="BT15" s="9">
        <v>2.54</v>
      </c>
      <c r="BU15" s="9">
        <v>3</v>
      </c>
      <c r="DB15" s="11">
        <v>7.59</v>
      </c>
      <c r="DC15" s="11">
        <v>1</v>
      </c>
      <c r="DD15" s="11">
        <v>1</v>
      </c>
      <c r="DE15" s="11"/>
      <c r="DF15" s="11">
        <v>22.38</v>
      </c>
      <c r="DG15" s="11">
        <v>2</v>
      </c>
      <c r="DH15" s="11"/>
      <c r="DI15" s="11">
        <v>14.92</v>
      </c>
      <c r="DJ15" s="11"/>
      <c r="DK15" s="11"/>
      <c r="DL15" s="11"/>
      <c r="DM15" s="11">
        <v>5.05</v>
      </c>
      <c r="DN15" s="11">
        <v>1.54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9">
        <v>0</v>
      </c>
    </row>
    <row r="16" spans="1:124" x14ac:dyDescent="0.2">
      <c r="A16" s="10">
        <v>42940</v>
      </c>
      <c r="B16" s="9" t="s">
        <v>63</v>
      </c>
      <c r="C16" s="9" t="s">
        <v>64</v>
      </c>
      <c r="D16" s="9" t="s">
        <v>75</v>
      </c>
      <c r="E16" s="9">
        <v>75</v>
      </c>
      <c r="F16" s="11">
        <v>76.8</v>
      </c>
      <c r="G16" s="11">
        <v>80.400000000000006</v>
      </c>
      <c r="H16" s="11">
        <v>30.8</v>
      </c>
      <c r="I16" s="9">
        <v>74.739999999999995</v>
      </c>
      <c r="J16" s="15">
        <v>0</v>
      </c>
      <c r="K16" s="9">
        <v>4.24</v>
      </c>
      <c r="L16" s="9">
        <v>16.45</v>
      </c>
      <c r="M16" s="9">
        <v>4.57</v>
      </c>
      <c r="N16" s="9">
        <v>0</v>
      </c>
      <c r="O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35.229999999999997</v>
      </c>
      <c r="V16" s="9">
        <v>6.53</v>
      </c>
      <c r="W16" s="9">
        <v>4.97</v>
      </c>
      <c r="X16" s="9">
        <v>0</v>
      </c>
      <c r="Y16" s="9">
        <v>0</v>
      </c>
      <c r="Z16" s="9">
        <v>0</v>
      </c>
      <c r="AM16" s="9">
        <v>38.4</v>
      </c>
      <c r="AN16" s="9">
        <v>1</v>
      </c>
      <c r="AO16" s="9">
        <v>47</v>
      </c>
      <c r="AP16" s="9">
        <v>7</v>
      </c>
      <c r="AQ16" s="9">
        <v>5.33</v>
      </c>
      <c r="AR16" s="9">
        <v>3</v>
      </c>
      <c r="AY16" s="17"/>
      <c r="BQ16" s="9">
        <v>0</v>
      </c>
      <c r="DB16" s="11">
        <v>2.02</v>
      </c>
      <c r="DC16" s="11">
        <v>1</v>
      </c>
      <c r="DD16" s="11">
        <v>1</v>
      </c>
      <c r="DE16" s="11"/>
      <c r="DF16" s="11">
        <v>9.9499999999999993</v>
      </c>
      <c r="DG16" s="11">
        <v>2</v>
      </c>
      <c r="DH16" s="11"/>
      <c r="DI16" s="11">
        <v>9.9499999999999993</v>
      </c>
      <c r="DJ16" s="11"/>
      <c r="DK16" s="11"/>
      <c r="DL16" s="11"/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9">
        <v>0</v>
      </c>
    </row>
    <row r="17" spans="1:124" x14ac:dyDescent="0.2">
      <c r="A17" s="10">
        <v>42940</v>
      </c>
      <c r="B17" s="9" t="s">
        <v>63</v>
      </c>
      <c r="C17" s="9" t="s">
        <v>64</v>
      </c>
      <c r="D17" s="9" t="s">
        <v>76</v>
      </c>
      <c r="E17" s="9">
        <v>30.5</v>
      </c>
      <c r="F17" s="11">
        <v>68.400000000000006</v>
      </c>
      <c r="G17" s="11">
        <v>80.400000000000006</v>
      </c>
      <c r="H17" s="11">
        <v>19.8</v>
      </c>
      <c r="I17" s="9">
        <v>72.42</v>
      </c>
      <c r="J17" s="15">
        <v>0</v>
      </c>
      <c r="K17" s="9">
        <v>0.94</v>
      </c>
      <c r="L17" s="9">
        <v>0.94</v>
      </c>
      <c r="M17" s="9">
        <v>25.7</v>
      </c>
      <c r="N17" s="9">
        <v>0</v>
      </c>
      <c r="O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28.26</v>
      </c>
      <c r="V17" s="9">
        <v>10.55</v>
      </c>
      <c r="W17" s="9">
        <v>14.21</v>
      </c>
      <c r="X17" s="9">
        <v>0</v>
      </c>
      <c r="Y17" s="9">
        <v>0</v>
      </c>
      <c r="Z17" s="9">
        <v>0</v>
      </c>
      <c r="AM17" s="9">
        <v>3.3</v>
      </c>
      <c r="AN17" s="9">
        <v>1</v>
      </c>
      <c r="AO17" s="9">
        <v>68</v>
      </c>
      <c r="AP17" s="9">
        <v>2</v>
      </c>
      <c r="AQ17" s="9">
        <v>1.52</v>
      </c>
      <c r="AR17" s="9">
        <v>1</v>
      </c>
      <c r="AY17" s="17"/>
      <c r="BQ17" s="9">
        <v>0</v>
      </c>
      <c r="DB17" s="11">
        <v>0</v>
      </c>
      <c r="DC17" s="11">
        <v>0</v>
      </c>
      <c r="DD17" s="11"/>
      <c r="DE17" s="11"/>
      <c r="DF17" s="11"/>
      <c r="DG17" s="11"/>
      <c r="DH17" s="11"/>
      <c r="DI17" s="11"/>
      <c r="DJ17" s="11"/>
      <c r="DK17" s="11"/>
      <c r="DL17" s="11"/>
      <c r="DM17" s="11">
        <v>0.81</v>
      </c>
      <c r="DN17" s="11">
        <v>0.8</v>
      </c>
      <c r="DO17" s="11">
        <v>0</v>
      </c>
      <c r="DP17" s="11">
        <v>0</v>
      </c>
      <c r="DQ17" s="11">
        <v>2.99</v>
      </c>
      <c r="DR17" s="11">
        <v>5.71</v>
      </c>
      <c r="DS17" s="11">
        <v>0</v>
      </c>
      <c r="DT17" s="9">
        <v>0</v>
      </c>
    </row>
    <row r="18" spans="1:124" x14ac:dyDescent="0.2">
      <c r="A18" s="10">
        <v>42940</v>
      </c>
      <c r="B18" s="9" t="s">
        <v>63</v>
      </c>
      <c r="C18" s="9" t="s">
        <v>64</v>
      </c>
      <c r="D18" s="9" t="s">
        <v>77</v>
      </c>
      <c r="E18" s="9">
        <v>39.5</v>
      </c>
      <c r="F18" s="11">
        <v>85.1</v>
      </c>
      <c r="G18" s="11">
        <v>80.400000000000006</v>
      </c>
      <c r="H18" s="11">
        <v>13.6</v>
      </c>
      <c r="I18" s="9">
        <v>87.38</v>
      </c>
      <c r="J18" s="15">
        <v>0</v>
      </c>
      <c r="K18" s="9">
        <v>8.0500000000000007</v>
      </c>
      <c r="L18" s="9">
        <v>0</v>
      </c>
      <c r="M18" s="9">
        <v>4.57</v>
      </c>
      <c r="N18" s="9">
        <v>0</v>
      </c>
      <c r="O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45</v>
      </c>
      <c r="V18" s="9">
        <v>10.1</v>
      </c>
      <c r="W18" s="9">
        <v>11.8</v>
      </c>
      <c r="X18" s="9">
        <v>0</v>
      </c>
      <c r="Y18" s="9">
        <v>0</v>
      </c>
      <c r="Z18" s="9">
        <v>0</v>
      </c>
      <c r="AM18" s="9">
        <v>17.8</v>
      </c>
      <c r="AN18" s="9">
        <v>1</v>
      </c>
      <c r="AO18" s="9">
        <v>30</v>
      </c>
      <c r="AP18" s="9">
        <v>7</v>
      </c>
      <c r="AQ18" s="9">
        <v>5.33</v>
      </c>
      <c r="AR18" s="9">
        <v>3</v>
      </c>
      <c r="AY18" s="17"/>
      <c r="BQ18" s="9">
        <v>1</v>
      </c>
      <c r="BR18" s="9">
        <v>50</v>
      </c>
      <c r="BS18" s="9">
        <v>1</v>
      </c>
      <c r="BT18" s="9">
        <v>0.03</v>
      </c>
      <c r="BU18" s="9">
        <v>1</v>
      </c>
      <c r="DB18" s="11">
        <v>3.96</v>
      </c>
      <c r="DC18" s="11">
        <v>1</v>
      </c>
      <c r="DD18" s="11">
        <v>1</v>
      </c>
      <c r="DE18" s="11"/>
      <c r="DF18" s="11">
        <v>41.03</v>
      </c>
      <c r="DG18" s="11">
        <v>2</v>
      </c>
      <c r="DI18" s="11">
        <v>3.73</v>
      </c>
      <c r="DJ18" s="11"/>
      <c r="DK18" s="11"/>
      <c r="DL18" s="11"/>
      <c r="DM18" s="11">
        <v>0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9">
        <v>0</v>
      </c>
    </row>
    <row r="19" spans="1:124" x14ac:dyDescent="0.2">
      <c r="A19" s="10">
        <v>42940</v>
      </c>
      <c r="B19" s="9" t="s">
        <v>63</v>
      </c>
      <c r="C19" s="9" t="s">
        <v>64</v>
      </c>
      <c r="D19" s="9" t="s">
        <v>78</v>
      </c>
      <c r="E19" s="9">
        <v>49</v>
      </c>
      <c r="F19" s="11">
        <v>65.5</v>
      </c>
      <c r="G19" s="11">
        <v>80.400000000000006</v>
      </c>
      <c r="H19" s="11">
        <v>8.1999999999999993</v>
      </c>
      <c r="I19" s="9">
        <v>84.28</v>
      </c>
      <c r="J19" s="15">
        <v>0</v>
      </c>
      <c r="K19" s="9">
        <v>0</v>
      </c>
      <c r="L19" s="9">
        <v>0</v>
      </c>
      <c r="M19" s="9">
        <v>15.72</v>
      </c>
      <c r="N19" s="9">
        <v>0</v>
      </c>
      <c r="O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21.31</v>
      </c>
      <c r="V19" s="9">
        <v>26.03</v>
      </c>
      <c r="W19" s="9">
        <v>0</v>
      </c>
      <c r="X19" s="9">
        <v>0</v>
      </c>
      <c r="Y19" s="9">
        <v>8.1999999999999993</v>
      </c>
      <c r="Z19" s="9">
        <v>5</v>
      </c>
      <c r="AA19" s="9">
        <v>50</v>
      </c>
      <c r="AB19" s="9">
        <v>2</v>
      </c>
      <c r="AG19" s="9">
        <v>50</v>
      </c>
      <c r="AH19" s="9">
        <v>2</v>
      </c>
      <c r="AM19" s="9">
        <v>25.5</v>
      </c>
      <c r="AN19" s="9">
        <v>1</v>
      </c>
      <c r="AO19" s="9">
        <v>35</v>
      </c>
      <c r="AP19" s="9">
        <v>21</v>
      </c>
      <c r="AQ19" s="9">
        <v>7.69</v>
      </c>
      <c r="AR19" s="9">
        <v>3</v>
      </c>
      <c r="AY19" s="17"/>
      <c r="BQ19" s="9">
        <v>0</v>
      </c>
      <c r="DB19" s="11">
        <v>0</v>
      </c>
      <c r="DC19" s="11">
        <v>0</v>
      </c>
      <c r="DD19" s="11"/>
      <c r="DE19" s="11"/>
      <c r="DF19" s="11"/>
      <c r="DG19" s="11"/>
      <c r="DH19" s="11"/>
      <c r="DI19" s="11"/>
      <c r="DJ19" s="11"/>
      <c r="DK19" s="11"/>
      <c r="DL19" s="11"/>
      <c r="DM19" s="11">
        <v>0</v>
      </c>
      <c r="DN19" s="11">
        <v>0</v>
      </c>
      <c r="DO19" s="11">
        <v>0</v>
      </c>
      <c r="DP19" s="11">
        <v>0</v>
      </c>
      <c r="DQ19" s="11">
        <v>0</v>
      </c>
      <c r="DR19" s="11">
        <v>0</v>
      </c>
      <c r="DS19" s="11">
        <v>0</v>
      </c>
      <c r="DT19" s="9">
        <v>0</v>
      </c>
    </row>
    <row r="20" spans="1:124" x14ac:dyDescent="0.2">
      <c r="A20" s="10">
        <v>42940</v>
      </c>
      <c r="B20" s="9" t="s">
        <v>63</v>
      </c>
      <c r="C20" s="9" t="s">
        <v>64</v>
      </c>
      <c r="D20" s="9" t="s">
        <v>80</v>
      </c>
      <c r="E20" s="9">
        <v>27.5</v>
      </c>
      <c r="F20" s="11">
        <v>79.099999999999994</v>
      </c>
      <c r="G20" s="11">
        <v>80.400000000000006</v>
      </c>
      <c r="H20" s="11">
        <v>15.3</v>
      </c>
      <c r="I20" s="9">
        <v>87.64</v>
      </c>
      <c r="J20" s="15">
        <v>0</v>
      </c>
      <c r="K20" s="9">
        <v>0</v>
      </c>
      <c r="L20" s="9">
        <v>0</v>
      </c>
      <c r="M20" s="9">
        <v>12.36</v>
      </c>
      <c r="N20" s="9">
        <v>0</v>
      </c>
      <c r="O20" s="9">
        <v>0</v>
      </c>
      <c r="Q20" s="9">
        <v>0</v>
      </c>
      <c r="R20" s="9">
        <v>0</v>
      </c>
      <c r="S20" s="9">
        <v>0</v>
      </c>
      <c r="T20" s="9">
        <v>24.9</v>
      </c>
      <c r="U20" s="9">
        <v>31.79</v>
      </c>
      <c r="V20" s="9">
        <v>18.86</v>
      </c>
      <c r="W20" s="9">
        <v>0</v>
      </c>
      <c r="X20" s="9">
        <v>0</v>
      </c>
      <c r="Y20" s="9">
        <v>4.8</v>
      </c>
      <c r="Z20" s="9">
        <v>5</v>
      </c>
      <c r="AA20" s="9">
        <v>50</v>
      </c>
      <c r="AB20" s="9">
        <v>4</v>
      </c>
      <c r="AG20" s="9">
        <v>50</v>
      </c>
      <c r="AH20" s="9">
        <v>4</v>
      </c>
      <c r="AM20" s="9">
        <v>5.5</v>
      </c>
      <c r="AN20" s="9">
        <v>0</v>
      </c>
      <c r="AY20" s="17"/>
      <c r="BQ20" s="9">
        <v>1</v>
      </c>
      <c r="BR20" s="9">
        <v>50</v>
      </c>
      <c r="BS20" s="9">
        <v>4</v>
      </c>
      <c r="BT20" s="9">
        <v>3.59</v>
      </c>
      <c r="BU20" s="9">
        <v>3</v>
      </c>
      <c r="BV20" s="9">
        <v>70</v>
      </c>
      <c r="BW20" s="9">
        <v>14</v>
      </c>
      <c r="BX20" s="9">
        <v>4.93</v>
      </c>
      <c r="BY20" s="9">
        <v>2</v>
      </c>
      <c r="DB20" s="11">
        <v>0.75</v>
      </c>
      <c r="DC20" s="11">
        <v>1</v>
      </c>
      <c r="DD20" s="11">
        <v>1</v>
      </c>
      <c r="DE20" s="11"/>
      <c r="DF20" s="11">
        <v>9.9600000000000009</v>
      </c>
      <c r="DG20" s="11"/>
      <c r="DH20" s="11"/>
      <c r="DI20" s="11"/>
      <c r="DJ20" s="11"/>
      <c r="DK20" s="11"/>
      <c r="DL20" s="11"/>
      <c r="DM20" s="11">
        <v>0</v>
      </c>
      <c r="DN20" s="11">
        <v>0</v>
      </c>
      <c r="DO20" s="11">
        <v>0</v>
      </c>
      <c r="DP20" s="11">
        <v>0</v>
      </c>
      <c r="DQ20" s="11">
        <v>0</v>
      </c>
      <c r="DR20" s="11">
        <v>0</v>
      </c>
      <c r="DS20" s="11">
        <v>0</v>
      </c>
      <c r="DT20" s="9">
        <v>0</v>
      </c>
    </row>
    <row r="21" spans="1:124" x14ac:dyDescent="0.2">
      <c r="A21" s="10">
        <v>42940</v>
      </c>
      <c r="B21" s="9" t="s">
        <v>63</v>
      </c>
      <c r="C21" s="9" t="s">
        <v>64</v>
      </c>
      <c r="D21" s="9" t="s">
        <v>81</v>
      </c>
      <c r="E21" s="9">
        <v>27.5</v>
      </c>
      <c r="F21" s="11">
        <v>76.2</v>
      </c>
      <c r="G21" s="11">
        <v>80.400000000000006</v>
      </c>
      <c r="H21" s="11">
        <v>15.3</v>
      </c>
      <c r="I21" s="9">
        <v>87.64</v>
      </c>
      <c r="J21" s="15">
        <v>0</v>
      </c>
      <c r="K21" s="9">
        <v>0</v>
      </c>
      <c r="L21" s="9">
        <v>0</v>
      </c>
      <c r="M21" s="9">
        <v>12.36</v>
      </c>
      <c r="N21" s="9">
        <v>0</v>
      </c>
      <c r="O21" s="9">
        <v>0</v>
      </c>
      <c r="Q21" s="9">
        <v>0</v>
      </c>
      <c r="R21" s="9">
        <v>0</v>
      </c>
      <c r="S21" s="9">
        <v>0</v>
      </c>
      <c r="T21" s="9">
        <v>24.9</v>
      </c>
      <c r="U21" s="9">
        <v>31.99</v>
      </c>
      <c r="V21" s="9">
        <v>18.66</v>
      </c>
      <c r="W21" s="9">
        <v>0</v>
      </c>
      <c r="X21" s="9">
        <v>0</v>
      </c>
      <c r="Y21" s="9">
        <v>4.8</v>
      </c>
      <c r="Z21" s="9">
        <v>5</v>
      </c>
      <c r="AA21" s="9">
        <v>50</v>
      </c>
      <c r="AB21" s="9">
        <v>4</v>
      </c>
      <c r="AG21" s="9">
        <v>50</v>
      </c>
      <c r="AH21" s="9">
        <v>4</v>
      </c>
      <c r="AM21" s="9">
        <v>5.5</v>
      </c>
      <c r="AN21" s="9">
        <v>0</v>
      </c>
      <c r="AY21" s="17"/>
      <c r="BQ21" s="9">
        <v>1</v>
      </c>
      <c r="BR21" s="9">
        <v>50</v>
      </c>
      <c r="BS21" s="9">
        <v>4</v>
      </c>
      <c r="BT21" s="9">
        <v>3.59</v>
      </c>
      <c r="BU21" s="9">
        <v>3</v>
      </c>
      <c r="BV21" s="9">
        <v>70</v>
      </c>
      <c r="BW21" s="9">
        <v>14</v>
      </c>
      <c r="BX21" s="9">
        <v>4.93</v>
      </c>
      <c r="BY21" s="9">
        <v>2</v>
      </c>
      <c r="DB21" s="11">
        <v>0.75</v>
      </c>
      <c r="DC21" s="11">
        <v>1</v>
      </c>
      <c r="DD21" s="11">
        <v>1</v>
      </c>
      <c r="DE21" s="11"/>
      <c r="DF21" s="11">
        <v>9.9600000000000009</v>
      </c>
      <c r="DG21" s="11"/>
      <c r="DH21" s="11"/>
      <c r="DI21" s="11"/>
      <c r="DJ21" s="11"/>
      <c r="DK21" s="11"/>
      <c r="DL21" s="11"/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9">
        <v>0</v>
      </c>
    </row>
    <row r="22" spans="1:124" x14ac:dyDescent="0.2">
      <c r="A22" s="10">
        <v>42940</v>
      </c>
      <c r="B22" s="9" t="s">
        <v>63</v>
      </c>
      <c r="C22" s="9" t="s">
        <v>64</v>
      </c>
      <c r="D22" s="9" t="s">
        <v>82</v>
      </c>
      <c r="E22" s="9">
        <v>80.5</v>
      </c>
      <c r="F22" s="11">
        <v>42.5</v>
      </c>
      <c r="G22" s="11">
        <v>80.400000000000006</v>
      </c>
      <c r="H22" s="11">
        <v>4.3</v>
      </c>
      <c r="I22" s="9">
        <v>100</v>
      </c>
      <c r="J22" s="15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61.07</v>
      </c>
      <c r="V22" s="9">
        <v>4</v>
      </c>
      <c r="W22" s="9">
        <v>0.14000000000000001</v>
      </c>
      <c r="X22" s="9">
        <v>0</v>
      </c>
      <c r="Y22" s="9">
        <v>15.7</v>
      </c>
      <c r="Z22" s="9">
        <v>1</v>
      </c>
      <c r="AA22" s="9">
        <v>3</v>
      </c>
      <c r="AC22" s="9">
        <v>1</v>
      </c>
      <c r="AG22" s="9">
        <v>3</v>
      </c>
      <c r="AI22" s="9">
        <v>1</v>
      </c>
      <c r="AM22" s="9">
        <v>12.4</v>
      </c>
      <c r="AN22" s="9">
        <v>1</v>
      </c>
      <c r="AO22" s="9">
        <v>34</v>
      </c>
      <c r="AP22" s="9">
        <v>4</v>
      </c>
      <c r="AQ22" s="9">
        <v>1.28</v>
      </c>
      <c r="AR22" s="9">
        <v>1</v>
      </c>
      <c r="AY22" s="17"/>
      <c r="BQ22" s="9">
        <v>1</v>
      </c>
      <c r="BR22" s="9">
        <v>50</v>
      </c>
      <c r="BS22" s="9">
        <v>2</v>
      </c>
      <c r="BT22" s="9">
        <v>2.2799999999999998</v>
      </c>
      <c r="BU22" s="9">
        <v>3</v>
      </c>
      <c r="BV22" s="9">
        <v>50</v>
      </c>
      <c r="BW22" s="9">
        <v>12</v>
      </c>
      <c r="BX22" s="9">
        <v>8.75</v>
      </c>
      <c r="BY22" s="9">
        <v>4</v>
      </c>
      <c r="DB22" s="11">
        <v>0.63</v>
      </c>
      <c r="DC22" s="11">
        <v>1</v>
      </c>
      <c r="DD22" s="11">
        <v>1</v>
      </c>
      <c r="DE22" s="11"/>
      <c r="DF22" s="11">
        <v>7.46</v>
      </c>
      <c r="DG22" s="11"/>
      <c r="DH22" s="11"/>
      <c r="DI22" s="11"/>
      <c r="DJ22" s="11"/>
      <c r="DK22" s="11"/>
      <c r="DL22" s="11"/>
      <c r="DM22" s="11">
        <v>8.4700000000000006</v>
      </c>
      <c r="DN22" s="11">
        <v>4.95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9">
        <v>0</v>
      </c>
    </row>
    <row r="23" spans="1:124" x14ac:dyDescent="0.2">
      <c r="A23" s="10">
        <v>42940</v>
      </c>
      <c r="B23" s="9" t="s">
        <v>63</v>
      </c>
      <c r="C23" s="9" t="s">
        <v>64</v>
      </c>
      <c r="D23" s="9" t="s">
        <v>83</v>
      </c>
      <c r="E23" s="9">
        <v>41</v>
      </c>
      <c r="F23" s="11">
        <v>91.1</v>
      </c>
      <c r="G23" s="11">
        <v>80.400000000000006</v>
      </c>
      <c r="H23" s="11">
        <v>6.5</v>
      </c>
      <c r="I23" s="9">
        <v>94.94</v>
      </c>
      <c r="J23" s="15">
        <v>0</v>
      </c>
      <c r="K23" s="9">
        <v>0</v>
      </c>
      <c r="L23" s="9">
        <v>0</v>
      </c>
      <c r="M23" s="9">
        <v>5.0599999999999996</v>
      </c>
      <c r="N23" s="9">
        <v>0</v>
      </c>
      <c r="O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64.349999999999994</v>
      </c>
      <c r="V23" s="9">
        <v>9.2899999999999991</v>
      </c>
      <c r="W23" s="9">
        <v>0</v>
      </c>
      <c r="X23" s="9">
        <v>0</v>
      </c>
      <c r="Y23" s="9">
        <v>15.7</v>
      </c>
      <c r="Z23" s="9">
        <v>1</v>
      </c>
      <c r="AA23" s="9">
        <v>3</v>
      </c>
      <c r="AC23" s="9">
        <v>1</v>
      </c>
      <c r="AG23" s="9">
        <v>3</v>
      </c>
      <c r="AI23" s="9">
        <v>1</v>
      </c>
      <c r="AM23" s="9">
        <v>10.8</v>
      </c>
      <c r="AN23" s="9">
        <v>1</v>
      </c>
      <c r="AO23" s="9">
        <v>34</v>
      </c>
      <c r="AP23" s="9">
        <v>4</v>
      </c>
      <c r="AQ23" s="9">
        <v>1.68</v>
      </c>
      <c r="AR23" s="9">
        <v>1</v>
      </c>
      <c r="AY23" s="17"/>
      <c r="BQ23" s="9">
        <v>1</v>
      </c>
      <c r="BR23" s="9">
        <v>50</v>
      </c>
      <c r="BS23" s="9">
        <v>2</v>
      </c>
      <c r="BT23" s="9">
        <v>2.2400000000000002</v>
      </c>
      <c r="BU23" s="9">
        <v>3</v>
      </c>
      <c r="BV23" s="9">
        <v>50</v>
      </c>
      <c r="BW23" s="9">
        <v>12</v>
      </c>
      <c r="BX23" s="9">
        <v>8.51</v>
      </c>
      <c r="BY23" s="9">
        <v>4</v>
      </c>
      <c r="DB23" s="11">
        <v>0.86</v>
      </c>
      <c r="DC23" s="11">
        <v>1</v>
      </c>
      <c r="DD23" s="11">
        <v>1</v>
      </c>
      <c r="DE23" s="11"/>
      <c r="DF23" s="11">
        <v>12.44</v>
      </c>
      <c r="DG23" s="11"/>
      <c r="DH23" s="11"/>
      <c r="DI23" s="11"/>
      <c r="DJ23" s="11"/>
      <c r="DK23" s="11"/>
      <c r="DL23" s="11"/>
      <c r="DM23" s="11">
        <v>5.31</v>
      </c>
      <c r="DN23" s="11">
        <v>7.99</v>
      </c>
      <c r="DO23" s="11">
        <v>0</v>
      </c>
      <c r="DP23" s="11">
        <v>0</v>
      </c>
      <c r="DQ23" s="11">
        <v>0</v>
      </c>
      <c r="DR23" s="11">
        <v>0</v>
      </c>
      <c r="DS23" s="11">
        <v>0</v>
      </c>
      <c r="DT23" s="9">
        <v>0</v>
      </c>
    </row>
    <row r="24" spans="1:124" x14ac:dyDescent="0.2">
      <c r="A24" s="10">
        <v>42940</v>
      </c>
      <c r="B24" s="9" t="s">
        <v>63</v>
      </c>
      <c r="C24" s="9" t="s">
        <v>64</v>
      </c>
      <c r="D24" s="9" t="s">
        <v>84</v>
      </c>
      <c r="E24" s="9">
        <v>15</v>
      </c>
      <c r="F24" s="11">
        <v>77.099999999999994</v>
      </c>
      <c r="G24" s="11">
        <v>80.400000000000006</v>
      </c>
      <c r="H24" s="11">
        <v>6.4</v>
      </c>
      <c r="I24" s="9">
        <v>32.69</v>
      </c>
      <c r="J24" s="15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36.96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M24" s="9">
        <v>1.6</v>
      </c>
      <c r="AN24" s="9">
        <v>0</v>
      </c>
      <c r="AY24" s="17"/>
      <c r="BQ24" s="9">
        <v>1</v>
      </c>
      <c r="BR24" s="9">
        <v>50</v>
      </c>
      <c r="BS24" s="9">
        <v>1</v>
      </c>
      <c r="BT24" s="9">
        <v>1.34</v>
      </c>
      <c r="BU24" s="9">
        <v>3</v>
      </c>
      <c r="BV24" s="9">
        <v>50</v>
      </c>
      <c r="BW24" s="9">
        <v>3</v>
      </c>
      <c r="BX24" s="9">
        <v>0.9</v>
      </c>
      <c r="BY24" s="9">
        <v>4</v>
      </c>
      <c r="DB24" s="11">
        <v>1.27</v>
      </c>
      <c r="DC24" s="11">
        <v>1</v>
      </c>
      <c r="DD24" s="11">
        <v>1</v>
      </c>
      <c r="DE24" s="11"/>
      <c r="DF24" s="11">
        <v>16.170000000000002</v>
      </c>
      <c r="DG24" s="11"/>
      <c r="DH24" s="11"/>
      <c r="DI24" s="11"/>
      <c r="DJ24" s="11"/>
      <c r="DK24" s="11"/>
      <c r="DL24" s="11"/>
      <c r="DM24" s="11">
        <v>5.27</v>
      </c>
      <c r="DN24" s="11">
        <v>7.23</v>
      </c>
      <c r="DO24" s="11">
        <v>0</v>
      </c>
      <c r="DP24" s="11">
        <v>0</v>
      </c>
      <c r="DQ24" s="11">
        <v>0</v>
      </c>
      <c r="DR24" s="11">
        <v>0</v>
      </c>
      <c r="DS24" s="11">
        <v>0</v>
      </c>
      <c r="DT24" s="9">
        <v>0</v>
      </c>
    </row>
    <row r="25" spans="1:124" x14ac:dyDescent="0.2">
      <c r="A25" s="10">
        <v>42940</v>
      </c>
      <c r="B25" s="9" t="s">
        <v>63</v>
      </c>
      <c r="C25" s="9" t="s">
        <v>64</v>
      </c>
      <c r="D25" s="9" t="s">
        <v>85</v>
      </c>
      <c r="E25" s="9">
        <v>15</v>
      </c>
      <c r="F25" s="11">
        <v>81.8</v>
      </c>
      <c r="G25" s="11">
        <v>80.400000000000006</v>
      </c>
      <c r="H25" s="11">
        <v>6.4</v>
      </c>
      <c r="I25" s="9">
        <v>37.44</v>
      </c>
      <c r="J25" s="15">
        <v>0</v>
      </c>
      <c r="K25" s="9">
        <v>0</v>
      </c>
      <c r="L25" s="9">
        <v>0</v>
      </c>
      <c r="M25" s="9">
        <v>0</v>
      </c>
      <c r="N25" s="9">
        <v>0</v>
      </c>
      <c r="O25" s="9">
        <v>62.56</v>
      </c>
      <c r="Q25" s="9">
        <v>0</v>
      </c>
      <c r="R25" s="9">
        <v>0</v>
      </c>
      <c r="S25" s="9">
        <v>0</v>
      </c>
      <c r="T25" s="9">
        <v>0</v>
      </c>
      <c r="U25" s="9">
        <v>36.96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M25" s="9">
        <v>1.6</v>
      </c>
      <c r="AN25" s="9">
        <v>0</v>
      </c>
      <c r="AY25" s="17"/>
      <c r="BQ25" s="9">
        <v>1</v>
      </c>
      <c r="BR25" s="9">
        <v>50</v>
      </c>
      <c r="BS25" s="9">
        <v>1</v>
      </c>
      <c r="BT25" s="9">
        <v>1.34</v>
      </c>
      <c r="BU25" s="9">
        <v>3</v>
      </c>
      <c r="BV25" s="9">
        <v>50</v>
      </c>
      <c r="BW25" s="9">
        <v>3</v>
      </c>
      <c r="BX25" s="9">
        <v>0.9</v>
      </c>
      <c r="BY25" s="9">
        <v>4</v>
      </c>
      <c r="DB25" s="11">
        <v>1.27</v>
      </c>
      <c r="DC25" s="11">
        <v>1</v>
      </c>
      <c r="DD25" s="11">
        <v>1</v>
      </c>
      <c r="DE25" s="11"/>
      <c r="DF25" s="11">
        <v>16.170000000000002</v>
      </c>
      <c r="DG25" s="11"/>
      <c r="DH25" s="11"/>
      <c r="DI25" s="11"/>
      <c r="DJ25" s="11"/>
      <c r="DK25" s="11"/>
      <c r="DL25" s="11"/>
      <c r="DM25" s="11">
        <v>5.27</v>
      </c>
      <c r="DN25" s="11">
        <v>7.61</v>
      </c>
      <c r="DO25" s="11">
        <v>0</v>
      </c>
      <c r="DP25" s="11">
        <v>0</v>
      </c>
      <c r="DQ25" s="11">
        <v>0</v>
      </c>
      <c r="DR25" s="11">
        <v>0</v>
      </c>
      <c r="DS25" s="11">
        <v>0</v>
      </c>
      <c r="DT25" s="9">
        <v>0</v>
      </c>
    </row>
    <row r="26" spans="1:124" x14ac:dyDescent="0.2">
      <c r="A26" s="10">
        <v>42940</v>
      </c>
      <c r="B26" s="9" t="s">
        <v>63</v>
      </c>
      <c r="C26" s="9" t="s">
        <v>86</v>
      </c>
      <c r="D26" s="9" t="s">
        <v>87</v>
      </c>
      <c r="E26" s="9">
        <v>30</v>
      </c>
      <c r="F26" s="11">
        <v>86.6</v>
      </c>
      <c r="G26" s="11">
        <v>80.400000000000006</v>
      </c>
      <c r="H26" s="11">
        <v>20.399999999999999</v>
      </c>
      <c r="I26" s="9">
        <v>82.62</v>
      </c>
      <c r="J26" s="15">
        <v>0</v>
      </c>
      <c r="K26" s="9">
        <v>15.49</v>
      </c>
      <c r="L26" s="9">
        <v>1.49</v>
      </c>
      <c r="M26" s="9">
        <v>0.4</v>
      </c>
      <c r="N26" s="9">
        <v>0</v>
      </c>
      <c r="O26" s="9">
        <v>0</v>
      </c>
      <c r="Q26" s="9">
        <v>0</v>
      </c>
      <c r="R26" s="9">
        <v>0</v>
      </c>
      <c r="S26" s="9">
        <v>0</v>
      </c>
      <c r="T26" s="9">
        <v>6.38</v>
      </c>
      <c r="U26" s="9">
        <v>56.11</v>
      </c>
      <c r="V26" s="9">
        <v>8.4600000000000009</v>
      </c>
      <c r="W26" s="9">
        <v>1.21</v>
      </c>
      <c r="X26" s="9">
        <v>0</v>
      </c>
      <c r="Y26" s="9">
        <v>0</v>
      </c>
      <c r="Z26" s="9">
        <v>0</v>
      </c>
      <c r="AM26" s="9">
        <v>0.5</v>
      </c>
      <c r="AN26" s="9">
        <v>0</v>
      </c>
      <c r="AY26" s="17"/>
      <c r="BQ26" s="9">
        <v>1</v>
      </c>
      <c r="BR26" s="9">
        <v>40</v>
      </c>
      <c r="BS26" s="9">
        <v>1</v>
      </c>
      <c r="BT26" s="9">
        <v>1.71</v>
      </c>
      <c r="BU26" s="9">
        <v>2</v>
      </c>
      <c r="BV26" s="9">
        <v>50</v>
      </c>
      <c r="BW26" s="9">
        <v>1</v>
      </c>
      <c r="BX26" s="9">
        <v>0.13</v>
      </c>
      <c r="BY26" s="9">
        <v>2</v>
      </c>
      <c r="DB26" s="11">
        <v>0.62</v>
      </c>
      <c r="DC26" s="11">
        <v>1</v>
      </c>
      <c r="DD26" s="11">
        <v>1</v>
      </c>
      <c r="DE26" s="11"/>
      <c r="DF26" s="11">
        <v>4.1399999999999997</v>
      </c>
      <c r="DG26" s="11"/>
      <c r="DH26" s="11"/>
      <c r="DI26" s="11"/>
      <c r="DJ26" s="11"/>
      <c r="DK26" s="11"/>
      <c r="DL26" s="11"/>
      <c r="DM26" s="11">
        <v>0</v>
      </c>
      <c r="DN26" s="11">
        <v>0</v>
      </c>
      <c r="DO26" s="11">
        <v>0</v>
      </c>
      <c r="DP26" s="11">
        <v>0</v>
      </c>
      <c r="DQ26" s="11">
        <v>5.97</v>
      </c>
      <c r="DR26" s="11">
        <v>0</v>
      </c>
      <c r="DS26" s="11">
        <v>0</v>
      </c>
      <c r="DT26" s="9">
        <v>2</v>
      </c>
    </row>
    <row r="27" spans="1:124" x14ac:dyDescent="0.2">
      <c r="A27" s="10">
        <v>42940</v>
      </c>
      <c r="B27" s="9" t="s">
        <v>63</v>
      </c>
      <c r="C27" s="9" t="s">
        <v>86</v>
      </c>
      <c r="D27" s="9" t="s">
        <v>88</v>
      </c>
      <c r="E27" s="9">
        <v>30.5</v>
      </c>
      <c r="F27" s="11">
        <v>84.8</v>
      </c>
      <c r="G27" s="11">
        <v>80.400000000000006</v>
      </c>
      <c r="H27" s="11">
        <v>23.9</v>
      </c>
      <c r="I27" s="9">
        <v>79.319999999999993</v>
      </c>
      <c r="J27" s="15">
        <v>0</v>
      </c>
      <c r="K27" s="9">
        <v>18.78</v>
      </c>
      <c r="L27" s="9">
        <v>1.49</v>
      </c>
      <c r="M27" s="9">
        <v>0.4</v>
      </c>
      <c r="N27" s="9">
        <v>0</v>
      </c>
      <c r="O27" s="9">
        <v>0</v>
      </c>
      <c r="Q27" s="9">
        <v>0</v>
      </c>
      <c r="R27" s="9">
        <v>0</v>
      </c>
      <c r="S27" s="9">
        <v>0</v>
      </c>
      <c r="T27" s="9">
        <v>6.38</v>
      </c>
      <c r="U27" s="9">
        <v>49.21</v>
      </c>
      <c r="V27" s="9">
        <v>12.84</v>
      </c>
      <c r="W27" s="9">
        <v>1.21</v>
      </c>
      <c r="X27" s="9">
        <v>0</v>
      </c>
      <c r="Y27" s="9">
        <v>0</v>
      </c>
      <c r="Z27" s="9">
        <v>0</v>
      </c>
      <c r="AM27" s="9">
        <v>0</v>
      </c>
      <c r="AN27" s="9">
        <v>0</v>
      </c>
      <c r="AY27" s="17"/>
      <c r="BQ27" s="9">
        <v>1</v>
      </c>
      <c r="BR27" s="9">
        <v>40</v>
      </c>
      <c r="BS27" s="9">
        <v>1</v>
      </c>
      <c r="BT27" s="9">
        <v>2.09</v>
      </c>
      <c r="BU27" s="9">
        <v>1</v>
      </c>
      <c r="DB27" s="11">
        <v>0.62</v>
      </c>
      <c r="DC27" s="11">
        <v>1</v>
      </c>
      <c r="DD27" s="11">
        <v>1</v>
      </c>
      <c r="DE27" s="11"/>
      <c r="DF27" s="11">
        <v>4.1399999999999997</v>
      </c>
      <c r="DG27" s="11"/>
      <c r="DH27" s="11"/>
      <c r="DI27" s="11"/>
      <c r="DJ27" s="11"/>
      <c r="DK27" s="11"/>
      <c r="DL27" s="11"/>
      <c r="DM27" s="11">
        <v>0</v>
      </c>
      <c r="DN27" s="11">
        <v>0</v>
      </c>
      <c r="DO27" s="11">
        <v>0</v>
      </c>
      <c r="DP27" s="11">
        <v>0</v>
      </c>
      <c r="DQ27" s="11">
        <v>0</v>
      </c>
      <c r="DR27" s="11">
        <v>0</v>
      </c>
      <c r="DS27" s="11">
        <v>3.21</v>
      </c>
      <c r="DT27" s="9">
        <v>0</v>
      </c>
    </row>
    <row r="28" spans="1:124" x14ac:dyDescent="0.2">
      <c r="A28" s="10">
        <v>42940</v>
      </c>
      <c r="B28" s="9" t="s">
        <v>63</v>
      </c>
      <c r="C28" s="9" t="s">
        <v>86</v>
      </c>
      <c r="D28" s="9" t="s">
        <v>89</v>
      </c>
      <c r="E28" s="9">
        <v>42.5</v>
      </c>
      <c r="F28" s="11">
        <v>81.7</v>
      </c>
      <c r="G28" s="11">
        <v>80.400000000000006</v>
      </c>
      <c r="H28" s="11">
        <v>18.399999999999999</v>
      </c>
      <c r="I28" s="9">
        <v>80.680000000000007</v>
      </c>
      <c r="J28" s="15">
        <v>0</v>
      </c>
      <c r="K28" s="9">
        <v>8.41</v>
      </c>
      <c r="L28" s="9">
        <v>1.93</v>
      </c>
      <c r="M28" s="9">
        <v>8.98</v>
      </c>
      <c r="N28" s="9">
        <v>0</v>
      </c>
      <c r="O28" s="9">
        <v>0</v>
      </c>
      <c r="Q28" s="9">
        <v>0</v>
      </c>
      <c r="R28" s="9">
        <v>0</v>
      </c>
      <c r="S28" s="9">
        <v>0</v>
      </c>
      <c r="T28" s="9">
        <v>7.0000000000000007E-2</v>
      </c>
      <c r="U28" s="9">
        <v>26.86</v>
      </c>
      <c r="V28" s="9">
        <v>25.47</v>
      </c>
      <c r="W28" s="9">
        <v>0</v>
      </c>
      <c r="X28" s="9">
        <v>0</v>
      </c>
      <c r="Y28" s="9">
        <v>0</v>
      </c>
      <c r="Z28" s="9">
        <v>0</v>
      </c>
      <c r="AM28" s="9">
        <v>17.899999999999999</v>
      </c>
      <c r="AN28" s="9">
        <v>1</v>
      </c>
      <c r="AO28" s="9">
        <v>33</v>
      </c>
      <c r="AP28" s="9">
        <v>2</v>
      </c>
      <c r="AQ28" s="9">
        <v>1.52</v>
      </c>
      <c r="AR28" s="9">
        <v>4</v>
      </c>
      <c r="AS28" s="9">
        <v>35</v>
      </c>
      <c r="AT28" s="9">
        <v>3</v>
      </c>
      <c r="AU28" s="9">
        <v>1.3</v>
      </c>
      <c r="AV28" s="9">
        <v>3</v>
      </c>
      <c r="AY28" s="17"/>
      <c r="BQ28" s="9">
        <v>0</v>
      </c>
      <c r="DB28" s="11">
        <v>0</v>
      </c>
      <c r="DC28" s="11">
        <v>0</v>
      </c>
      <c r="DD28" s="11"/>
      <c r="DE28" s="11"/>
      <c r="DF28" s="11"/>
      <c r="DG28" s="11"/>
      <c r="DH28" s="11"/>
      <c r="DI28" s="11"/>
      <c r="DJ28" s="11"/>
      <c r="DK28" s="11"/>
      <c r="DL28" s="11"/>
      <c r="DM28" s="11">
        <v>4.29</v>
      </c>
      <c r="DN28" s="11">
        <v>2.66</v>
      </c>
      <c r="DO28" s="11">
        <v>0</v>
      </c>
      <c r="DP28" s="11">
        <v>0</v>
      </c>
      <c r="DQ28" s="11">
        <v>0</v>
      </c>
      <c r="DR28" s="11">
        <v>0</v>
      </c>
      <c r="DS28" s="11">
        <v>0</v>
      </c>
      <c r="DT28" s="9">
        <v>0</v>
      </c>
    </row>
    <row r="29" spans="1:124" x14ac:dyDescent="0.2">
      <c r="A29" s="10">
        <v>42940</v>
      </c>
      <c r="B29" s="9" t="s">
        <v>63</v>
      </c>
      <c r="C29" s="9" t="s">
        <v>86</v>
      </c>
      <c r="D29" s="9" t="s">
        <v>90</v>
      </c>
      <c r="E29" s="9">
        <v>29</v>
      </c>
      <c r="F29" s="11">
        <v>76.099999999999994</v>
      </c>
      <c r="G29" s="11">
        <v>80.400000000000006</v>
      </c>
      <c r="H29" s="11">
        <v>20.5</v>
      </c>
      <c r="I29" s="9">
        <v>77.86</v>
      </c>
      <c r="J29" s="15">
        <v>0</v>
      </c>
      <c r="K29" s="9">
        <v>13.05</v>
      </c>
      <c r="L29" s="9">
        <v>0</v>
      </c>
      <c r="M29" s="9">
        <v>9.1</v>
      </c>
      <c r="N29" s="9">
        <v>0</v>
      </c>
      <c r="O29" s="9">
        <v>0</v>
      </c>
      <c r="Q29" s="9">
        <v>0</v>
      </c>
      <c r="R29" s="9">
        <v>0</v>
      </c>
      <c r="S29" s="9">
        <v>0</v>
      </c>
      <c r="T29" s="9">
        <v>0.56999999999999995</v>
      </c>
      <c r="U29" s="9">
        <v>29.77</v>
      </c>
      <c r="V29" s="9">
        <v>20.82</v>
      </c>
      <c r="W29" s="9">
        <v>0</v>
      </c>
      <c r="X29" s="9">
        <v>0</v>
      </c>
      <c r="Y29" s="9">
        <v>0</v>
      </c>
      <c r="Z29" s="9">
        <v>1</v>
      </c>
      <c r="AA29" s="9">
        <v>2</v>
      </c>
      <c r="AC29" s="9">
        <v>1</v>
      </c>
      <c r="AG29" s="9">
        <v>2</v>
      </c>
      <c r="AI29" s="9">
        <v>1</v>
      </c>
      <c r="AM29" s="9">
        <v>0</v>
      </c>
      <c r="AN29" s="9">
        <v>0</v>
      </c>
      <c r="AY29" s="17"/>
      <c r="BQ29" s="9">
        <v>0</v>
      </c>
      <c r="DB29" s="11">
        <v>0.32</v>
      </c>
      <c r="DC29" s="11">
        <v>1</v>
      </c>
      <c r="DD29" s="11">
        <v>1</v>
      </c>
      <c r="DE29" s="11"/>
      <c r="DF29" s="11">
        <v>1.32</v>
      </c>
      <c r="DG29" s="11"/>
      <c r="DH29" s="11"/>
      <c r="DI29" s="11"/>
      <c r="DJ29" s="11"/>
      <c r="DK29" s="11"/>
      <c r="DL29" s="11"/>
      <c r="DM29" s="11">
        <v>5.5</v>
      </c>
      <c r="DN29" s="11">
        <v>9.81</v>
      </c>
      <c r="DO29" s="11">
        <v>0</v>
      </c>
      <c r="DP29" s="11">
        <v>0</v>
      </c>
      <c r="DQ29" s="11">
        <v>0</v>
      </c>
      <c r="DR29" s="11">
        <v>0</v>
      </c>
      <c r="DS29" s="11">
        <v>0</v>
      </c>
      <c r="DT29" s="9">
        <v>0</v>
      </c>
    </row>
    <row r="30" spans="1:124" x14ac:dyDescent="0.2">
      <c r="A30" s="10">
        <v>42940</v>
      </c>
      <c r="B30" s="9" t="s">
        <v>63</v>
      </c>
      <c r="C30" s="9" t="s">
        <v>86</v>
      </c>
      <c r="D30" s="9" t="s">
        <v>91</v>
      </c>
      <c r="E30" s="9">
        <v>33.5</v>
      </c>
      <c r="F30" s="11">
        <v>74.7</v>
      </c>
      <c r="G30" s="11">
        <v>80.400000000000006</v>
      </c>
      <c r="H30" s="11">
        <v>23.3</v>
      </c>
      <c r="I30" s="9">
        <v>67.739999999999995</v>
      </c>
      <c r="J30" s="15">
        <v>0</v>
      </c>
      <c r="K30" s="9">
        <v>10.14</v>
      </c>
      <c r="L30" s="9">
        <v>0</v>
      </c>
      <c r="M30" s="9">
        <v>22.12</v>
      </c>
      <c r="N30" s="9">
        <v>0</v>
      </c>
      <c r="O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51.2</v>
      </c>
      <c r="V30" s="9">
        <v>15.83</v>
      </c>
      <c r="W30" s="9">
        <v>0</v>
      </c>
      <c r="X30" s="9">
        <v>0</v>
      </c>
      <c r="Y30" s="9">
        <v>0</v>
      </c>
      <c r="Z30" s="9">
        <v>0</v>
      </c>
      <c r="AM30" s="9">
        <v>2.2999999999999998</v>
      </c>
      <c r="AN30" s="9">
        <v>0</v>
      </c>
      <c r="AY30" s="17"/>
      <c r="BQ30" s="9">
        <v>1</v>
      </c>
      <c r="BR30" s="9">
        <v>50</v>
      </c>
      <c r="BS30" s="9">
        <v>20</v>
      </c>
      <c r="BT30" s="9">
        <v>30.66</v>
      </c>
      <c r="BU30" s="9">
        <v>3</v>
      </c>
      <c r="BV30" s="9">
        <v>60</v>
      </c>
      <c r="BW30" s="9">
        <v>33</v>
      </c>
      <c r="BX30" s="9">
        <v>0.56000000000000005</v>
      </c>
      <c r="BY30" s="9">
        <v>3</v>
      </c>
      <c r="DB30" s="11">
        <v>0</v>
      </c>
      <c r="DC30" s="11">
        <v>0</v>
      </c>
      <c r="DD30" s="11"/>
      <c r="DE30" s="11"/>
      <c r="DF30" s="11"/>
      <c r="DG30" s="11"/>
      <c r="DH30" s="11"/>
      <c r="DI30" s="11"/>
      <c r="DJ30" s="11"/>
      <c r="DK30" s="11"/>
      <c r="DL30" s="11"/>
      <c r="DM30" s="11">
        <v>5.22</v>
      </c>
      <c r="DN30" s="11">
        <v>7.07</v>
      </c>
      <c r="DO30" s="11">
        <v>0</v>
      </c>
      <c r="DP30" s="11">
        <v>0</v>
      </c>
      <c r="DQ30" s="11">
        <v>0</v>
      </c>
      <c r="DR30" s="11">
        <v>0</v>
      </c>
      <c r="DS30" s="11">
        <v>0</v>
      </c>
      <c r="DT30" s="9">
        <v>0</v>
      </c>
    </row>
    <row r="31" spans="1:124" x14ac:dyDescent="0.2">
      <c r="A31" s="10">
        <v>42940</v>
      </c>
      <c r="B31" s="9" t="s">
        <v>63</v>
      </c>
      <c r="C31" s="9" t="s">
        <v>86</v>
      </c>
      <c r="D31" s="9" t="s">
        <v>92</v>
      </c>
      <c r="E31" s="9">
        <v>36.5</v>
      </c>
      <c r="F31" s="11">
        <v>85.2</v>
      </c>
      <c r="G31" s="11">
        <v>80.400000000000006</v>
      </c>
      <c r="H31" s="11">
        <v>24.1</v>
      </c>
      <c r="I31" s="9">
        <v>65.36</v>
      </c>
      <c r="J31" s="15">
        <v>0</v>
      </c>
      <c r="K31" s="9">
        <v>10.14</v>
      </c>
      <c r="L31" s="9">
        <v>0</v>
      </c>
      <c r="M31" s="9">
        <v>24.5</v>
      </c>
      <c r="N31" s="9">
        <v>0</v>
      </c>
      <c r="O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56.76</v>
      </c>
      <c r="V31" s="9">
        <v>17.5</v>
      </c>
      <c r="W31" s="9">
        <v>0</v>
      </c>
      <c r="X31" s="9">
        <v>0</v>
      </c>
      <c r="Y31" s="9">
        <v>0</v>
      </c>
      <c r="Z31" s="9">
        <v>0</v>
      </c>
      <c r="AM31" s="9">
        <v>4.3</v>
      </c>
      <c r="AN31" s="9">
        <v>0</v>
      </c>
      <c r="AY31" s="17"/>
      <c r="BQ31" s="9">
        <v>1</v>
      </c>
      <c r="BR31" s="9">
        <v>60</v>
      </c>
      <c r="BS31" s="9">
        <v>53</v>
      </c>
      <c r="BT31" s="9">
        <v>35.979999999999997</v>
      </c>
      <c r="BU31" s="9">
        <v>3</v>
      </c>
      <c r="DB31" s="11">
        <v>0</v>
      </c>
      <c r="DC31" s="11">
        <v>0</v>
      </c>
      <c r="DD31" s="11"/>
      <c r="DE31" s="11"/>
      <c r="DF31" s="11"/>
      <c r="DG31" s="11"/>
      <c r="DH31" s="11"/>
      <c r="DI31" s="11"/>
      <c r="DJ31" s="11"/>
      <c r="DK31" s="11"/>
      <c r="DL31" s="11"/>
      <c r="DM31" s="11">
        <v>5.0999999999999996</v>
      </c>
      <c r="DN31" s="11">
        <v>5.93</v>
      </c>
      <c r="DO31" s="11">
        <v>0</v>
      </c>
      <c r="DP31" s="11">
        <v>0</v>
      </c>
      <c r="DQ31" s="11">
        <v>0</v>
      </c>
      <c r="DR31" s="11">
        <v>0</v>
      </c>
      <c r="DS31" s="11">
        <v>0</v>
      </c>
      <c r="DT31" s="9">
        <v>0</v>
      </c>
    </row>
    <row r="32" spans="1:124" x14ac:dyDescent="0.2">
      <c r="A32" s="10">
        <v>42940</v>
      </c>
      <c r="B32" s="9" t="s">
        <v>63</v>
      </c>
      <c r="C32" s="9" t="s">
        <v>86</v>
      </c>
      <c r="D32" s="9" t="s">
        <v>93</v>
      </c>
      <c r="E32" s="9">
        <v>16.5</v>
      </c>
      <c r="F32" s="11">
        <v>30.8</v>
      </c>
      <c r="G32" s="11">
        <v>80.400000000000006</v>
      </c>
      <c r="H32" s="11">
        <v>8.6999999999999993</v>
      </c>
      <c r="I32" s="9">
        <v>86.39</v>
      </c>
      <c r="J32" s="15">
        <v>0</v>
      </c>
      <c r="K32" s="9">
        <v>0</v>
      </c>
      <c r="L32" s="9">
        <v>0</v>
      </c>
      <c r="M32" s="9">
        <v>2.2799999999999998</v>
      </c>
      <c r="N32" s="9">
        <v>0</v>
      </c>
      <c r="O32" s="9">
        <v>9.09</v>
      </c>
      <c r="P32" s="9">
        <v>3.57</v>
      </c>
      <c r="Q32" s="9">
        <v>0</v>
      </c>
      <c r="R32" s="9">
        <v>1.8</v>
      </c>
      <c r="S32" s="9">
        <v>0</v>
      </c>
      <c r="T32" s="9">
        <v>1.8</v>
      </c>
      <c r="U32" s="9">
        <v>5.0599999999999996</v>
      </c>
      <c r="V32" s="9">
        <v>7.89</v>
      </c>
      <c r="W32" s="9">
        <v>0</v>
      </c>
      <c r="X32" s="9">
        <v>0</v>
      </c>
      <c r="Y32" s="9">
        <v>0</v>
      </c>
      <c r="Z32" s="9">
        <v>0</v>
      </c>
      <c r="AM32" s="9">
        <v>0</v>
      </c>
      <c r="AN32" s="9">
        <v>1</v>
      </c>
      <c r="AO32" s="9">
        <v>23</v>
      </c>
      <c r="AP32" s="9">
        <v>2</v>
      </c>
      <c r="AQ32" s="9">
        <v>0.72</v>
      </c>
      <c r="AR32" s="9">
        <v>3</v>
      </c>
      <c r="AY32" s="17"/>
      <c r="BQ32" s="9">
        <v>0</v>
      </c>
      <c r="DB32" s="11">
        <v>0.82</v>
      </c>
      <c r="DC32" s="11">
        <v>1</v>
      </c>
      <c r="DD32" s="11">
        <v>1</v>
      </c>
      <c r="DE32" s="11"/>
      <c r="DF32" s="11">
        <v>1.84</v>
      </c>
      <c r="DG32" s="11"/>
      <c r="DH32" s="11"/>
      <c r="DI32" s="11"/>
      <c r="DJ32" s="11"/>
      <c r="DK32" s="11"/>
      <c r="DL32" s="11"/>
      <c r="DM32" s="11">
        <v>0</v>
      </c>
      <c r="DN32" s="11">
        <v>0</v>
      </c>
      <c r="DO32" s="11">
        <v>0</v>
      </c>
      <c r="DP32" s="11">
        <v>0</v>
      </c>
      <c r="DQ32" s="11">
        <v>6.72</v>
      </c>
      <c r="DR32" s="11">
        <v>0</v>
      </c>
      <c r="DS32" s="11">
        <v>0</v>
      </c>
      <c r="DT32" s="9">
        <v>0</v>
      </c>
    </row>
    <row r="33" spans="1:124" x14ac:dyDescent="0.2">
      <c r="A33" s="10">
        <v>42940</v>
      </c>
      <c r="B33" s="9" t="s">
        <v>63</v>
      </c>
      <c r="C33" s="9" t="s">
        <v>86</v>
      </c>
      <c r="D33" s="9" t="s">
        <v>94</v>
      </c>
      <c r="E33" s="9">
        <v>29.5</v>
      </c>
      <c r="F33" s="11">
        <v>87</v>
      </c>
      <c r="G33" s="11">
        <v>80.400000000000006</v>
      </c>
      <c r="H33" s="11">
        <v>20.9</v>
      </c>
      <c r="I33" s="9">
        <v>47.27</v>
      </c>
      <c r="J33" s="15">
        <v>0</v>
      </c>
      <c r="K33" s="9">
        <v>8.94</v>
      </c>
      <c r="L33" s="9">
        <v>0</v>
      </c>
      <c r="M33" s="9">
        <v>5.89</v>
      </c>
      <c r="N33" s="9">
        <v>0</v>
      </c>
      <c r="O33" s="9">
        <v>37.82</v>
      </c>
      <c r="P33" s="9">
        <v>0.76</v>
      </c>
      <c r="Q33" s="9">
        <v>0</v>
      </c>
      <c r="R33" s="9">
        <v>0</v>
      </c>
      <c r="S33" s="9">
        <v>0</v>
      </c>
      <c r="T33" s="9">
        <v>41.87</v>
      </c>
      <c r="U33" s="9">
        <v>46.31</v>
      </c>
      <c r="V33" s="9">
        <v>18.03</v>
      </c>
      <c r="W33" s="9">
        <v>5.0599999999999996</v>
      </c>
      <c r="X33" s="9">
        <v>0</v>
      </c>
      <c r="Y33" s="9">
        <v>0</v>
      </c>
      <c r="Z33" s="9">
        <v>0</v>
      </c>
      <c r="AM33" s="9">
        <v>1.1000000000000001</v>
      </c>
      <c r="AN33" s="9">
        <v>1</v>
      </c>
      <c r="AO33" s="9">
        <v>35</v>
      </c>
      <c r="AP33" s="9">
        <v>2</v>
      </c>
      <c r="AQ33" s="9">
        <v>0.23</v>
      </c>
      <c r="AR33" s="9">
        <v>3</v>
      </c>
      <c r="AY33" s="17"/>
      <c r="BQ33" s="9">
        <v>0</v>
      </c>
      <c r="DB33" s="11">
        <v>3.92</v>
      </c>
      <c r="DC33" s="11">
        <v>1</v>
      </c>
      <c r="DD33" s="11">
        <v>1</v>
      </c>
      <c r="DE33" s="11"/>
      <c r="DF33" s="11">
        <v>0.37</v>
      </c>
      <c r="DG33" s="11">
        <v>2</v>
      </c>
      <c r="DH33" s="11"/>
      <c r="DI33" s="11">
        <v>15.28</v>
      </c>
      <c r="DJ33" s="11"/>
      <c r="DK33" s="11"/>
      <c r="DL33" s="11"/>
      <c r="DM33" s="11">
        <v>2.34</v>
      </c>
      <c r="DN33" s="11">
        <v>2.02</v>
      </c>
      <c r="DO33" s="11">
        <v>0</v>
      </c>
      <c r="DP33" s="11">
        <v>0</v>
      </c>
      <c r="DQ33" s="11">
        <v>0</v>
      </c>
      <c r="DR33" s="11">
        <v>0</v>
      </c>
      <c r="DS33" s="11">
        <v>0</v>
      </c>
      <c r="DT33" s="9">
        <v>0</v>
      </c>
    </row>
    <row r="34" spans="1:124" x14ac:dyDescent="0.2">
      <c r="A34" s="10">
        <v>42940</v>
      </c>
      <c r="B34" s="9" t="s">
        <v>63</v>
      </c>
      <c r="C34" s="9" t="s">
        <v>86</v>
      </c>
      <c r="D34" s="9" t="s">
        <v>95</v>
      </c>
      <c r="E34" s="9">
        <v>33</v>
      </c>
      <c r="F34" s="11">
        <v>81.8</v>
      </c>
      <c r="G34" s="11">
        <v>80.400000000000006</v>
      </c>
      <c r="H34" s="11">
        <v>20.6</v>
      </c>
      <c r="I34" s="9">
        <v>53.66</v>
      </c>
      <c r="J34" s="15">
        <v>0</v>
      </c>
      <c r="K34" s="9">
        <v>8.94</v>
      </c>
      <c r="L34" s="9">
        <v>0</v>
      </c>
      <c r="M34" s="9">
        <v>5.8</v>
      </c>
      <c r="N34" s="9">
        <v>0</v>
      </c>
      <c r="O34" s="9">
        <v>31.6</v>
      </c>
      <c r="P34" s="9">
        <v>0.76</v>
      </c>
      <c r="Q34" s="9">
        <v>0</v>
      </c>
      <c r="R34" s="9">
        <v>0</v>
      </c>
      <c r="S34" s="9">
        <v>0</v>
      </c>
      <c r="T34" s="9">
        <v>35.590000000000003</v>
      </c>
      <c r="U34" s="9">
        <v>40.15</v>
      </c>
      <c r="V34" s="9">
        <v>14.76</v>
      </c>
      <c r="W34" s="9">
        <v>6.55</v>
      </c>
      <c r="X34" s="9">
        <v>0</v>
      </c>
      <c r="Y34" s="9">
        <v>0</v>
      </c>
      <c r="Z34" s="9">
        <v>0</v>
      </c>
      <c r="AM34" s="9">
        <v>1.1000000000000001</v>
      </c>
      <c r="AN34" s="9">
        <v>1</v>
      </c>
      <c r="AO34" s="9">
        <v>35</v>
      </c>
      <c r="AP34" s="9">
        <v>2</v>
      </c>
      <c r="AQ34" s="9">
        <v>0.23</v>
      </c>
      <c r="AR34" s="9">
        <v>3</v>
      </c>
      <c r="AY34" s="17"/>
      <c r="BQ34" s="9">
        <v>0</v>
      </c>
      <c r="DB34" s="11">
        <v>3.2</v>
      </c>
      <c r="DC34" s="11">
        <v>1</v>
      </c>
      <c r="DD34" s="11">
        <v>1</v>
      </c>
      <c r="DE34" s="11"/>
      <c r="DF34" s="11">
        <v>0.37</v>
      </c>
      <c r="DG34" s="11">
        <v>2</v>
      </c>
      <c r="DH34" s="11"/>
      <c r="DI34" s="11">
        <v>12.89</v>
      </c>
      <c r="DJ34" s="11"/>
      <c r="DK34" s="11"/>
      <c r="DL34" s="11"/>
      <c r="DM34" s="11">
        <v>5.89</v>
      </c>
      <c r="DN34" s="11">
        <v>5.13</v>
      </c>
      <c r="DO34" s="11">
        <v>0</v>
      </c>
      <c r="DP34" s="11">
        <v>0</v>
      </c>
      <c r="DQ34" s="11">
        <v>0</v>
      </c>
      <c r="DR34" s="11">
        <v>0</v>
      </c>
      <c r="DS34" s="11">
        <v>0</v>
      </c>
      <c r="DT34" s="9">
        <v>0</v>
      </c>
    </row>
    <row r="35" spans="1:124" x14ac:dyDescent="0.2">
      <c r="A35" s="10">
        <v>42940</v>
      </c>
      <c r="B35" s="9" t="s">
        <v>63</v>
      </c>
      <c r="C35" s="9" t="s">
        <v>86</v>
      </c>
      <c r="D35" s="9" t="s">
        <v>96</v>
      </c>
      <c r="E35" s="9">
        <v>33</v>
      </c>
      <c r="F35" s="11">
        <v>70.599999999999994</v>
      </c>
      <c r="G35" s="11">
        <v>80.400000000000006</v>
      </c>
      <c r="H35" s="11">
        <v>29.2</v>
      </c>
      <c r="I35" s="9">
        <v>16.940000000000001</v>
      </c>
      <c r="J35" s="15">
        <v>0</v>
      </c>
      <c r="K35" s="9">
        <v>0</v>
      </c>
      <c r="L35" s="9">
        <v>0</v>
      </c>
      <c r="M35" s="9">
        <v>0</v>
      </c>
      <c r="N35" s="9">
        <v>0</v>
      </c>
      <c r="O35" s="9">
        <v>83.06</v>
      </c>
      <c r="P35" s="9">
        <v>25.18</v>
      </c>
      <c r="Q35" s="9">
        <v>8.6999999999999993</v>
      </c>
      <c r="R35" s="9">
        <v>0</v>
      </c>
      <c r="S35" s="9">
        <v>0</v>
      </c>
      <c r="T35" s="9">
        <v>0</v>
      </c>
      <c r="U35" s="9">
        <v>13.49</v>
      </c>
      <c r="V35" s="9">
        <v>16.48</v>
      </c>
      <c r="W35" s="9">
        <v>0</v>
      </c>
      <c r="X35" s="9">
        <v>0</v>
      </c>
      <c r="Y35" s="9">
        <v>0</v>
      </c>
      <c r="Z35" s="9">
        <v>0</v>
      </c>
      <c r="AM35" s="9">
        <v>0</v>
      </c>
      <c r="AN35" s="9">
        <v>0</v>
      </c>
      <c r="AY35" s="17"/>
      <c r="BQ35" s="9">
        <v>0</v>
      </c>
      <c r="DB35" s="11">
        <v>3.62</v>
      </c>
      <c r="DC35" s="11">
        <v>1</v>
      </c>
      <c r="DD35" s="11">
        <v>1</v>
      </c>
      <c r="DE35" s="11"/>
      <c r="DF35" s="11">
        <v>16.739999999999998</v>
      </c>
      <c r="DG35" s="11"/>
      <c r="DH35" s="11"/>
      <c r="DI35" s="11"/>
      <c r="DJ35" s="11"/>
      <c r="DK35" s="11"/>
      <c r="DL35" s="11"/>
      <c r="DM35" s="11">
        <v>0</v>
      </c>
      <c r="DN35" s="11">
        <v>0</v>
      </c>
      <c r="DO35" s="11">
        <v>0</v>
      </c>
      <c r="DP35" s="11">
        <v>0</v>
      </c>
      <c r="DQ35" s="11">
        <v>0</v>
      </c>
      <c r="DR35" s="11">
        <v>0</v>
      </c>
      <c r="DS35" s="11">
        <v>0</v>
      </c>
      <c r="DT35" s="9">
        <v>0</v>
      </c>
    </row>
    <row r="36" spans="1:124" x14ac:dyDescent="0.2">
      <c r="A36" s="10">
        <v>42940</v>
      </c>
      <c r="B36" s="9" t="s">
        <v>63</v>
      </c>
      <c r="C36" s="9" t="s">
        <v>86</v>
      </c>
      <c r="D36" s="9" t="s">
        <v>97</v>
      </c>
      <c r="E36" s="9">
        <v>26</v>
      </c>
      <c r="F36" s="11">
        <v>68.5</v>
      </c>
      <c r="G36" s="11">
        <v>80.400000000000006</v>
      </c>
      <c r="H36" s="11">
        <v>15.6</v>
      </c>
      <c r="I36" s="9">
        <v>18.899999999999999</v>
      </c>
      <c r="J36" s="15">
        <v>0</v>
      </c>
      <c r="K36" s="9">
        <v>0</v>
      </c>
      <c r="L36" s="9">
        <v>0</v>
      </c>
      <c r="M36" s="9">
        <v>3.51</v>
      </c>
      <c r="N36" s="9">
        <v>0</v>
      </c>
      <c r="O36" s="9">
        <v>77.39</v>
      </c>
      <c r="P36" s="9">
        <v>0</v>
      </c>
      <c r="Q36" s="9">
        <v>2.06</v>
      </c>
      <c r="R36" s="9">
        <v>0</v>
      </c>
      <c r="S36" s="9">
        <v>0</v>
      </c>
      <c r="T36" s="9">
        <v>45.86</v>
      </c>
      <c r="U36" s="9">
        <v>16.260000000000002</v>
      </c>
      <c r="V36" s="9">
        <v>26.58</v>
      </c>
      <c r="W36" s="9">
        <v>0</v>
      </c>
      <c r="X36" s="9">
        <v>0</v>
      </c>
      <c r="Y36" s="9">
        <v>0</v>
      </c>
      <c r="Z36" s="9">
        <v>0</v>
      </c>
      <c r="AM36" s="9">
        <v>3</v>
      </c>
      <c r="AN36" s="9">
        <v>0</v>
      </c>
      <c r="AY36" s="17"/>
      <c r="BQ36" s="9">
        <v>1</v>
      </c>
      <c r="BR36" s="9">
        <v>50</v>
      </c>
      <c r="BS36" s="9">
        <v>10</v>
      </c>
      <c r="BT36" s="9">
        <v>5.31</v>
      </c>
      <c r="BU36" s="9">
        <v>3</v>
      </c>
      <c r="DB36" s="11">
        <v>0.67</v>
      </c>
      <c r="DC36" s="11">
        <v>1</v>
      </c>
      <c r="DD36" s="11">
        <v>1</v>
      </c>
      <c r="DE36" s="11"/>
      <c r="DF36" s="11">
        <f>0.14+0.43+0.28</f>
        <v>0.85000000000000009</v>
      </c>
      <c r="DG36" s="11">
        <v>2</v>
      </c>
      <c r="DH36" s="11"/>
      <c r="DI36" s="11">
        <v>0.46</v>
      </c>
      <c r="DJ36" s="11"/>
      <c r="DK36" s="11"/>
      <c r="DL36" s="11"/>
      <c r="DM36" s="11">
        <v>6.17</v>
      </c>
      <c r="DN36" s="11">
        <v>5.86</v>
      </c>
      <c r="DO36" s="11">
        <v>0</v>
      </c>
      <c r="DP36" s="11">
        <v>0</v>
      </c>
      <c r="DQ36" s="11">
        <v>0</v>
      </c>
      <c r="DR36" s="11">
        <v>0</v>
      </c>
      <c r="DS36" s="11">
        <v>0</v>
      </c>
      <c r="DT36" s="9">
        <v>0</v>
      </c>
    </row>
    <row r="37" spans="1:124" x14ac:dyDescent="0.2">
      <c r="A37" s="10">
        <v>42940</v>
      </c>
      <c r="B37" s="9" t="s">
        <v>63</v>
      </c>
      <c r="C37" s="9" t="s">
        <v>86</v>
      </c>
      <c r="D37" s="9" t="s">
        <v>98</v>
      </c>
      <c r="E37" s="9">
        <v>54.5</v>
      </c>
      <c r="F37" s="11">
        <v>77.7</v>
      </c>
      <c r="G37" s="11">
        <v>80.400000000000006</v>
      </c>
      <c r="H37" s="11">
        <v>22</v>
      </c>
      <c r="I37" s="9">
        <v>51.86</v>
      </c>
      <c r="J37" s="15">
        <v>0</v>
      </c>
      <c r="K37" s="9">
        <v>0</v>
      </c>
      <c r="L37" s="9">
        <v>0</v>
      </c>
      <c r="M37" s="9">
        <v>11.71</v>
      </c>
      <c r="N37" s="9">
        <v>0</v>
      </c>
      <c r="O37" s="9">
        <v>36.43</v>
      </c>
      <c r="P37" s="9">
        <v>2.82</v>
      </c>
      <c r="Q37" s="9">
        <v>3.85</v>
      </c>
      <c r="R37" s="9">
        <v>0</v>
      </c>
      <c r="S37" s="9">
        <v>0</v>
      </c>
      <c r="T37" s="9">
        <v>33.64</v>
      </c>
      <c r="U37" s="9">
        <v>34.54</v>
      </c>
      <c r="V37" s="9">
        <v>11.9</v>
      </c>
      <c r="W37" s="9">
        <v>1.94</v>
      </c>
      <c r="X37" s="9">
        <v>0</v>
      </c>
      <c r="Y37" s="9">
        <v>23</v>
      </c>
      <c r="Z37" s="9">
        <v>1</v>
      </c>
      <c r="AA37" s="9">
        <v>5</v>
      </c>
      <c r="AC37" s="9">
        <v>6</v>
      </c>
      <c r="AG37" s="9">
        <v>5</v>
      </c>
      <c r="AI37" s="9">
        <v>6</v>
      </c>
      <c r="AM37" s="9">
        <v>2.4</v>
      </c>
      <c r="AN37" s="9">
        <v>1</v>
      </c>
      <c r="AO37" s="9">
        <v>35</v>
      </c>
      <c r="AP37" s="9">
        <v>3</v>
      </c>
      <c r="AQ37" s="9">
        <v>0.19</v>
      </c>
      <c r="AR37" s="9">
        <v>3</v>
      </c>
      <c r="AY37" s="17"/>
      <c r="BQ37" s="9">
        <v>1</v>
      </c>
      <c r="BR37" s="9">
        <v>50</v>
      </c>
      <c r="BS37" s="9">
        <v>4</v>
      </c>
      <c r="BT37" s="9">
        <v>1.52</v>
      </c>
      <c r="BU37" s="9">
        <v>3</v>
      </c>
      <c r="DB37" s="11">
        <v>2.39</v>
      </c>
      <c r="DC37" s="11">
        <v>1</v>
      </c>
      <c r="DD37" s="11">
        <v>2</v>
      </c>
      <c r="DE37" s="11"/>
      <c r="DF37" s="11">
        <v>3.21</v>
      </c>
      <c r="DG37" s="11"/>
      <c r="DH37" s="11"/>
      <c r="DI37" s="11"/>
      <c r="DJ37" s="11"/>
      <c r="DK37" s="11"/>
      <c r="DL37" s="11"/>
      <c r="DM37" s="11">
        <v>4.07</v>
      </c>
      <c r="DN37" s="11">
        <v>2.76</v>
      </c>
      <c r="DO37" s="11">
        <v>0</v>
      </c>
      <c r="DP37" s="11">
        <v>0</v>
      </c>
      <c r="DQ37" s="11">
        <v>0</v>
      </c>
      <c r="DR37" s="11">
        <v>0</v>
      </c>
      <c r="DS37" s="11">
        <v>0</v>
      </c>
      <c r="DT37" s="9">
        <v>0</v>
      </c>
    </row>
    <row r="38" spans="1:124" x14ac:dyDescent="0.2">
      <c r="A38" s="10">
        <v>42940</v>
      </c>
      <c r="B38" s="9" t="s">
        <v>63</v>
      </c>
      <c r="C38" s="9" t="s">
        <v>86</v>
      </c>
      <c r="D38" s="9" t="s">
        <v>99</v>
      </c>
      <c r="E38" s="9">
        <v>87.5</v>
      </c>
      <c r="F38" s="11">
        <v>78.400000000000006</v>
      </c>
      <c r="G38" s="11">
        <v>80.400000000000006</v>
      </c>
      <c r="H38" s="11">
        <v>46.6</v>
      </c>
      <c r="I38" s="9">
        <v>52.33</v>
      </c>
      <c r="J38" s="15">
        <v>0</v>
      </c>
      <c r="K38" s="9">
        <v>27.04</v>
      </c>
      <c r="L38" s="9">
        <v>12.9</v>
      </c>
      <c r="M38" s="9">
        <v>7.73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2.2799999999999998</v>
      </c>
      <c r="U38" s="9">
        <v>28.16</v>
      </c>
      <c r="V38" s="9">
        <v>18.63</v>
      </c>
      <c r="W38" s="9">
        <v>1.27</v>
      </c>
      <c r="X38" s="9">
        <v>0</v>
      </c>
      <c r="Y38" s="9">
        <v>15.7</v>
      </c>
      <c r="Z38" s="9">
        <v>1</v>
      </c>
      <c r="AA38" s="9">
        <v>3</v>
      </c>
      <c r="AC38" s="9">
        <v>1</v>
      </c>
      <c r="AG38" s="9">
        <v>3</v>
      </c>
      <c r="AI38" s="9">
        <v>1</v>
      </c>
      <c r="AM38" s="9">
        <v>14</v>
      </c>
      <c r="AN38" s="9">
        <v>1</v>
      </c>
      <c r="AO38" s="9">
        <v>35</v>
      </c>
      <c r="AP38" s="9">
        <v>4</v>
      </c>
      <c r="AQ38" s="9">
        <v>2.98</v>
      </c>
      <c r="AR38" s="9">
        <v>3</v>
      </c>
      <c r="AY38" s="17"/>
      <c r="BQ38" s="9">
        <v>1</v>
      </c>
      <c r="BR38" s="9">
        <v>50</v>
      </c>
      <c r="BS38" s="9">
        <v>2</v>
      </c>
      <c r="BT38" s="9">
        <v>1.07</v>
      </c>
      <c r="DB38" s="11">
        <v>1.51</v>
      </c>
      <c r="DC38" s="11">
        <v>1</v>
      </c>
      <c r="DD38" s="11">
        <v>1</v>
      </c>
      <c r="DE38" s="11"/>
      <c r="DF38" s="11">
        <v>2.86</v>
      </c>
      <c r="DG38" s="11">
        <v>2</v>
      </c>
      <c r="DH38" s="11"/>
      <c r="DI38" s="11">
        <v>0.85</v>
      </c>
      <c r="DJ38" s="11"/>
      <c r="DK38" s="11"/>
      <c r="DL38" s="11"/>
      <c r="DM38" s="11">
        <v>8.1300000000000008</v>
      </c>
      <c r="DN38" s="11">
        <v>5.84</v>
      </c>
      <c r="DO38" s="11">
        <v>0</v>
      </c>
      <c r="DP38" s="11">
        <v>0</v>
      </c>
      <c r="DQ38" s="11">
        <v>0</v>
      </c>
      <c r="DR38" s="11">
        <v>0</v>
      </c>
      <c r="DS38" s="11">
        <v>0</v>
      </c>
      <c r="DT38" s="9">
        <v>0</v>
      </c>
    </row>
    <row r="39" spans="1:124" x14ac:dyDescent="0.2">
      <c r="A39" s="10">
        <v>42940</v>
      </c>
      <c r="B39" s="9" t="s">
        <v>63</v>
      </c>
      <c r="C39" s="9" t="s">
        <v>86</v>
      </c>
      <c r="D39" s="9" t="s">
        <v>100</v>
      </c>
      <c r="E39" s="9">
        <v>77</v>
      </c>
      <c r="F39" s="11">
        <v>57.3</v>
      </c>
      <c r="G39" s="11">
        <v>80.400000000000006</v>
      </c>
      <c r="H39" s="11">
        <v>31.1</v>
      </c>
      <c r="I39" s="9">
        <v>67.36</v>
      </c>
      <c r="J39" s="15">
        <v>0</v>
      </c>
      <c r="K39" s="9">
        <v>9.59</v>
      </c>
      <c r="L39" s="9">
        <v>13.3</v>
      </c>
      <c r="M39" s="9">
        <v>0</v>
      </c>
      <c r="N39" s="9">
        <v>0</v>
      </c>
      <c r="O39" s="9">
        <v>9.75</v>
      </c>
      <c r="P39" s="9">
        <v>0.76</v>
      </c>
      <c r="Q39" s="9">
        <v>0</v>
      </c>
      <c r="R39" s="9">
        <v>0</v>
      </c>
      <c r="S39" s="9">
        <v>0</v>
      </c>
      <c r="T39" s="9">
        <v>3.43</v>
      </c>
      <c r="U39" s="9">
        <v>4.95</v>
      </c>
      <c r="V39" s="9">
        <v>6.47</v>
      </c>
      <c r="W39" s="9">
        <v>0</v>
      </c>
      <c r="X39" s="9">
        <v>0</v>
      </c>
      <c r="Y39" s="9">
        <v>18.600000000000001</v>
      </c>
      <c r="Z39" s="9">
        <v>1</v>
      </c>
      <c r="AA39" s="9">
        <v>3</v>
      </c>
      <c r="AC39" s="9">
        <v>1</v>
      </c>
      <c r="AG39" s="9">
        <v>3</v>
      </c>
      <c r="AI39" s="9">
        <v>1</v>
      </c>
      <c r="AM39" s="9">
        <v>21</v>
      </c>
      <c r="AN39" s="9">
        <v>1</v>
      </c>
      <c r="AO39" s="9">
        <v>35</v>
      </c>
      <c r="AP39" s="9">
        <v>4</v>
      </c>
      <c r="AQ39" s="9">
        <v>4.47</v>
      </c>
      <c r="AR39" s="9">
        <v>3</v>
      </c>
      <c r="AY39" s="17"/>
      <c r="BQ39" s="9">
        <v>0</v>
      </c>
      <c r="DB39" s="11">
        <v>0</v>
      </c>
      <c r="DC39" s="11">
        <v>0</v>
      </c>
      <c r="DD39" s="11"/>
      <c r="DE39" s="11"/>
      <c r="DF39" s="11"/>
      <c r="DG39" s="11"/>
      <c r="DH39" s="11"/>
      <c r="DI39" s="11"/>
      <c r="DJ39" s="11"/>
      <c r="DK39" s="11"/>
      <c r="DL39" s="11"/>
      <c r="DM39" s="11">
        <v>5.49</v>
      </c>
      <c r="DN39" s="11">
        <v>4.47</v>
      </c>
      <c r="DO39" s="11">
        <v>0</v>
      </c>
      <c r="DP39" s="11">
        <v>0</v>
      </c>
      <c r="DQ39" s="11">
        <v>0</v>
      </c>
      <c r="DR39" s="11">
        <v>0</v>
      </c>
      <c r="DS39" s="11">
        <v>0</v>
      </c>
      <c r="DT39" s="9">
        <v>0</v>
      </c>
    </row>
    <row r="40" spans="1:124" x14ac:dyDescent="0.2">
      <c r="A40" s="10">
        <v>42940</v>
      </c>
      <c r="B40" s="9" t="s">
        <v>63</v>
      </c>
      <c r="C40" s="9" t="s">
        <v>86</v>
      </c>
      <c r="D40" s="9" t="s">
        <v>101</v>
      </c>
      <c r="E40" s="9">
        <v>47</v>
      </c>
      <c r="F40" s="11">
        <v>74.900000000000006</v>
      </c>
      <c r="G40" s="11">
        <v>80.400000000000006</v>
      </c>
      <c r="H40" s="11">
        <v>36.299999999999997</v>
      </c>
      <c r="I40" s="9">
        <v>11.61</v>
      </c>
      <c r="J40" s="15">
        <v>0</v>
      </c>
      <c r="K40" s="9">
        <v>0</v>
      </c>
      <c r="L40" s="9">
        <v>0</v>
      </c>
      <c r="M40" s="9">
        <v>6.09</v>
      </c>
      <c r="N40" s="9">
        <v>0</v>
      </c>
      <c r="O40" s="9">
        <v>82.3</v>
      </c>
      <c r="P40" s="9">
        <v>39.69</v>
      </c>
      <c r="Q40" s="9">
        <v>0</v>
      </c>
      <c r="R40" s="9">
        <v>0</v>
      </c>
      <c r="S40" s="9">
        <v>0</v>
      </c>
      <c r="T40" s="9">
        <v>0.26</v>
      </c>
      <c r="U40" s="9">
        <v>7.42</v>
      </c>
      <c r="V40" s="9">
        <v>23.06</v>
      </c>
      <c r="W40" s="9">
        <v>16.89</v>
      </c>
      <c r="X40" s="9">
        <v>0</v>
      </c>
      <c r="Y40" s="9">
        <v>0</v>
      </c>
      <c r="Z40" s="9">
        <v>0</v>
      </c>
      <c r="AM40" s="9">
        <v>0</v>
      </c>
      <c r="AN40" s="9">
        <v>0</v>
      </c>
      <c r="AY40" s="17"/>
      <c r="BQ40" s="9">
        <v>0</v>
      </c>
      <c r="DB40" s="11">
        <v>3.85</v>
      </c>
      <c r="DC40" s="11">
        <v>1</v>
      </c>
      <c r="DD40" s="11">
        <v>1</v>
      </c>
      <c r="DE40" s="11"/>
      <c r="DF40" s="11">
        <v>27.3</v>
      </c>
      <c r="DG40" s="11"/>
      <c r="DH40" s="11"/>
      <c r="DI40" s="11"/>
      <c r="DJ40" s="11"/>
      <c r="DK40" s="11"/>
      <c r="DL40" s="11"/>
      <c r="DM40" s="11">
        <v>0</v>
      </c>
      <c r="DN40" s="11">
        <v>0</v>
      </c>
      <c r="DO40" s="11">
        <v>0</v>
      </c>
      <c r="DP40" s="11">
        <v>0</v>
      </c>
      <c r="DQ40" s="11">
        <v>6.72</v>
      </c>
      <c r="DR40" s="11">
        <v>0</v>
      </c>
      <c r="DS40" s="11">
        <v>0</v>
      </c>
      <c r="DT40" s="9">
        <v>1</v>
      </c>
    </row>
    <row r="41" spans="1:124" x14ac:dyDescent="0.2">
      <c r="A41" s="10">
        <v>42940</v>
      </c>
      <c r="B41" s="9" t="s">
        <v>63</v>
      </c>
      <c r="C41" s="9" t="s">
        <v>86</v>
      </c>
      <c r="D41" s="9" t="s">
        <v>102</v>
      </c>
      <c r="E41" s="9">
        <v>46</v>
      </c>
      <c r="F41" s="11">
        <v>75.2</v>
      </c>
      <c r="G41" s="11">
        <v>80.400000000000006</v>
      </c>
      <c r="H41" s="11">
        <v>36.200000000000003</v>
      </c>
      <c r="I41" s="9">
        <v>11.61</v>
      </c>
      <c r="J41" s="15">
        <v>0</v>
      </c>
      <c r="K41" s="9">
        <v>0</v>
      </c>
      <c r="L41" s="9">
        <v>0</v>
      </c>
      <c r="M41" s="9">
        <v>6.09</v>
      </c>
      <c r="N41" s="9">
        <v>0</v>
      </c>
      <c r="O41" s="9">
        <v>82.3</v>
      </c>
      <c r="P41" s="9">
        <v>39.69</v>
      </c>
      <c r="Q41" s="9">
        <v>0</v>
      </c>
      <c r="R41" s="9">
        <v>0</v>
      </c>
      <c r="S41" s="9">
        <v>0</v>
      </c>
      <c r="T41" s="9">
        <v>0</v>
      </c>
      <c r="U41" s="9">
        <v>7.42</v>
      </c>
      <c r="V41" s="9">
        <v>23.42</v>
      </c>
      <c r="W41" s="9">
        <v>16.89</v>
      </c>
      <c r="X41" s="9">
        <v>0</v>
      </c>
      <c r="Y41" s="9">
        <v>0</v>
      </c>
      <c r="Z41" s="9">
        <v>0</v>
      </c>
      <c r="AM41" s="9">
        <v>0</v>
      </c>
      <c r="AN41" s="9">
        <v>0</v>
      </c>
      <c r="AY41" s="17"/>
      <c r="BQ41" s="9">
        <v>0</v>
      </c>
      <c r="DB41" s="11">
        <v>3.86</v>
      </c>
      <c r="DC41" s="11">
        <v>1</v>
      </c>
      <c r="DD41" s="11">
        <v>1</v>
      </c>
      <c r="DE41" s="11"/>
      <c r="DF41" s="11">
        <v>27.34</v>
      </c>
      <c r="DG41" s="11"/>
      <c r="DH41" s="11"/>
      <c r="DI41" s="11"/>
      <c r="DJ41" s="11"/>
      <c r="DK41" s="11"/>
      <c r="DL41" s="11"/>
      <c r="DM41" s="11">
        <v>0</v>
      </c>
      <c r="DN41" s="11">
        <v>0</v>
      </c>
      <c r="DO41" s="11">
        <v>0</v>
      </c>
      <c r="DP41" s="11">
        <v>0</v>
      </c>
      <c r="DQ41" s="11">
        <v>5.97</v>
      </c>
      <c r="DR41" s="11">
        <v>0</v>
      </c>
      <c r="DS41" s="11">
        <v>0</v>
      </c>
      <c r="DT41" s="9">
        <v>1</v>
      </c>
    </row>
    <row r="42" spans="1:124" x14ac:dyDescent="0.2">
      <c r="A42" s="10">
        <v>42940</v>
      </c>
      <c r="B42" s="9" t="s">
        <v>63</v>
      </c>
      <c r="C42" s="9" t="s">
        <v>103</v>
      </c>
      <c r="D42" s="9" t="s">
        <v>104</v>
      </c>
      <c r="E42" s="9">
        <v>17.5</v>
      </c>
      <c r="F42" s="11">
        <v>81.900000000000006</v>
      </c>
      <c r="G42" s="11">
        <v>80.400000000000006</v>
      </c>
      <c r="H42" s="11">
        <v>12.5</v>
      </c>
      <c r="I42" s="9">
        <v>85.79</v>
      </c>
      <c r="J42" s="15">
        <v>0</v>
      </c>
      <c r="K42" s="9">
        <v>10.02</v>
      </c>
      <c r="L42" s="9">
        <v>0</v>
      </c>
      <c r="M42" s="9">
        <v>0</v>
      </c>
      <c r="N42" s="9">
        <v>0</v>
      </c>
      <c r="O42" s="9">
        <v>4.1900000000000004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53.51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M42" s="9">
        <v>0</v>
      </c>
      <c r="AN42" s="9">
        <v>0</v>
      </c>
      <c r="AY42" s="17"/>
      <c r="BQ42" s="9">
        <v>0</v>
      </c>
      <c r="DB42" s="11">
        <v>3.38</v>
      </c>
      <c r="DC42" s="11">
        <v>1</v>
      </c>
      <c r="DD42" s="11">
        <v>1</v>
      </c>
      <c r="DE42" s="11"/>
      <c r="DF42" s="11">
        <v>12.64</v>
      </c>
      <c r="DG42" s="11"/>
      <c r="DH42" s="11"/>
      <c r="DI42" s="11"/>
      <c r="DJ42" s="11"/>
      <c r="DK42" s="11"/>
      <c r="DL42" s="11"/>
      <c r="DM42" s="11">
        <v>0</v>
      </c>
      <c r="DN42" s="11">
        <v>0</v>
      </c>
      <c r="DO42" s="11">
        <v>0</v>
      </c>
      <c r="DP42" s="11">
        <v>0</v>
      </c>
      <c r="DQ42" s="11">
        <v>0</v>
      </c>
      <c r="DR42" s="11">
        <v>0</v>
      </c>
      <c r="DS42" s="11">
        <v>0</v>
      </c>
      <c r="DT42" s="9">
        <v>0</v>
      </c>
    </row>
    <row r="43" spans="1:124" x14ac:dyDescent="0.2">
      <c r="A43" s="10">
        <v>42940</v>
      </c>
      <c r="B43" s="9" t="s">
        <v>63</v>
      </c>
      <c r="C43" s="9" t="s">
        <v>103</v>
      </c>
      <c r="D43" s="9" t="s">
        <v>105</v>
      </c>
      <c r="E43" s="9">
        <v>31</v>
      </c>
      <c r="F43" s="11">
        <v>86.2</v>
      </c>
      <c r="G43" s="11">
        <v>80.400000000000006</v>
      </c>
      <c r="H43" s="11">
        <v>19.399999999999999</v>
      </c>
      <c r="I43" s="9">
        <v>23.44</v>
      </c>
      <c r="J43" s="15">
        <v>0</v>
      </c>
      <c r="K43" s="9">
        <v>0</v>
      </c>
      <c r="L43" s="9">
        <v>0</v>
      </c>
      <c r="M43" s="9">
        <v>0.94</v>
      </c>
      <c r="N43" s="9">
        <v>0</v>
      </c>
      <c r="O43" s="9">
        <v>75.62</v>
      </c>
      <c r="P43" s="9">
        <v>16.829999999999998</v>
      </c>
      <c r="Q43" s="9">
        <v>0</v>
      </c>
      <c r="R43" s="9">
        <v>0</v>
      </c>
      <c r="S43" s="9">
        <v>0</v>
      </c>
      <c r="T43" s="9">
        <v>0</v>
      </c>
      <c r="U43" s="9">
        <v>6.9</v>
      </c>
      <c r="V43" s="9">
        <v>42.32</v>
      </c>
      <c r="W43" s="9">
        <v>0</v>
      </c>
      <c r="X43" s="9">
        <v>0</v>
      </c>
      <c r="Y43" s="9">
        <v>0</v>
      </c>
      <c r="Z43" s="9">
        <v>0</v>
      </c>
      <c r="AM43" s="9">
        <v>0</v>
      </c>
      <c r="AN43" s="9">
        <v>0</v>
      </c>
      <c r="AY43" s="17"/>
      <c r="BQ43" s="9">
        <v>0</v>
      </c>
      <c r="DB43" s="11">
        <v>5.0599999999999996</v>
      </c>
      <c r="DC43" s="11">
        <v>1</v>
      </c>
      <c r="DD43" s="11">
        <v>1</v>
      </c>
      <c r="DE43" s="11"/>
      <c r="DF43" s="11">
        <v>6.74</v>
      </c>
      <c r="DG43" s="11">
        <v>2</v>
      </c>
      <c r="DH43" s="11"/>
      <c r="DI43" s="11">
        <v>10.7</v>
      </c>
      <c r="DJ43" s="11"/>
      <c r="DK43" s="11"/>
      <c r="DL43" s="11"/>
      <c r="DM43" s="11">
        <v>0</v>
      </c>
      <c r="DN43" s="11">
        <v>0</v>
      </c>
      <c r="DO43" s="11">
        <v>0</v>
      </c>
      <c r="DP43" s="11">
        <v>0</v>
      </c>
      <c r="DQ43" s="11">
        <v>5.97</v>
      </c>
      <c r="DR43" s="11">
        <v>0</v>
      </c>
      <c r="DS43" s="11">
        <v>0</v>
      </c>
      <c r="DT43" s="9">
        <v>1</v>
      </c>
    </row>
    <row r="44" spans="1:124" x14ac:dyDescent="0.2">
      <c r="A44" s="10">
        <v>42940</v>
      </c>
      <c r="B44" s="9" t="s">
        <v>63</v>
      </c>
      <c r="C44" s="9" t="s">
        <v>103</v>
      </c>
      <c r="D44" s="9" t="s">
        <v>106</v>
      </c>
      <c r="E44" s="9">
        <v>44</v>
      </c>
      <c r="F44" s="11">
        <v>88.4</v>
      </c>
      <c r="G44" s="11">
        <v>80.400000000000006</v>
      </c>
      <c r="H44" s="11">
        <v>40</v>
      </c>
      <c r="I44" s="9">
        <v>11.38</v>
      </c>
      <c r="J44" s="15">
        <v>0</v>
      </c>
      <c r="K44" s="9">
        <v>0</v>
      </c>
      <c r="L44" s="9">
        <v>0</v>
      </c>
      <c r="M44" s="9">
        <v>0</v>
      </c>
      <c r="N44" s="9">
        <v>0</v>
      </c>
      <c r="O44" s="9">
        <v>88.62</v>
      </c>
      <c r="P44" s="9">
        <v>22.58</v>
      </c>
      <c r="Q44" s="9">
        <v>24.22</v>
      </c>
      <c r="R44" s="9">
        <v>0</v>
      </c>
      <c r="S44" s="9">
        <v>0</v>
      </c>
      <c r="T44" s="9">
        <v>0</v>
      </c>
      <c r="U44" s="9">
        <v>26.59</v>
      </c>
      <c r="V44" s="9">
        <v>0.54</v>
      </c>
      <c r="W44" s="9">
        <v>0</v>
      </c>
      <c r="X44" s="9">
        <v>0</v>
      </c>
      <c r="Y44" s="9">
        <v>0</v>
      </c>
      <c r="Z44" s="9">
        <v>0</v>
      </c>
      <c r="AM44" s="9">
        <v>0</v>
      </c>
      <c r="AN44" s="9">
        <v>0</v>
      </c>
      <c r="AY44" s="17"/>
      <c r="BQ44" s="9">
        <v>1</v>
      </c>
      <c r="BR44" s="9">
        <v>40</v>
      </c>
      <c r="BS44" s="9">
        <v>2</v>
      </c>
      <c r="BT44" s="9">
        <v>0.26</v>
      </c>
      <c r="BU44" s="9">
        <v>3</v>
      </c>
      <c r="DB44" s="11">
        <v>3.77</v>
      </c>
      <c r="DC44" s="11">
        <v>1</v>
      </c>
      <c r="DD44" s="11">
        <v>1</v>
      </c>
      <c r="DE44" s="11"/>
      <c r="DF44" s="11">
        <v>25.78</v>
      </c>
      <c r="DG44" s="11"/>
      <c r="DH44" s="11"/>
      <c r="DI44" s="11"/>
      <c r="DJ44" s="11"/>
      <c r="DK44" s="11"/>
      <c r="DL44" s="11"/>
      <c r="DM44" s="11">
        <v>0</v>
      </c>
      <c r="DN44" s="11">
        <v>0</v>
      </c>
      <c r="DO44" s="11">
        <v>0</v>
      </c>
      <c r="DP44" s="11">
        <v>0</v>
      </c>
      <c r="DQ44" s="11">
        <v>0</v>
      </c>
      <c r="DR44" s="11">
        <v>0</v>
      </c>
      <c r="DS44" s="11">
        <v>0</v>
      </c>
      <c r="DT44" s="9">
        <v>0</v>
      </c>
    </row>
    <row r="45" spans="1:124" x14ac:dyDescent="0.2">
      <c r="A45" s="10">
        <v>42940</v>
      </c>
      <c r="B45" s="9" t="s">
        <v>63</v>
      </c>
      <c r="C45" s="9" t="s">
        <v>103</v>
      </c>
      <c r="D45" s="9" t="s">
        <v>107</v>
      </c>
      <c r="E45" s="9">
        <v>20.5</v>
      </c>
      <c r="F45" s="11">
        <v>85.6</v>
      </c>
      <c r="G45" s="11">
        <v>80.400000000000006</v>
      </c>
      <c r="H45" s="11">
        <v>17.7</v>
      </c>
      <c r="I45" s="9">
        <v>63.65</v>
      </c>
      <c r="J45" s="15">
        <v>0</v>
      </c>
      <c r="K45" s="9">
        <v>0</v>
      </c>
      <c r="L45" s="9">
        <v>0</v>
      </c>
      <c r="M45" s="9">
        <v>47.03</v>
      </c>
      <c r="N45" s="9">
        <v>0</v>
      </c>
      <c r="O45" s="9">
        <v>11.64</v>
      </c>
      <c r="P45" s="9">
        <v>0</v>
      </c>
      <c r="Q45" s="9">
        <v>0</v>
      </c>
      <c r="R45" s="9">
        <v>5.03</v>
      </c>
      <c r="S45" s="9">
        <v>0</v>
      </c>
      <c r="T45" s="9">
        <v>2.93</v>
      </c>
      <c r="U45" s="9">
        <v>24.27</v>
      </c>
      <c r="V45" s="9">
        <v>17.25</v>
      </c>
      <c r="W45" s="9">
        <v>0</v>
      </c>
      <c r="X45" s="9">
        <v>0</v>
      </c>
      <c r="Y45" s="9">
        <v>0</v>
      </c>
      <c r="Z45" s="9">
        <v>0</v>
      </c>
      <c r="AM45" s="9">
        <v>0</v>
      </c>
      <c r="AN45" s="9">
        <v>0</v>
      </c>
      <c r="AY45" s="17"/>
      <c r="BQ45" s="9">
        <v>0</v>
      </c>
      <c r="DB45" s="11">
        <v>1.47</v>
      </c>
      <c r="DC45" s="11">
        <v>1</v>
      </c>
      <c r="DD45" s="11">
        <v>1</v>
      </c>
      <c r="DE45" s="11"/>
      <c r="DF45" s="11">
        <v>2.94</v>
      </c>
      <c r="DG45" s="11"/>
      <c r="DH45" s="11"/>
      <c r="DI45" s="11"/>
      <c r="DJ45" s="11"/>
      <c r="DK45" s="11"/>
      <c r="DL45" s="11"/>
      <c r="DM45" s="11">
        <v>0</v>
      </c>
      <c r="DN45" s="11">
        <v>0</v>
      </c>
      <c r="DO45" s="11">
        <v>0</v>
      </c>
      <c r="DP45" s="11">
        <v>0</v>
      </c>
      <c r="DQ45" s="11">
        <v>0</v>
      </c>
      <c r="DR45" s="11">
        <v>0</v>
      </c>
      <c r="DS45" s="11">
        <v>0</v>
      </c>
      <c r="DT45" s="9">
        <v>0</v>
      </c>
    </row>
    <row r="46" spans="1:124" x14ac:dyDescent="0.2">
      <c r="A46" s="10">
        <v>42940</v>
      </c>
      <c r="B46" s="9" t="s">
        <v>63</v>
      </c>
      <c r="C46" s="9" t="s">
        <v>103</v>
      </c>
      <c r="D46" s="9" t="s">
        <v>108</v>
      </c>
      <c r="E46" s="9">
        <v>35</v>
      </c>
      <c r="F46" s="11">
        <v>69.2</v>
      </c>
      <c r="G46" s="11">
        <v>80.400000000000006</v>
      </c>
      <c r="H46" s="11">
        <v>24</v>
      </c>
      <c r="I46" s="9">
        <v>71.73</v>
      </c>
      <c r="J46" s="15">
        <v>0</v>
      </c>
      <c r="K46" s="9">
        <v>0</v>
      </c>
      <c r="L46" s="9">
        <v>6.09</v>
      </c>
      <c r="M46" s="9">
        <v>19.28</v>
      </c>
      <c r="N46" s="9">
        <v>0</v>
      </c>
      <c r="O46" s="9">
        <v>2.83</v>
      </c>
      <c r="P46" s="9">
        <v>0</v>
      </c>
      <c r="Q46" s="9">
        <v>0</v>
      </c>
      <c r="R46" s="9">
        <v>0</v>
      </c>
      <c r="S46" s="9">
        <v>0</v>
      </c>
      <c r="T46" s="9">
        <v>14.46</v>
      </c>
      <c r="U46" s="9">
        <v>19.89</v>
      </c>
      <c r="V46" s="9">
        <v>24.43</v>
      </c>
      <c r="W46" s="9">
        <v>0</v>
      </c>
      <c r="X46" s="9">
        <v>7.0000000000000007E-2</v>
      </c>
      <c r="Y46" s="9">
        <v>0</v>
      </c>
      <c r="Z46" s="9">
        <v>0</v>
      </c>
      <c r="AM46" s="9">
        <v>2</v>
      </c>
      <c r="AN46" s="9">
        <v>0</v>
      </c>
      <c r="AY46" s="17"/>
      <c r="BQ46" s="9">
        <v>1</v>
      </c>
      <c r="BR46" s="9">
        <v>40</v>
      </c>
      <c r="BS46" s="9">
        <v>2</v>
      </c>
      <c r="BT46" s="9">
        <v>1.52</v>
      </c>
      <c r="BU46" s="9">
        <v>3</v>
      </c>
      <c r="BV46" s="9">
        <v>50</v>
      </c>
      <c r="BW46" s="9">
        <v>4</v>
      </c>
      <c r="BX46" s="9">
        <v>0.54</v>
      </c>
      <c r="BY46" s="9">
        <v>1</v>
      </c>
      <c r="DB46" s="11">
        <v>1.6</v>
      </c>
      <c r="DC46" s="11">
        <v>1</v>
      </c>
      <c r="DD46" s="11">
        <v>1</v>
      </c>
      <c r="DE46" s="11"/>
      <c r="DF46" s="11">
        <v>7.09</v>
      </c>
      <c r="DG46" s="11"/>
      <c r="DH46" s="11"/>
      <c r="DI46" s="11"/>
      <c r="DJ46" s="11"/>
      <c r="DK46" s="11"/>
      <c r="DL46" s="11"/>
      <c r="DM46" s="11">
        <v>1.1200000000000001</v>
      </c>
      <c r="DN46" s="11">
        <v>0.27</v>
      </c>
      <c r="DO46" s="11">
        <v>0</v>
      </c>
      <c r="DP46" s="11">
        <v>0</v>
      </c>
      <c r="DQ46" s="11">
        <v>0</v>
      </c>
      <c r="DR46" s="11">
        <v>0</v>
      </c>
      <c r="DS46" s="11">
        <v>3</v>
      </c>
      <c r="DT46" s="9">
        <v>0</v>
      </c>
    </row>
    <row r="47" spans="1:124" x14ac:dyDescent="0.2">
      <c r="A47" s="10">
        <v>42940</v>
      </c>
      <c r="B47" s="9" t="s">
        <v>63</v>
      </c>
      <c r="C47" s="9" t="s">
        <v>103</v>
      </c>
      <c r="D47" s="9" t="s">
        <v>109</v>
      </c>
      <c r="E47" s="9">
        <v>22</v>
      </c>
      <c r="F47" s="11">
        <v>87.6</v>
      </c>
      <c r="G47" s="11">
        <v>80.400000000000006</v>
      </c>
      <c r="H47" s="11">
        <v>4.5</v>
      </c>
      <c r="I47" s="9">
        <v>100</v>
      </c>
      <c r="J47" s="15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1.1399999999999999</v>
      </c>
      <c r="U47" s="9">
        <v>27.07</v>
      </c>
      <c r="V47" s="9">
        <v>1.9</v>
      </c>
      <c r="W47" s="9">
        <v>0</v>
      </c>
      <c r="X47" s="9">
        <v>0</v>
      </c>
      <c r="Y47" s="9">
        <v>0</v>
      </c>
      <c r="Z47" s="9">
        <v>0</v>
      </c>
      <c r="AM47" s="9">
        <v>8</v>
      </c>
      <c r="AN47" s="9">
        <v>1</v>
      </c>
      <c r="AO47" s="9">
        <v>35</v>
      </c>
      <c r="AP47" s="9">
        <v>2</v>
      </c>
      <c r="AQ47" s="9">
        <v>1.52</v>
      </c>
      <c r="AR47" s="9">
        <v>3</v>
      </c>
      <c r="AY47" s="17"/>
      <c r="BQ47" s="9">
        <v>1</v>
      </c>
      <c r="BR47" s="9">
        <v>40</v>
      </c>
      <c r="BS47" s="9">
        <v>3</v>
      </c>
      <c r="BT47" s="9">
        <v>2.2799999999999998</v>
      </c>
      <c r="BU47" s="9">
        <v>3</v>
      </c>
      <c r="DB47" s="11">
        <v>1.1200000000000001</v>
      </c>
      <c r="DC47" s="11">
        <v>1</v>
      </c>
      <c r="DD47" s="11">
        <v>1</v>
      </c>
      <c r="DE47" s="11"/>
      <c r="DF47" s="11">
        <v>2.2400000000000002</v>
      </c>
      <c r="DG47" s="11"/>
      <c r="DH47" s="11"/>
      <c r="DI47" s="11"/>
      <c r="DJ47" s="11"/>
      <c r="DK47" s="11"/>
      <c r="DL47" s="11"/>
      <c r="DM47" s="11">
        <v>6.72</v>
      </c>
      <c r="DN47" s="11">
        <v>0</v>
      </c>
      <c r="DO47" s="11">
        <v>0</v>
      </c>
      <c r="DP47" s="11">
        <v>0</v>
      </c>
      <c r="DQ47" s="11">
        <v>0</v>
      </c>
      <c r="DR47" s="11">
        <v>0</v>
      </c>
      <c r="DS47" s="11">
        <v>0</v>
      </c>
      <c r="DT47" s="9">
        <v>1</v>
      </c>
    </row>
    <row r="48" spans="1:124" x14ac:dyDescent="0.2">
      <c r="A48" s="10">
        <v>42940</v>
      </c>
      <c r="B48" s="9" t="s">
        <v>63</v>
      </c>
      <c r="C48" s="9" t="s">
        <v>103</v>
      </c>
      <c r="D48" s="9" t="s">
        <v>110</v>
      </c>
      <c r="E48" s="9">
        <v>18</v>
      </c>
      <c r="F48" s="11">
        <v>84.7</v>
      </c>
      <c r="G48" s="11">
        <v>80.400000000000006</v>
      </c>
      <c r="H48" s="11">
        <v>6.7</v>
      </c>
      <c r="I48" s="9">
        <v>100</v>
      </c>
      <c r="J48" s="15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14.84</v>
      </c>
      <c r="U48" s="9">
        <v>28.79</v>
      </c>
      <c r="V48" s="9">
        <v>1.9</v>
      </c>
      <c r="W48" s="9">
        <v>0</v>
      </c>
      <c r="X48" s="9">
        <v>0</v>
      </c>
      <c r="Y48" s="9">
        <v>0</v>
      </c>
      <c r="Z48" s="9">
        <v>0</v>
      </c>
      <c r="AM48" s="9">
        <v>1.9</v>
      </c>
      <c r="AN48" s="9">
        <v>0</v>
      </c>
      <c r="AY48" s="17"/>
      <c r="BQ48" s="9">
        <v>1</v>
      </c>
      <c r="BR48" s="9">
        <v>50</v>
      </c>
      <c r="BS48" s="9">
        <v>3</v>
      </c>
      <c r="BT48" s="9">
        <v>2.2799999999999998</v>
      </c>
      <c r="BU48" s="9">
        <v>3</v>
      </c>
      <c r="DB48" s="11">
        <v>1.1200000000000001</v>
      </c>
      <c r="DC48" s="11">
        <v>1</v>
      </c>
      <c r="DD48" s="11">
        <v>1</v>
      </c>
      <c r="DE48" s="11"/>
      <c r="DF48" s="11">
        <v>2.2400000000000002</v>
      </c>
      <c r="DG48" s="11"/>
      <c r="DH48" s="11"/>
      <c r="DI48" s="11"/>
      <c r="DJ48" s="11"/>
      <c r="DK48" s="11"/>
      <c r="DL48" s="11"/>
      <c r="DM48" s="11">
        <v>0</v>
      </c>
      <c r="DN48" s="11">
        <v>0</v>
      </c>
      <c r="DO48" s="11">
        <v>0</v>
      </c>
      <c r="DP48" s="11">
        <v>0</v>
      </c>
      <c r="DQ48" s="11">
        <v>6.72</v>
      </c>
      <c r="DR48" s="11">
        <v>0</v>
      </c>
      <c r="DS48" s="11">
        <v>0</v>
      </c>
      <c r="DT48" s="9">
        <v>1</v>
      </c>
    </row>
    <row r="49" spans="1:124" x14ac:dyDescent="0.2">
      <c r="A49" s="10">
        <v>42940</v>
      </c>
      <c r="B49" s="9" t="s">
        <v>63</v>
      </c>
      <c r="C49" s="9" t="s">
        <v>103</v>
      </c>
      <c r="D49" s="9" t="s">
        <v>111</v>
      </c>
      <c r="E49" s="9">
        <v>29</v>
      </c>
      <c r="F49" s="11">
        <v>84.9</v>
      </c>
      <c r="G49" s="11">
        <v>80.400000000000006</v>
      </c>
      <c r="H49" s="11">
        <v>22.7</v>
      </c>
      <c r="I49" s="9">
        <v>47.69</v>
      </c>
      <c r="J49" s="15">
        <v>0</v>
      </c>
      <c r="K49" s="9">
        <v>0</v>
      </c>
      <c r="L49" s="9">
        <v>0</v>
      </c>
      <c r="M49" s="9">
        <v>22.69</v>
      </c>
      <c r="N49" s="9">
        <v>0</v>
      </c>
      <c r="O49" s="9">
        <v>28.56</v>
      </c>
      <c r="P49" s="9">
        <v>0</v>
      </c>
      <c r="Q49" s="9">
        <v>0</v>
      </c>
      <c r="R49" s="9">
        <v>0</v>
      </c>
      <c r="S49" s="9">
        <v>0</v>
      </c>
      <c r="T49" s="9">
        <v>30.64</v>
      </c>
      <c r="U49" s="9">
        <v>8.3800000000000008</v>
      </c>
      <c r="V49" s="9">
        <v>43.35</v>
      </c>
      <c r="W49" s="9">
        <v>6.09</v>
      </c>
      <c r="X49" s="9">
        <v>0</v>
      </c>
      <c r="Y49" s="9">
        <v>0</v>
      </c>
      <c r="Z49" s="9">
        <v>0</v>
      </c>
      <c r="AM49" s="9">
        <v>2.5</v>
      </c>
      <c r="AN49" s="9">
        <v>1</v>
      </c>
      <c r="AO49" s="9">
        <v>35</v>
      </c>
      <c r="AP49" s="9">
        <v>4</v>
      </c>
      <c r="AQ49" s="9">
        <v>0.54</v>
      </c>
      <c r="AR49" s="9">
        <v>3</v>
      </c>
      <c r="AY49" s="17"/>
      <c r="BQ49" s="9">
        <v>1</v>
      </c>
      <c r="BR49" s="9">
        <v>40</v>
      </c>
      <c r="BS49" s="9">
        <v>2</v>
      </c>
      <c r="BT49" s="9">
        <v>0.26</v>
      </c>
      <c r="BU49" s="9">
        <v>3</v>
      </c>
      <c r="DB49" s="11">
        <v>2.35</v>
      </c>
      <c r="DC49" s="11">
        <v>1</v>
      </c>
      <c r="DD49" s="11">
        <v>1</v>
      </c>
      <c r="DE49" s="11"/>
      <c r="DF49" s="11">
        <v>19.34</v>
      </c>
      <c r="DG49" s="11"/>
      <c r="DH49" s="11"/>
      <c r="DI49" s="11"/>
      <c r="DJ49" s="11"/>
      <c r="DK49" s="11"/>
      <c r="DL49" s="11"/>
      <c r="DM49" s="11">
        <v>0</v>
      </c>
      <c r="DN49" s="11">
        <v>0</v>
      </c>
      <c r="DO49" s="11">
        <v>0</v>
      </c>
      <c r="DP49" s="11">
        <v>0</v>
      </c>
      <c r="DQ49" s="11">
        <v>0</v>
      </c>
      <c r="DR49" s="11">
        <v>0</v>
      </c>
      <c r="DS49" s="11">
        <v>0</v>
      </c>
      <c r="DT49" s="9">
        <v>0</v>
      </c>
    </row>
    <row r="50" spans="1:124" x14ac:dyDescent="0.2">
      <c r="A50" s="10">
        <v>42940</v>
      </c>
      <c r="B50" s="9" t="s">
        <v>63</v>
      </c>
      <c r="C50" s="9" t="s">
        <v>103</v>
      </c>
      <c r="D50" s="9" t="s">
        <v>112</v>
      </c>
      <c r="E50" s="9">
        <v>47</v>
      </c>
      <c r="F50" s="11">
        <v>90</v>
      </c>
      <c r="G50" s="11">
        <v>80.400000000000006</v>
      </c>
      <c r="H50" s="11">
        <v>12.5</v>
      </c>
      <c r="I50" s="9">
        <v>86.97</v>
      </c>
      <c r="J50" s="15">
        <v>0</v>
      </c>
      <c r="K50" s="9">
        <v>0.96</v>
      </c>
      <c r="L50" s="9">
        <v>0</v>
      </c>
      <c r="M50" s="9">
        <v>12.07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2.38</v>
      </c>
      <c r="U50" s="9">
        <v>48.2</v>
      </c>
      <c r="V50" s="9">
        <v>24.94</v>
      </c>
      <c r="W50" s="9">
        <v>1.05</v>
      </c>
      <c r="X50" s="9">
        <v>0</v>
      </c>
      <c r="Y50" s="9">
        <v>0</v>
      </c>
      <c r="Z50" s="9">
        <v>0</v>
      </c>
      <c r="AM50" s="9">
        <v>26.7</v>
      </c>
      <c r="AN50" s="9">
        <v>1</v>
      </c>
      <c r="AO50" s="9">
        <v>35</v>
      </c>
      <c r="AP50" s="9">
        <v>27</v>
      </c>
      <c r="AQ50" s="9">
        <v>4.95</v>
      </c>
      <c r="AR50" s="9">
        <v>3</v>
      </c>
      <c r="AY50" s="17"/>
      <c r="BQ50" s="9">
        <v>1</v>
      </c>
      <c r="BR50" s="9">
        <v>50</v>
      </c>
      <c r="BS50" s="9">
        <v>2</v>
      </c>
      <c r="BT50" s="9">
        <v>15.55</v>
      </c>
      <c r="BU50" s="9">
        <v>4</v>
      </c>
      <c r="DB50" s="11">
        <v>1.1200000000000001</v>
      </c>
      <c r="DC50" s="11">
        <v>1</v>
      </c>
      <c r="DD50" s="11">
        <v>2</v>
      </c>
      <c r="DE50" s="11"/>
      <c r="DF50" s="11">
        <f>1.59+0.28</f>
        <v>1.87</v>
      </c>
      <c r="DG50" s="11"/>
      <c r="DH50" s="11"/>
      <c r="DI50" s="11"/>
      <c r="DJ50" s="11"/>
      <c r="DK50" s="11"/>
      <c r="DL50" s="11"/>
      <c r="DM50" s="11">
        <v>1.5</v>
      </c>
      <c r="DN50" s="11">
        <v>0.65</v>
      </c>
      <c r="DO50" s="11">
        <v>0</v>
      </c>
      <c r="DP50" s="11">
        <v>0</v>
      </c>
      <c r="DQ50" s="11">
        <v>0</v>
      </c>
      <c r="DR50" s="11">
        <v>0</v>
      </c>
      <c r="DS50" s="11">
        <v>0</v>
      </c>
      <c r="DT50" s="9">
        <v>0</v>
      </c>
    </row>
    <row r="51" spans="1:124" x14ac:dyDescent="0.2">
      <c r="A51" s="10">
        <v>42940</v>
      </c>
      <c r="B51" s="9" t="s">
        <v>63</v>
      </c>
      <c r="C51" s="9" t="s">
        <v>103</v>
      </c>
      <c r="D51" s="9" t="s">
        <v>113</v>
      </c>
      <c r="E51" s="9">
        <v>35</v>
      </c>
      <c r="F51" s="11">
        <v>81</v>
      </c>
      <c r="G51" s="11">
        <v>80.400000000000006</v>
      </c>
      <c r="H51" s="11">
        <v>8.6</v>
      </c>
      <c r="I51" s="9">
        <v>17.690000000000001</v>
      </c>
      <c r="J51" s="15">
        <v>0</v>
      </c>
      <c r="K51" s="9">
        <v>1.29</v>
      </c>
      <c r="L51" s="9">
        <v>0</v>
      </c>
      <c r="M51" s="9">
        <v>0</v>
      </c>
      <c r="N51" s="9">
        <v>0</v>
      </c>
      <c r="O51" s="9">
        <v>81.02</v>
      </c>
      <c r="P51" s="9">
        <v>0</v>
      </c>
      <c r="Q51" s="9">
        <v>0</v>
      </c>
      <c r="R51" s="9">
        <v>0</v>
      </c>
      <c r="S51" s="9">
        <v>0</v>
      </c>
      <c r="T51" s="9">
        <v>0.9</v>
      </c>
      <c r="U51" s="9">
        <v>32.39</v>
      </c>
      <c r="V51" s="9">
        <v>4.43</v>
      </c>
      <c r="W51" s="9">
        <v>0.12</v>
      </c>
      <c r="X51" s="9">
        <v>0</v>
      </c>
      <c r="Y51" s="9">
        <v>17.8</v>
      </c>
      <c r="Z51" s="9">
        <v>1</v>
      </c>
      <c r="AA51" s="9">
        <v>5</v>
      </c>
      <c r="AC51" s="9">
        <v>2</v>
      </c>
      <c r="AD51" s="9">
        <v>3</v>
      </c>
      <c r="AF51" s="9">
        <v>4</v>
      </c>
      <c r="AG51" s="9">
        <v>5</v>
      </c>
      <c r="AI51" s="9">
        <v>2</v>
      </c>
      <c r="AJ51" s="9">
        <v>3</v>
      </c>
      <c r="AL51" s="9">
        <v>4</v>
      </c>
      <c r="AM51" s="9">
        <v>0</v>
      </c>
      <c r="AN51" s="9">
        <v>0</v>
      </c>
      <c r="AY51" s="17"/>
      <c r="BQ51" s="9">
        <v>0</v>
      </c>
      <c r="DB51" s="11">
        <v>7.53</v>
      </c>
      <c r="DC51" s="11">
        <v>1</v>
      </c>
      <c r="DD51" s="11">
        <v>2</v>
      </c>
      <c r="DE51" s="11"/>
      <c r="DF51" s="11">
        <v>23.77</v>
      </c>
      <c r="DG51" s="11"/>
      <c r="DH51" s="11"/>
      <c r="DI51" s="11"/>
      <c r="DJ51" s="11"/>
      <c r="DK51" s="11"/>
      <c r="DL51" s="11"/>
      <c r="DM51" s="11">
        <v>0.79</v>
      </c>
      <c r="DN51" s="11">
        <v>0.79</v>
      </c>
      <c r="DO51" s="11">
        <v>0</v>
      </c>
      <c r="DP51" s="11">
        <v>0</v>
      </c>
      <c r="DQ51" s="11">
        <v>0</v>
      </c>
      <c r="DR51" s="11">
        <v>0</v>
      </c>
      <c r="DS51" s="11">
        <v>0</v>
      </c>
      <c r="DT51" s="9">
        <v>0</v>
      </c>
    </row>
    <row r="52" spans="1:124" x14ac:dyDescent="0.2">
      <c r="A52" s="10">
        <v>42940</v>
      </c>
      <c r="B52" s="9" t="s">
        <v>63</v>
      </c>
      <c r="C52" s="9" t="s">
        <v>103</v>
      </c>
      <c r="D52" s="9" t="s">
        <v>120</v>
      </c>
      <c r="E52" s="9">
        <v>46</v>
      </c>
      <c r="F52" s="11">
        <v>90.9</v>
      </c>
      <c r="G52" s="11">
        <v>80.400000000000006</v>
      </c>
      <c r="H52" s="11">
        <v>18.100000000000001</v>
      </c>
      <c r="I52" s="9">
        <v>78.31</v>
      </c>
      <c r="J52" s="15">
        <v>0</v>
      </c>
      <c r="K52" s="9">
        <v>1.9</v>
      </c>
      <c r="L52" s="9">
        <v>0</v>
      </c>
      <c r="M52" s="9">
        <v>19.79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2.38</v>
      </c>
      <c r="U52" s="9">
        <v>8.8800000000000008</v>
      </c>
      <c r="W52" s="9">
        <v>9.27</v>
      </c>
      <c r="X52" s="9">
        <v>7.23</v>
      </c>
      <c r="Y52" s="9">
        <v>21.3</v>
      </c>
      <c r="Z52" s="9">
        <v>1</v>
      </c>
      <c r="AA52" s="9">
        <v>3</v>
      </c>
      <c r="AB52" s="9">
        <v>3</v>
      </c>
      <c r="AG52" s="9">
        <v>3</v>
      </c>
      <c r="AH52" s="9">
        <v>3</v>
      </c>
      <c r="AM52" s="9">
        <v>0</v>
      </c>
      <c r="AN52" s="9">
        <v>0</v>
      </c>
      <c r="AY52" s="17"/>
      <c r="BQ52" s="9">
        <v>1</v>
      </c>
      <c r="BR52" s="9">
        <v>50</v>
      </c>
      <c r="BS52" s="9">
        <v>20</v>
      </c>
      <c r="BT52" s="9">
        <f>1.9+1.9+0.34+0.34</f>
        <v>4.4799999999999995</v>
      </c>
      <c r="DB52" s="11">
        <v>1.1200000000000001</v>
      </c>
      <c r="DC52" s="11">
        <v>1</v>
      </c>
      <c r="DD52" s="11">
        <v>2</v>
      </c>
      <c r="DE52" s="11"/>
      <c r="DF52" s="11">
        <f>2.64+0.47</f>
        <v>3.1100000000000003</v>
      </c>
      <c r="DG52" s="11"/>
      <c r="DH52" s="11"/>
      <c r="DI52" s="11"/>
      <c r="DJ52" s="11"/>
      <c r="DK52" s="11"/>
      <c r="DL52" s="11"/>
      <c r="DM52" s="11">
        <v>5.07</v>
      </c>
      <c r="DN52" s="11">
        <v>5.71</v>
      </c>
      <c r="DO52" s="11">
        <v>0</v>
      </c>
      <c r="DP52" s="11">
        <v>0</v>
      </c>
      <c r="DQ52" s="11">
        <v>0</v>
      </c>
      <c r="DR52" s="11">
        <v>0</v>
      </c>
      <c r="DS52" s="11">
        <v>0</v>
      </c>
      <c r="DT52" s="9">
        <v>0</v>
      </c>
    </row>
    <row r="53" spans="1:124" x14ac:dyDescent="0.2">
      <c r="A53" s="10">
        <v>42940</v>
      </c>
      <c r="B53" s="9" t="s">
        <v>63</v>
      </c>
      <c r="C53" s="9" t="s">
        <v>103</v>
      </c>
      <c r="D53" s="9" t="s">
        <v>121</v>
      </c>
      <c r="E53" s="9">
        <v>47.5</v>
      </c>
      <c r="F53" s="11">
        <v>90</v>
      </c>
      <c r="G53" s="11">
        <v>80.400000000000006</v>
      </c>
      <c r="H53" s="11">
        <v>12.4</v>
      </c>
      <c r="I53" s="9">
        <v>86.97</v>
      </c>
      <c r="J53" s="15">
        <v>0</v>
      </c>
      <c r="K53" s="9">
        <v>0.96</v>
      </c>
      <c r="L53" s="9">
        <v>0</v>
      </c>
      <c r="M53" s="9">
        <v>12.07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2.06</v>
      </c>
      <c r="U53" s="9">
        <v>48.2</v>
      </c>
      <c r="V53" s="9">
        <v>24.94</v>
      </c>
      <c r="W53" s="9">
        <v>1.05</v>
      </c>
      <c r="X53" s="9">
        <v>0</v>
      </c>
      <c r="Y53" s="9">
        <v>0</v>
      </c>
      <c r="Z53" s="9">
        <v>0</v>
      </c>
      <c r="AM53" s="9">
        <v>26.8</v>
      </c>
      <c r="AN53" s="9">
        <v>1</v>
      </c>
      <c r="AO53" s="9">
        <v>35</v>
      </c>
      <c r="AP53" s="9">
        <v>27</v>
      </c>
      <c r="AQ53" s="9">
        <v>5.3</v>
      </c>
      <c r="AR53" s="9">
        <v>3</v>
      </c>
      <c r="AY53" s="17"/>
      <c r="BQ53" s="9">
        <v>1</v>
      </c>
      <c r="BR53" s="9">
        <v>50</v>
      </c>
      <c r="BS53" s="9">
        <v>2</v>
      </c>
      <c r="BT53" s="9">
        <v>7.78</v>
      </c>
      <c r="BU53" s="9">
        <v>6</v>
      </c>
      <c r="DB53" s="11">
        <v>1.1200000000000001</v>
      </c>
      <c r="DC53" s="11">
        <v>1</v>
      </c>
      <c r="DD53" s="11">
        <v>2</v>
      </c>
      <c r="DE53" s="11"/>
      <c r="DF53" s="11">
        <f>1.59+0.28</f>
        <v>1.87</v>
      </c>
      <c r="DG53" s="11"/>
      <c r="DH53" s="11"/>
      <c r="DI53" s="11"/>
      <c r="DJ53" s="11"/>
      <c r="DK53" s="11"/>
      <c r="DL53" s="11"/>
      <c r="DM53" s="11">
        <v>2.7</v>
      </c>
      <c r="DN53" s="11">
        <v>0.65</v>
      </c>
      <c r="DO53" s="11">
        <v>0</v>
      </c>
      <c r="DP53" s="11">
        <v>0</v>
      </c>
      <c r="DQ53" s="11">
        <v>0</v>
      </c>
      <c r="DR53" s="11">
        <v>0</v>
      </c>
      <c r="DS53" s="11">
        <v>0</v>
      </c>
      <c r="DT53" s="9">
        <v>0</v>
      </c>
    </row>
    <row r="54" spans="1:124" x14ac:dyDescent="0.2">
      <c r="A54" s="10">
        <v>42940</v>
      </c>
      <c r="B54" s="9" t="s">
        <v>63</v>
      </c>
      <c r="C54" s="9" t="s">
        <v>103</v>
      </c>
      <c r="D54" s="9" t="s">
        <v>122</v>
      </c>
      <c r="E54" s="9">
        <v>32.5</v>
      </c>
      <c r="F54" s="11">
        <v>81</v>
      </c>
      <c r="G54" s="11">
        <v>80.400000000000006</v>
      </c>
      <c r="H54" s="11">
        <v>8.6999999999999993</v>
      </c>
      <c r="I54" s="9">
        <v>17.690000000000001</v>
      </c>
      <c r="J54" s="15">
        <v>0</v>
      </c>
      <c r="K54" s="9">
        <v>1.29</v>
      </c>
      <c r="L54" s="9">
        <v>0</v>
      </c>
      <c r="M54" s="9">
        <v>0</v>
      </c>
      <c r="N54" s="9">
        <v>0</v>
      </c>
      <c r="O54" s="9">
        <v>81.02</v>
      </c>
      <c r="P54" s="9">
        <v>0</v>
      </c>
      <c r="Q54" s="9">
        <v>0</v>
      </c>
      <c r="R54" s="9">
        <v>0</v>
      </c>
      <c r="S54" s="9">
        <v>0</v>
      </c>
      <c r="T54" s="9">
        <v>0.9</v>
      </c>
      <c r="U54" s="9">
        <v>32.39</v>
      </c>
      <c r="V54" s="9">
        <v>4.43</v>
      </c>
      <c r="W54" s="9">
        <v>0.12</v>
      </c>
      <c r="X54" s="9">
        <v>0</v>
      </c>
      <c r="Y54" s="9">
        <v>14.9</v>
      </c>
      <c r="Z54" s="9">
        <v>1</v>
      </c>
      <c r="AA54" s="9">
        <v>3</v>
      </c>
      <c r="AC54" s="9">
        <v>4</v>
      </c>
      <c r="AD54" s="9">
        <v>5</v>
      </c>
      <c r="AF54" s="9">
        <v>1</v>
      </c>
      <c r="AG54" s="9">
        <v>3</v>
      </c>
      <c r="AI54" s="9">
        <v>4</v>
      </c>
      <c r="AJ54" s="9">
        <v>5</v>
      </c>
      <c r="AL54" s="9">
        <v>1</v>
      </c>
      <c r="AM54" s="9">
        <v>0</v>
      </c>
      <c r="AN54" s="9">
        <v>0</v>
      </c>
      <c r="AY54" s="17"/>
      <c r="BQ54" s="9">
        <v>0</v>
      </c>
      <c r="DB54" s="11">
        <v>7.78</v>
      </c>
      <c r="DC54" s="11">
        <v>1</v>
      </c>
      <c r="DD54" s="11">
        <v>2</v>
      </c>
      <c r="DE54" s="11"/>
      <c r="DF54" s="11">
        <f>2.11+5.29+0.23+0.37+0.93+2.24+12.69</f>
        <v>23.86</v>
      </c>
      <c r="DG54" s="11"/>
      <c r="DH54" s="11"/>
      <c r="DI54" s="11"/>
      <c r="DJ54" s="11"/>
      <c r="DK54" s="11"/>
      <c r="DL54" s="11"/>
      <c r="DM54" s="11">
        <v>0.79</v>
      </c>
      <c r="DN54" s="11">
        <v>0.79</v>
      </c>
      <c r="DO54" s="11">
        <v>0</v>
      </c>
      <c r="DP54" s="11">
        <v>0</v>
      </c>
      <c r="DQ54" s="11">
        <v>0</v>
      </c>
      <c r="DR54" s="11">
        <v>0</v>
      </c>
      <c r="DS54" s="11">
        <v>0</v>
      </c>
      <c r="DT54" s="9">
        <v>0</v>
      </c>
    </row>
    <row r="55" spans="1:124" x14ac:dyDescent="0.2">
      <c r="A55" s="10">
        <v>42940</v>
      </c>
      <c r="B55" s="9" t="s">
        <v>63</v>
      </c>
      <c r="C55" s="9" t="s">
        <v>103</v>
      </c>
      <c r="D55" s="9" t="s">
        <v>123</v>
      </c>
      <c r="E55" s="9">
        <v>46</v>
      </c>
      <c r="F55" s="11">
        <v>90.9</v>
      </c>
      <c r="G55" s="11">
        <v>80.400000000000006</v>
      </c>
      <c r="H55" s="11">
        <v>18.100000000000001</v>
      </c>
      <c r="I55" s="9">
        <v>78.31</v>
      </c>
      <c r="J55" s="15">
        <v>0</v>
      </c>
      <c r="K55" s="9">
        <v>1.9</v>
      </c>
      <c r="L55" s="9">
        <v>0</v>
      </c>
      <c r="M55" s="9">
        <v>19.79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2.38</v>
      </c>
      <c r="U55" s="9">
        <v>8.8800000000000008</v>
      </c>
      <c r="V55" s="9">
        <v>9.27</v>
      </c>
      <c r="W55" s="9">
        <v>7.23</v>
      </c>
      <c r="X55" s="9">
        <v>0</v>
      </c>
      <c r="Y55" s="9">
        <v>21.3</v>
      </c>
      <c r="Z55" s="9">
        <v>1</v>
      </c>
      <c r="AA55" s="9">
        <v>1</v>
      </c>
      <c r="AC55" s="9">
        <v>3</v>
      </c>
      <c r="AG55" s="9">
        <v>1</v>
      </c>
      <c r="AI55" s="9">
        <v>3</v>
      </c>
      <c r="AM55" s="9">
        <v>0</v>
      </c>
      <c r="AN55" s="9">
        <v>0</v>
      </c>
      <c r="AY55" s="17"/>
      <c r="BQ55" s="9">
        <v>1</v>
      </c>
      <c r="BR55" s="9">
        <v>50</v>
      </c>
      <c r="BS55" s="9">
        <v>10</v>
      </c>
      <c r="BT55" s="9">
        <v>4.4800000000000004</v>
      </c>
      <c r="BU55" s="9">
        <v>3</v>
      </c>
      <c r="DB55" s="11">
        <v>1.1200000000000001</v>
      </c>
      <c r="DC55" s="11">
        <v>1</v>
      </c>
      <c r="DD55" s="11">
        <v>2</v>
      </c>
      <c r="DE55" s="11"/>
      <c r="DF55" s="11">
        <f>2.64+0.47</f>
        <v>3.1100000000000003</v>
      </c>
      <c r="DG55" s="11"/>
      <c r="DH55" s="11"/>
      <c r="DI55" s="11"/>
      <c r="DJ55" s="11"/>
      <c r="DK55" s="11"/>
      <c r="DL55" s="11"/>
      <c r="DM55" s="11">
        <v>5.05</v>
      </c>
      <c r="DN55" s="11">
        <v>5.52</v>
      </c>
      <c r="DO55" s="11">
        <v>0</v>
      </c>
      <c r="DP55" s="11">
        <v>0</v>
      </c>
      <c r="DQ55" s="11">
        <v>0</v>
      </c>
      <c r="DR55" s="11">
        <v>0</v>
      </c>
      <c r="DS55" s="11">
        <v>0.27</v>
      </c>
      <c r="DT55" s="9">
        <v>0</v>
      </c>
    </row>
    <row r="56" spans="1:124" x14ac:dyDescent="0.2">
      <c r="A56" s="10">
        <v>42940</v>
      </c>
      <c r="B56" s="9" t="s">
        <v>63</v>
      </c>
      <c r="C56" s="9" t="s">
        <v>103</v>
      </c>
      <c r="D56" s="9" t="s">
        <v>422</v>
      </c>
      <c r="E56" s="9">
        <v>36.5</v>
      </c>
      <c r="F56" s="11">
        <v>71.7</v>
      </c>
      <c r="G56" s="11">
        <v>80.400000000000006</v>
      </c>
      <c r="H56" s="11">
        <v>5.4</v>
      </c>
      <c r="I56" s="9">
        <v>97.54</v>
      </c>
      <c r="J56" s="15">
        <v>0</v>
      </c>
      <c r="K56" s="9">
        <v>0</v>
      </c>
      <c r="L56" s="9">
        <v>0</v>
      </c>
      <c r="M56" s="9">
        <v>2.46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40.049999999999997</v>
      </c>
      <c r="V56" s="9">
        <v>0</v>
      </c>
      <c r="W56" s="9">
        <v>2.46</v>
      </c>
      <c r="X56" s="9">
        <v>0</v>
      </c>
      <c r="Y56" s="9">
        <v>23.1</v>
      </c>
      <c r="Z56" s="24" t="s">
        <v>423</v>
      </c>
      <c r="AA56" s="9">
        <v>3</v>
      </c>
      <c r="AC56" s="9">
        <v>2</v>
      </c>
      <c r="AD56" s="9">
        <v>3</v>
      </c>
      <c r="AE56" s="9">
        <v>2</v>
      </c>
      <c r="AI56" s="9" t="s">
        <v>446</v>
      </c>
      <c r="AM56" s="9">
        <v>0</v>
      </c>
      <c r="AN56" s="9">
        <v>0</v>
      </c>
      <c r="AY56" s="17"/>
      <c r="BQ56" s="9">
        <v>0</v>
      </c>
      <c r="DB56" s="11">
        <v>2.2200000000000002</v>
      </c>
      <c r="DC56" s="11">
        <v>1</v>
      </c>
      <c r="DD56" s="11">
        <v>1</v>
      </c>
      <c r="DE56" s="11"/>
      <c r="DF56" s="11">
        <f>0.76+7.4</f>
        <v>8.16</v>
      </c>
      <c r="DG56" s="11"/>
      <c r="DH56" s="11"/>
      <c r="DI56" s="11"/>
      <c r="DJ56" s="11"/>
      <c r="DK56" s="11"/>
      <c r="DL56" s="11"/>
      <c r="DM56" s="11">
        <v>5.37</v>
      </c>
      <c r="DN56" s="11">
        <v>10.06</v>
      </c>
      <c r="DO56" s="11"/>
      <c r="DP56" s="11"/>
      <c r="DQ56" s="11">
        <v>0</v>
      </c>
      <c r="DR56" s="11">
        <v>0</v>
      </c>
      <c r="DS56" s="11">
        <v>0</v>
      </c>
      <c r="DT56" s="9">
        <v>0</v>
      </c>
    </row>
    <row r="57" spans="1:124" x14ac:dyDescent="0.2">
      <c r="A57" s="10">
        <v>42941</v>
      </c>
      <c r="B57" s="9" t="s">
        <v>63</v>
      </c>
      <c r="C57" s="9" t="s">
        <v>126</v>
      </c>
      <c r="D57" s="9" t="s">
        <v>124</v>
      </c>
      <c r="E57" s="9">
        <v>55.5</v>
      </c>
      <c r="F57" s="11">
        <v>63.8</v>
      </c>
      <c r="G57" s="11">
        <v>80.400000000000006</v>
      </c>
      <c r="H57" s="11">
        <v>27.2</v>
      </c>
      <c r="I57" s="9">
        <v>64.099999999999994</v>
      </c>
      <c r="J57" s="15">
        <v>0</v>
      </c>
      <c r="K57" s="9">
        <v>0</v>
      </c>
      <c r="L57" s="9">
        <v>0</v>
      </c>
      <c r="M57" s="9">
        <v>35.9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5.71</v>
      </c>
      <c r="U57" s="9">
        <v>22.43</v>
      </c>
      <c r="V57" s="9">
        <v>14.12</v>
      </c>
      <c r="W57" s="9">
        <v>15.78</v>
      </c>
      <c r="X57" s="9">
        <v>0</v>
      </c>
      <c r="Y57" s="9">
        <v>0</v>
      </c>
      <c r="Z57" s="9">
        <v>0</v>
      </c>
      <c r="AM57" s="9">
        <v>26.2</v>
      </c>
      <c r="AN57" s="9">
        <v>1</v>
      </c>
      <c r="AO57" s="9">
        <v>35</v>
      </c>
      <c r="AP57" s="9">
        <v>10</v>
      </c>
      <c r="AQ57" s="9">
        <v>9.8699999999999992</v>
      </c>
      <c r="AR57" s="9">
        <v>3</v>
      </c>
      <c r="AS57" s="9">
        <v>23</v>
      </c>
      <c r="AT57" s="9">
        <v>4</v>
      </c>
      <c r="AU57" s="9">
        <v>0.52</v>
      </c>
      <c r="AV57" s="9">
        <v>3</v>
      </c>
      <c r="AY57" s="17"/>
      <c r="BQ57" s="9">
        <v>0</v>
      </c>
      <c r="DB57" s="11">
        <v>0</v>
      </c>
      <c r="DC57" s="11">
        <v>0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>
        <v>0</v>
      </c>
      <c r="DN57" s="11">
        <v>0</v>
      </c>
      <c r="DO57" s="11">
        <v>0</v>
      </c>
      <c r="DP57" s="11">
        <v>0</v>
      </c>
      <c r="DQ57" s="11">
        <v>0</v>
      </c>
      <c r="DR57" s="11">
        <v>0</v>
      </c>
      <c r="DS57" s="11">
        <v>0</v>
      </c>
      <c r="DT57" s="9">
        <v>0</v>
      </c>
    </row>
    <row r="58" spans="1:124" x14ac:dyDescent="0.2">
      <c r="A58" s="10">
        <v>42941</v>
      </c>
      <c r="B58" s="9" t="s">
        <v>63</v>
      </c>
      <c r="C58" s="9" t="s">
        <v>126</v>
      </c>
      <c r="D58" s="9" t="s">
        <v>125</v>
      </c>
      <c r="E58" s="9">
        <v>43.5</v>
      </c>
      <c r="F58" s="11">
        <v>73.2</v>
      </c>
      <c r="G58" s="11">
        <v>80.400000000000006</v>
      </c>
      <c r="H58" s="11">
        <v>12.9</v>
      </c>
      <c r="I58" s="9">
        <v>89.25</v>
      </c>
      <c r="J58" s="15">
        <v>0</v>
      </c>
      <c r="K58" s="9">
        <v>0</v>
      </c>
      <c r="L58" s="9">
        <v>0</v>
      </c>
      <c r="M58" s="9">
        <v>10.75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10.43</v>
      </c>
      <c r="U58" s="9">
        <v>36.97</v>
      </c>
      <c r="V58" s="9">
        <v>24.72</v>
      </c>
      <c r="W58" s="9">
        <v>0</v>
      </c>
      <c r="X58" s="9">
        <v>0</v>
      </c>
      <c r="Y58" s="9">
        <v>0</v>
      </c>
      <c r="Z58" s="9">
        <v>0</v>
      </c>
      <c r="AM58" s="9">
        <v>21.1</v>
      </c>
      <c r="AN58" s="9">
        <v>1</v>
      </c>
      <c r="AO58" s="9">
        <v>35</v>
      </c>
      <c r="AP58" s="9">
        <v>8</v>
      </c>
      <c r="AQ58" s="9">
        <v>4.4400000000000004</v>
      </c>
      <c r="AR58" s="9">
        <v>3</v>
      </c>
      <c r="AS58" s="9">
        <v>2</v>
      </c>
      <c r="AT58" s="9">
        <v>0.27</v>
      </c>
      <c r="AU58" s="9">
        <v>0.27</v>
      </c>
      <c r="AV58" s="9">
        <v>1</v>
      </c>
      <c r="AY58" s="17"/>
      <c r="BQ58" s="9">
        <v>0</v>
      </c>
      <c r="DB58" s="11">
        <v>5.26</v>
      </c>
      <c r="DC58" s="11">
        <v>1</v>
      </c>
      <c r="DD58" s="11">
        <v>2</v>
      </c>
      <c r="DE58" s="11"/>
      <c r="DF58" s="11">
        <f>3.17+5.42+0.93+0.38+0.56+0.45+0.67</f>
        <v>11.58</v>
      </c>
      <c r="DG58" s="11"/>
      <c r="DH58" s="11"/>
      <c r="DI58" s="11"/>
      <c r="DJ58" s="11"/>
      <c r="DK58" s="11"/>
      <c r="DL58" s="11"/>
      <c r="DM58" s="11">
        <v>0</v>
      </c>
      <c r="DN58" s="11">
        <v>0</v>
      </c>
      <c r="DO58" s="11">
        <v>0</v>
      </c>
      <c r="DP58" s="11">
        <v>0</v>
      </c>
      <c r="DQ58" s="11">
        <v>0</v>
      </c>
      <c r="DR58" s="11">
        <v>0</v>
      </c>
      <c r="DS58" s="11">
        <v>0</v>
      </c>
      <c r="DT58" s="9">
        <v>0</v>
      </c>
    </row>
    <row r="59" spans="1:124" x14ac:dyDescent="0.2">
      <c r="A59" s="10">
        <v>42941</v>
      </c>
      <c r="B59" s="9" t="s">
        <v>63</v>
      </c>
      <c r="C59" s="9" t="s">
        <v>126</v>
      </c>
      <c r="D59" s="9" t="s">
        <v>127</v>
      </c>
      <c r="E59" s="9">
        <v>54</v>
      </c>
      <c r="F59" s="11">
        <v>83.5</v>
      </c>
      <c r="G59" s="11">
        <v>80.400000000000006</v>
      </c>
      <c r="H59" s="11">
        <v>20.399999999999999</v>
      </c>
      <c r="I59" s="9">
        <v>74.42</v>
      </c>
      <c r="J59" s="15">
        <v>0</v>
      </c>
      <c r="K59" s="9">
        <v>2</v>
      </c>
      <c r="L59" s="9">
        <v>0</v>
      </c>
      <c r="M59" s="9">
        <v>23.59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4.1900000000000004</v>
      </c>
      <c r="U59" s="9">
        <v>26.53</v>
      </c>
      <c r="V59" s="9">
        <v>20.66</v>
      </c>
      <c r="W59" s="9">
        <v>18.899999999999999</v>
      </c>
      <c r="X59" s="9">
        <v>0</v>
      </c>
      <c r="Y59" s="9">
        <v>0</v>
      </c>
      <c r="Z59" s="9">
        <v>0</v>
      </c>
      <c r="AM59" s="9">
        <v>24.1</v>
      </c>
      <c r="AN59" s="9">
        <v>1</v>
      </c>
      <c r="AO59" s="9">
        <v>35</v>
      </c>
      <c r="AP59" s="9">
        <v>15</v>
      </c>
      <c r="AQ59" s="9">
        <v>6.36</v>
      </c>
      <c r="AR59" s="9">
        <v>3</v>
      </c>
      <c r="AS59" s="9">
        <v>23</v>
      </c>
      <c r="AT59" s="9">
        <v>2</v>
      </c>
      <c r="AU59" s="9">
        <v>0.35</v>
      </c>
      <c r="AV59" s="9">
        <v>3</v>
      </c>
      <c r="AY59" s="17"/>
      <c r="BQ59" s="9">
        <v>0</v>
      </c>
      <c r="DB59" s="11">
        <v>4.4800000000000004</v>
      </c>
      <c r="DC59" s="11">
        <v>1</v>
      </c>
      <c r="DD59" s="11">
        <v>2</v>
      </c>
      <c r="DE59" s="11"/>
      <c r="DF59" s="11">
        <f>3.61+0.31+4.23+0.3+0.22+0.75</f>
        <v>9.4200000000000017</v>
      </c>
      <c r="DG59" s="11"/>
      <c r="DH59" s="11"/>
      <c r="DI59" s="11"/>
      <c r="DJ59" s="11"/>
      <c r="DK59" s="11"/>
      <c r="DL59" s="11"/>
      <c r="DM59" s="11">
        <v>0.56000000000000005</v>
      </c>
      <c r="DN59" s="11">
        <v>0.27</v>
      </c>
      <c r="DO59" s="11">
        <v>0</v>
      </c>
      <c r="DP59" s="11">
        <v>0</v>
      </c>
      <c r="DQ59" s="11">
        <v>0</v>
      </c>
      <c r="DR59" s="11">
        <v>0</v>
      </c>
      <c r="DS59" s="11">
        <v>0</v>
      </c>
      <c r="DT59" s="9">
        <v>0</v>
      </c>
    </row>
    <row r="60" spans="1:124" x14ac:dyDescent="0.2">
      <c r="A60" s="10">
        <v>42941</v>
      </c>
      <c r="B60" s="9" t="s">
        <v>63</v>
      </c>
      <c r="C60" s="9" t="s">
        <v>126</v>
      </c>
      <c r="D60" s="9" t="s">
        <v>128</v>
      </c>
      <c r="E60" s="9">
        <v>52.5</v>
      </c>
      <c r="F60" s="11">
        <v>94.2</v>
      </c>
      <c r="G60" s="11">
        <v>80.400000000000006</v>
      </c>
      <c r="H60" s="11">
        <v>31.4</v>
      </c>
      <c r="I60" s="9">
        <v>61.43</v>
      </c>
      <c r="J60" s="15">
        <v>0</v>
      </c>
      <c r="K60" s="9">
        <v>4.57</v>
      </c>
      <c r="L60" s="9">
        <v>0</v>
      </c>
      <c r="M60" s="9">
        <v>34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9.9</v>
      </c>
      <c r="U60" s="9">
        <v>48.09</v>
      </c>
      <c r="V60" s="9">
        <v>33.799999999999997</v>
      </c>
      <c r="W60" s="9">
        <v>1.01</v>
      </c>
      <c r="X60" s="9">
        <v>0</v>
      </c>
      <c r="Y60" s="9">
        <v>0</v>
      </c>
      <c r="Z60" s="9">
        <v>0</v>
      </c>
      <c r="AM60" s="9">
        <v>15.2</v>
      </c>
      <c r="AN60" s="9">
        <v>1</v>
      </c>
      <c r="AO60" s="9">
        <v>23</v>
      </c>
      <c r="AP60" s="9">
        <v>6</v>
      </c>
      <c r="AQ60" s="9">
        <f>0.65+13+0.11+0.2</f>
        <v>13.959999999999999</v>
      </c>
      <c r="AR60" s="9">
        <v>3</v>
      </c>
      <c r="AS60" s="9">
        <v>34</v>
      </c>
      <c r="AT60" s="9">
        <v>10</v>
      </c>
      <c r="AU60" s="9">
        <f>1.3+1.3+0.22+0.22+0.11+0.08</f>
        <v>3.2300000000000004</v>
      </c>
      <c r="AV60" s="9">
        <v>3</v>
      </c>
      <c r="AY60" s="17"/>
      <c r="BQ60" s="9">
        <v>0</v>
      </c>
      <c r="DB60" s="11">
        <v>1.65</v>
      </c>
      <c r="DC60" s="11">
        <v>1</v>
      </c>
      <c r="DD60" s="11">
        <v>1</v>
      </c>
      <c r="DE60" s="11"/>
      <c r="DF60" s="11">
        <f>4.23+1.81+0.62+0.62+0.75+0.15+0.45+0.45</f>
        <v>9.08</v>
      </c>
      <c r="DG60" s="11"/>
      <c r="DH60" s="11"/>
      <c r="DI60" s="11"/>
      <c r="DJ60" s="11"/>
      <c r="DK60" s="11"/>
      <c r="DL60" s="11"/>
      <c r="DM60" s="11">
        <v>0.67</v>
      </c>
      <c r="DN60" s="11">
        <v>0.67</v>
      </c>
      <c r="DO60" s="11">
        <v>0</v>
      </c>
      <c r="DP60" s="11">
        <v>0</v>
      </c>
      <c r="DQ60" s="11">
        <v>0</v>
      </c>
      <c r="DR60" s="11">
        <v>0</v>
      </c>
      <c r="DS60" s="11">
        <v>0</v>
      </c>
      <c r="DT60" s="9">
        <v>0</v>
      </c>
    </row>
    <row r="61" spans="1:124" x14ac:dyDescent="0.2">
      <c r="A61" s="10">
        <v>42941</v>
      </c>
      <c r="B61" s="9" t="s">
        <v>63</v>
      </c>
      <c r="C61" s="9" t="s">
        <v>126</v>
      </c>
      <c r="D61" s="9" t="s">
        <v>129</v>
      </c>
      <c r="E61" s="9">
        <v>35</v>
      </c>
      <c r="F61" s="11">
        <v>83.4</v>
      </c>
      <c r="G61" s="11">
        <v>80.400000000000006</v>
      </c>
      <c r="H61" s="11">
        <v>14.8</v>
      </c>
      <c r="I61" s="9">
        <v>89.72</v>
      </c>
      <c r="J61" s="15">
        <v>0</v>
      </c>
      <c r="K61" s="9">
        <v>10.28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36.26</v>
      </c>
      <c r="V61" s="9">
        <v>32.65</v>
      </c>
      <c r="W61" s="9">
        <v>2.66</v>
      </c>
      <c r="X61" s="9">
        <v>0</v>
      </c>
      <c r="Y61" s="9">
        <v>0</v>
      </c>
      <c r="Z61" s="9">
        <v>0</v>
      </c>
      <c r="AM61" s="9">
        <v>14.3</v>
      </c>
      <c r="AN61" s="9">
        <v>1</v>
      </c>
      <c r="AO61" s="9">
        <v>35</v>
      </c>
      <c r="AP61" s="9">
        <v>2</v>
      </c>
      <c r="AQ61" s="9">
        <f>0.76*4</f>
        <v>3.04</v>
      </c>
      <c r="AR61" s="9">
        <v>3</v>
      </c>
      <c r="AY61" s="17"/>
      <c r="BQ61" s="9">
        <v>0</v>
      </c>
      <c r="DB61" s="11">
        <v>0.75</v>
      </c>
      <c r="DC61" s="11">
        <v>1</v>
      </c>
      <c r="DD61" s="11">
        <v>1</v>
      </c>
      <c r="DE61" s="11"/>
      <c r="DF61" s="11">
        <f>3.17+0.56</f>
        <v>3.73</v>
      </c>
      <c r="DG61" s="11"/>
      <c r="DH61" s="11"/>
      <c r="DI61" s="11"/>
      <c r="DJ61" s="11"/>
      <c r="DK61" s="11"/>
      <c r="DL61" s="11"/>
      <c r="DM61" s="11">
        <v>0</v>
      </c>
      <c r="DN61" s="11">
        <v>0</v>
      </c>
      <c r="DO61" s="11">
        <v>0</v>
      </c>
      <c r="DP61" s="11">
        <v>0</v>
      </c>
      <c r="DQ61" s="11">
        <v>0</v>
      </c>
      <c r="DR61" s="11">
        <v>0</v>
      </c>
      <c r="DS61" s="11">
        <v>0</v>
      </c>
      <c r="DT61" s="9">
        <v>0</v>
      </c>
    </row>
    <row r="62" spans="1:124" x14ac:dyDescent="0.2">
      <c r="A62" s="10">
        <v>42941</v>
      </c>
      <c r="B62" s="9" t="s">
        <v>63</v>
      </c>
      <c r="C62" s="9" t="s">
        <v>126</v>
      </c>
      <c r="D62" s="9" t="s">
        <v>130</v>
      </c>
      <c r="E62" s="9">
        <v>36</v>
      </c>
      <c r="F62" s="11">
        <v>78.8</v>
      </c>
      <c r="G62" s="11">
        <v>80.400000000000006</v>
      </c>
      <c r="H62" s="11">
        <v>24.3</v>
      </c>
      <c r="I62" s="9">
        <v>76.760000000000005</v>
      </c>
      <c r="J62" s="15">
        <v>0</v>
      </c>
      <c r="K62" s="9">
        <v>14.09</v>
      </c>
      <c r="L62" s="9">
        <v>0</v>
      </c>
      <c r="M62" s="9">
        <v>9.14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5.33</v>
      </c>
      <c r="U62" s="9">
        <v>23.58</v>
      </c>
      <c r="V62" s="9">
        <v>24.45</v>
      </c>
      <c r="W62" s="9">
        <v>15.39</v>
      </c>
      <c r="X62" s="9">
        <v>0</v>
      </c>
      <c r="Y62" s="9">
        <v>0</v>
      </c>
      <c r="Z62" s="9">
        <v>0</v>
      </c>
      <c r="AM62" s="9">
        <v>3.9</v>
      </c>
      <c r="AN62" s="9">
        <v>1</v>
      </c>
      <c r="AO62" s="9">
        <v>68</v>
      </c>
      <c r="AP62" s="9">
        <v>1</v>
      </c>
      <c r="AQ62" s="9">
        <v>0.19</v>
      </c>
      <c r="AR62" s="9">
        <v>1</v>
      </c>
      <c r="AS62" s="9">
        <v>35</v>
      </c>
      <c r="AT62" s="9">
        <v>5</v>
      </c>
      <c r="AU62" s="9">
        <f>0.19+0.07+0.13+0.27</f>
        <v>0.66</v>
      </c>
      <c r="AV62" s="9">
        <v>1</v>
      </c>
      <c r="AY62" s="17"/>
      <c r="BQ62" s="9">
        <v>0</v>
      </c>
      <c r="DB62" s="11">
        <v>0</v>
      </c>
      <c r="DC62" s="11">
        <v>0</v>
      </c>
      <c r="DD62" s="11"/>
      <c r="DE62" s="11"/>
      <c r="DF62" s="11"/>
      <c r="DG62" s="11"/>
      <c r="DH62" s="11"/>
      <c r="DI62" s="11"/>
      <c r="DJ62" s="11"/>
      <c r="DK62" s="11"/>
      <c r="DL62" s="11"/>
      <c r="DM62" s="11">
        <v>0.56000000000000005</v>
      </c>
      <c r="DN62" s="11">
        <v>0.13</v>
      </c>
      <c r="DO62" s="11">
        <v>0</v>
      </c>
      <c r="DP62" s="11">
        <v>0</v>
      </c>
      <c r="DQ62" s="11">
        <v>0</v>
      </c>
      <c r="DR62" s="11">
        <v>0</v>
      </c>
      <c r="DS62" s="11">
        <v>0</v>
      </c>
      <c r="DT62" s="9">
        <v>0</v>
      </c>
    </row>
    <row r="63" spans="1:124" x14ac:dyDescent="0.2">
      <c r="A63" s="10">
        <v>42941</v>
      </c>
      <c r="B63" s="9" t="s">
        <v>63</v>
      </c>
      <c r="C63" s="9" t="s">
        <v>126</v>
      </c>
      <c r="D63" s="9" t="s">
        <v>131</v>
      </c>
      <c r="E63" s="9">
        <v>64.5</v>
      </c>
      <c r="F63" s="11">
        <v>70.599999999999994</v>
      </c>
      <c r="G63" s="11">
        <v>80.400000000000006</v>
      </c>
      <c r="H63" s="11">
        <v>33.200000000000003</v>
      </c>
      <c r="I63" s="9">
        <v>67.02</v>
      </c>
      <c r="J63" s="15">
        <v>0</v>
      </c>
      <c r="K63" s="9">
        <v>0</v>
      </c>
      <c r="L63" s="9">
        <v>0</v>
      </c>
      <c r="M63" s="9">
        <v>32.979999999999997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25.74</v>
      </c>
      <c r="U63" s="9">
        <v>7.23</v>
      </c>
      <c r="V63" s="9">
        <v>32.26</v>
      </c>
      <c r="W63" s="9">
        <v>7.81</v>
      </c>
      <c r="X63" s="9">
        <v>0</v>
      </c>
      <c r="Y63" s="9">
        <v>0</v>
      </c>
      <c r="Z63" s="9">
        <v>0</v>
      </c>
      <c r="AM63" s="9">
        <v>24.3</v>
      </c>
      <c r="AN63" s="9">
        <v>1</v>
      </c>
      <c r="AO63" s="9">
        <v>35</v>
      </c>
      <c r="AP63" s="9">
        <v>9</v>
      </c>
      <c r="AQ63" s="9">
        <f>0.76+0.76+0.76+0.76+0.27+0.13+0.13+0.05+0.05</f>
        <v>3.6699999999999995</v>
      </c>
      <c r="AR63" s="9">
        <v>3</v>
      </c>
      <c r="AS63" s="9">
        <v>47</v>
      </c>
      <c r="AT63" s="9">
        <v>2</v>
      </c>
      <c r="AU63" s="9">
        <f>0.76+0.13</f>
        <v>0.89</v>
      </c>
      <c r="AV63" s="9">
        <v>3</v>
      </c>
      <c r="AY63" s="17"/>
      <c r="BQ63" s="9">
        <v>0</v>
      </c>
      <c r="DB63" s="11">
        <v>0.59</v>
      </c>
      <c r="DC63" s="11">
        <v>1</v>
      </c>
      <c r="DD63" s="11">
        <v>1</v>
      </c>
      <c r="DE63" s="11"/>
      <c r="DF63" s="11">
        <f>1.46+0.3</f>
        <v>1.76</v>
      </c>
      <c r="DG63" s="11"/>
      <c r="DH63" s="11"/>
      <c r="DI63" s="11"/>
      <c r="DJ63" s="11"/>
      <c r="DK63" s="11"/>
      <c r="DL63" s="11"/>
      <c r="DM63" s="11">
        <v>0</v>
      </c>
      <c r="DN63" s="11">
        <v>0</v>
      </c>
      <c r="DO63" s="11">
        <v>0</v>
      </c>
      <c r="DP63" s="11">
        <v>0</v>
      </c>
      <c r="DQ63" s="11">
        <v>3.73</v>
      </c>
      <c r="DR63" s="11">
        <v>1</v>
      </c>
      <c r="DS63" s="11">
        <v>0</v>
      </c>
      <c r="DT63" s="9">
        <v>0</v>
      </c>
    </row>
    <row r="64" spans="1:124" x14ac:dyDescent="0.2">
      <c r="A64" s="10">
        <v>42941</v>
      </c>
      <c r="B64" s="9" t="s">
        <v>63</v>
      </c>
      <c r="C64" s="9" t="s">
        <v>126</v>
      </c>
      <c r="D64" s="9" t="s">
        <v>132</v>
      </c>
      <c r="E64" s="9">
        <v>35.5</v>
      </c>
      <c r="F64" s="11">
        <v>74</v>
      </c>
      <c r="G64" s="11">
        <v>80.400000000000006</v>
      </c>
      <c r="H64" s="11">
        <v>15.3</v>
      </c>
      <c r="I64" s="9">
        <v>86.79</v>
      </c>
      <c r="J64" s="15">
        <v>0</v>
      </c>
      <c r="K64" s="9">
        <v>0</v>
      </c>
      <c r="L64" s="9">
        <v>0</v>
      </c>
      <c r="M64" s="9">
        <v>13.16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10.75</v>
      </c>
      <c r="U64" s="9">
        <v>44.32</v>
      </c>
      <c r="V64" s="9">
        <v>19.61</v>
      </c>
      <c r="W64" s="9">
        <v>0.08</v>
      </c>
      <c r="X64" s="9">
        <v>0</v>
      </c>
      <c r="Y64" s="9">
        <v>0</v>
      </c>
      <c r="Z64" s="9">
        <v>0</v>
      </c>
      <c r="AM64" s="9">
        <v>15.4</v>
      </c>
      <c r="AN64" s="9">
        <v>1</v>
      </c>
      <c r="AO64" s="9">
        <v>35</v>
      </c>
      <c r="AP64" s="9">
        <v>4</v>
      </c>
      <c r="AQ64" s="9">
        <f>0.76+0.76+0.13+0.13</f>
        <v>1.7799999999999998</v>
      </c>
      <c r="AR64" s="9">
        <v>3</v>
      </c>
      <c r="AS64" s="9">
        <v>47</v>
      </c>
      <c r="AT64" s="9">
        <v>2</v>
      </c>
      <c r="AU64" s="9">
        <f>0.76+0.13</f>
        <v>0.89</v>
      </c>
      <c r="AV64" s="9">
        <v>3</v>
      </c>
      <c r="AY64" s="17"/>
      <c r="BQ64" s="9">
        <v>0</v>
      </c>
      <c r="DB64" s="11">
        <v>0.86</v>
      </c>
      <c r="DC64" s="11">
        <v>1</v>
      </c>
      <c r="DD64" s="11">
        <v>1</v>
      </c>
      <c r="DE64" s="11"/>
      <c r="DF64" s="11">
        <f>2.11+0.3+0.3</f>
        <v>2.7099999999999995</v>
      </c>
      <c r="DG64" s="11"/>
      <c r="DH64" s="11"/>
      <c r="DI64" s="11"/>
      <c r="DJ64" s="11"/>
      <c r="DK64" s="11"/>
      <c r="DL64" s="11"/>
      <c r="DM64" s="11">
        <v>1.65</v>
      </c>
      <c r="DN64" s="11">
        <v>1.4</v>
      </c>
      <c r="DO64" s="11">
        <v>0</v>
      </c>
      <c r="DP64" s="11">
        <v>0</v>
      </c>
      <c r="DQ64" s="11">
        <v>0</v>
      </c>
      <c r="DR64" s="11">
        <v>0</v>
      </c>
      <c r="DS64" s="11">
        <v>0</v>
      </c>
      <c r="DT64" s="9">
        <v>0</v>
      </c>
    </row>
    <row r="65" spans="1:124" x14ac:dyDescent="0.2">
      <c r="A65" s="10">
        <v>42941</v>
      </c>
      <c r="B65" s="9" t="s">
        <v>63</v>
      </c>
      <c r="C65" s="9" t="s">
        <v>126</v>
      </c>
      <c r="D65" s="9" t="s">
        <v>133</v>
      </c>
      <c r="E65" s="9">
        <v>20</v>
      </c>
      <c r="F65" s="11">
        <v>71.7</v>
      </c>
      <c r="G65" s="11">
        <v>80.400000000000006</v>
      </c>
      <c r="H65" s="11">
        <v>11.4</v>
      </c>
      <c r="I65" s="9">
        <v>91.44</v>
      </c>
      <c r="J65" s="15">
        <v>0</v>
      </c>
      <c r="K65" s="9">
        <v>0</v>
      </c>
      <c r="L65" s="9">
        <v>0</v>
      </c>
      <c r="M65" s="9">
        <v>8.56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6.66</v>
      </c>
      <c r="U65" s="9">
        <v>39.15</v>
      </c>
      <c r="V65" s="9">
        <v>9.2899999999999991</v>
      </c>
      <c r="W65" s="9">
        <v>1.71</v>
      </c>
      <c r="X65" s="9">
        <v>0</v>
      </c>
      <c r="Y65" s="9">
        <v>0</v>
      </c>
      <c r="Z65" s="9">
        <v>0</v>
      </c>
      <c r="AM65" s="9">
        <v>0</v>
      </c>
      <c r="AN65" s="9">
        <v>0</v>
      </c>
      <c r="AY65" s="17"/>
      <c r="BQ65" s="9">
        <v>0</v>
      </c>
      <c r="DB65" s="11">
        <v>0.96</v>
      </c>
      <c r="DC65" s="11">
        <v>1</v>
      </c>
      <c r="DD65" s="11">
        <v>1</v>
      </c>
      <c r="DE65" s="11"/>
      <c r="DF65" s="11">
        <f>2.11+0.42+0.37+0.3</f>
        <v>3.1999999999999997</v>
      </c>
      <c r="DG65" s="11"/>
      <c r="DH65" s="11"/>
      <c r="DI65" s="11"/>
      <c r="DJ65" s="11"/>
      <c r="DK65" s="11"/>
      <c r="DL65" s="11"/>
      <c r="DM65" s="11">
        <v>5.36</v>
      </c>
      <c r="DN65" s="11">
        <v>9.06</v>
      </c>
      <c r="DO65" s="11">
        <v>0</v>
      </c>
      <c r="DP65" s="11">
        <v>0</v>
      </c>
      <c r="DQ65" s="11">
        <v>0</v>
      </c>
      <c r="DR65" s="11">
        <v>0</v>
      </c>
      <c r="DS65" s="11">
        <v>0</v>
      </c>
      <c r="DT65" s="9">
        <v>0</v>
      </c>
    </row>
    <row r="66" spans="1:124" x14ac:dyDescent="0.2">
      <c r="A66" s="10">
        <v>42941</v>
      </c>
      <c r="B66" s="9" t="s">
        <v>63</v>
      </c>
      <c r="C66" s="9" t="s">
        <v>126</v>
      </c>
      <c r="D66" s="9" t="s">
        <v>134</v>
      </c>
      <c r="E66" s="9">
        <v>54</v>
      </c>
      <c r="F66" s="11">
        <v>90.4</v>
      </c>
      <c r="G66" s="11">
        <v>80.400000000000006</v>
      </c>
      <c r="H66" s="11">
        <v>26.6</v>
      </c>
      <c r="I66" s="9">
        <v>70.83</v>
      </c>
      <c r="J66" s="15">
        <v>0</v>
      </c>
      <c r="K66" s="9">
        <v>0</v>
      </c>
      <c r="L66" s="9">
        <v>0</v>
      </c>
      <c r="M66" s="9">
        <v>29.17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9.86</v>
      </c>
      <c r="U66" s="9">
        <v>9.16</v>
      </c>
      <c r="V66" s="9">
        <v>59.96</v>
      </c>
      <c r="W66" s="9">
        <v>13.18</v>
      </c>
      <c r="X66" s="9">
        <v>0</v>
      </c>
      <c r="Y66" s="9">
        <v>16.399999999999999</v>
      </c>
      <c r="Z66" s="9">
        <v>1</v>
      </c>
      <c r="AA66" s="9">
        <v>5</v>
      </c>
      <c r="AC66" s="9">
        <v>1</v>
      </c>
      <c r="AG66" s="9">
        <v>5</v>
      </c>
      <c r="AI66" s="9">
        <v>1</v>
      </c>
      <c r="AM66" s="9">
        <v>3.6</v>
      </c>
      <c r="AN66" s="9">
        <v>1</v>
      </c>
      <c r="AO66" s="9">
        <v>35</v>
      </c>
      <c r="AP66" s="9">
        <v>1</v>
      </c>
      <c r="AQ66" s="9">
        <v>1.52</v>
      </c>
      <c r="AR66" s="9">
        <v>3</v>
      </c>
      <c r="AS66" s="9">
        <v>23</v>
      </c>
      <c r="AT66" s="9">
        <v>15</v>
      </c>
      <c r="AU66" s="9">
        <f>(1.14*5)+(0.76*3)+3.05+0.27+0.4</f>
        <v>11.7</v>
      </c>
      <c r="AV66" s="9">
        <v>3</v>
      </c>
      <c r="AY66" s="17"/>
      <c r="BQ66" s="9">
        <v>0</v>
      </c>
      <c r="DB66" s="11">
        <v>0.13</v>
      </c>
      <c r="DC66" s="11">
        <v>1</v>
      </c>
      <c r="DD66" s="11">
        <v>1</v>
      </c>
      <c r="DE66" s="11"/>
      <c r="DF66" s="11">
        <v>0.42</v>
      </c>
      <c r="DG66" s="11"/>
      <c r="DH66" s="11"/>
      <c r="DI66" s="11"/>
      <c r="DJ66" s="11"/>
      <c r="DK66" s="11"/>
      <c r="DL66" s="11"/>
      <c r="DM66" s="11">
        <v>1.68</v>
      </c>
      <c r="DN66" s="11">
        <v>1.1299999999999999</v>
      </c>
      <c r="DO66" s="11">
        <v>0</v>
      </c>
      <c r="DP66" s="11">
        <v>0</v>
      </c>
      <c r="DQ66" s="11">
        <v>0</v>
      </c>
      <c r="DR66" s="11">
        <v>0</v>
      </c>
      <c r="DS66" s="11">
        <v>0</v>
      </c>
      <c r="DT66" s="9">
        <v>0</v>
      </c>
    </row>
    <row r="67" spans="1:124" x14ac:dyDescent="0.2">
      <c r="A67" s="10">
        <v>42941</v>
      </c>
      <c r="B67" s="9" t="s">
        <v>63</v>
      </c>
      <c r="C67" s="9" t="s">
        <v>126</v>
      </c>
      <c r="D67" s="9" t="s">
        <v>135</v>
      </c>
      <c r="E67" s="9">
        <v>23.5</v>
      </c>
      <c r="F67" s="11">
        <v>78.599999999999994</v>
      </c>
      <c r="G67" s="11">
        <v>80.400000000000006</v>
      </c>
      <c r="H67" s="11">
        <v>7.9</v>
      </c>
      <c r="I67" s="9">
        <v>91.46</v>
      </c>
      <c r="J67" s="15">
        <v>0</v>
      </c>
      <c r="K67" s="9">
        <v>0</v>
      </c>
      <c r="L67" s="9">
        <v>0.34</v>
      </c>
      <c r="M67" s="9">
        <v>4.92</v>
      </c>
      <c r="N67" s="9">
        <v>0</v>
      </c>
      <c r="O67" s="9">
        <v>2.14</v>
      </c>
      <c r="P67" s="9">
        <v>0</v>
      </c>
      <c r="Q67" s="9">
        <v>0</v>
      </c>
      <c r="R67" s="9">
        <v>1.8</v>
      </c>
      <c r="S67" s="9">
        <v>0</v>
      </c>
      <c r="T67" s="9">
        <v>0</v>
      </c>
      <c r="U67" s="9">
        <v>47.59</v>
      </c>
      <c r="V67" s="9">
        <v>18.87</v>
      </c>
      <c r="W67" s="9">
        <v>0</v>
      </c>
      <c r="X67" s="9">
        <v>0</v>
      </c>
      <c r="Y67" s="9">
        <v>0</v>
      </c>
      <c r="Z67" s="9">
        <v>0</v>
      </c>
      <c r="AM67" s="9">
        <v>3.2</v>
      </c>
      <c r="AN67" s="9">
        <v>1</v>
      </c>
      <c r="AO67" s="9">
        <v>68</v>
      </c>
      <c r="AP67" s="9">
        <v>3</v>
      </c>
      <c r="AQ67" s="9">
        <f>0.01+0.06+0.75</f>
        <v>0.82</v>
      </c>
      <c r="AR67" s="9">
        <v>3</v>
      </c>
      <c r="AS67" s="9">
        <v>35</v>
      </c>
      <c r="AT67" s="9">
        <v>3</v>
      </c>
      <c r="AU67" s="9">
        <f>0.16+0.13</f>
        <v>0.29000000000000004</v>
      </c>
      <c r="AV67" s="9">
        <v>3</v>
      </c>
      <c r="AY67" s="17"/>
      <c r="BQ67" s="9">
        <v>0</v>
      </c>
      <c r="DB67" s="11">
        <v>8.77</v>
      </c>
      <c r="DC67" s="11">
        <v>1</v>
      </c>
      <c r="DD67" s="11">
        <v>1</v>
      </c>
      <c r="DE67" s="11"/>
      <c r="DF67" s="11">
        <f>1.06+1.06+0.04+0.25+3.13+0.15+0.15</f>
        <v>5.8400000000000007</v>
      </c>
      <c r="DG67" s="11">
        <v>2</v>
      </c>
      <c r="DH67" s="11"/>
      <c r="DI67" s="11">
        <f>0.65+0.08+0.12</f>
        <v>0.85</v>
      </c>
      <c r="DJ67" s="11"/>
      <c r="DK67" s="11"/>
      <c r="DL67" s="11"/>
      <c r="DM67" s="11">
        <v>0.34</v>
      </c>
      <c r="DN67" s="11">
        <v>0.34</v>
      </c>
      <c r="DO67" s="11">
        <v>0</v>
      </c>
      <c r="DP67" s="11">
        <v>0</v>
      </c>
      <c r="DQ67" s="11">
        <v>0</v>
      </c>
      <c r="DR67" s="11">
        <v>0</v>
      </c>
      <c r="DS67" s="11">
        <v>0</v>
      </c>
      <c r="DT67" s="9">
        <v>0</v>
      </c>
    </row>
    <row r="68" spans="1:124" x14ac:dyDescent="0.2">
      <c r="A68" s="10">
        <v>42941</v>
      </c>
      <c r="B68" s="9" t="s">
        <v>63</v>
      </c>
      <c r="C68" s="9" t="s">
        <v>136</v>
      </c>
      <c r="D68" s="9" t="s">
        <v>137</v>
      </c>
      <c r="E68" s="9">
        <v>70.5</v>
      </c>
      <c r="F68" s="11">
        <v>88.2</v>
      </c>
      <c r="G68" s="11">
        <v>80.400000000000006</v>
      </c>
      <c r="H68" s="11">
        <v>36.299999999999997</v>
      </c>
      <c r="I68" s="9">
        <v>72.69</v>
      </c>
      <c r="J68" s="15">
        <v>0</v>
      </c>
      <c r="K68" s="9">
        <v>10.32</v>
      </c>
      <c r="L68" s="9">
        <v>16.989999999999998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36.659999999999997</v>
      </c>
      <c r="V68" s="9">
        <v>7.54</v>
      </c>
      <c r="W68" s="9">
        <v>10.32</v>
      </c>
      <c r="X68" s="9">
        <v>0</v>
      </c>
      <c r="Y68" s="9">
        <v>0</v>
      </c>
      <c r="Z68" s="9">
        <v>0</v>
      </c>
      <c r="AM68" s="9">
        <v>21.2</v>
      </c>
      <c r="AN68" s="9">
        <v>1</v>
      </c>
      <c r="AO68" s="9">
        <v>35</v>
      </c>
      <c r="AP68" s="9">
        <v>7</v>
      </c>
      <c r="AQ68" s="9">
        <f>5.71+0.54</f>
        <v>6.25</v>
      </c>
      <c r="AR68" s="9">
        <v>3</v>
      </c>
      <c r="AS68" s="9">
        <v>47</v>
      </c>
      <c r="AT68" s="9">
        <v>2</v>
      </c>
      <c r="AU68" s="9">
        <v>0.4</v>
      </c>
      <c r="AV68" s="9">
        <v>3</v>
      </c>
      <c r="AY68" s="17"/>
      <c r="BQ68" s="9">
        <v>0</v>
      </c>
      <c r="DB68" s="11">
        <v>11.58</v>
      </c>
      <c r="DC68" s="11">
        <v>1</v>
      </c>
      <c r="DD68" s="11">
        <v>2</v>
      </c>
      <c r="DE68" s="11"/>
      <c r="DF68" s="11">
        <f>0.22+1.95+3.81+0.27+0.32+0.04+0.05</f>
        <v>6.66</v>
      </c>
      <c r="DG68" s="11"/>
      <c r="DH68" s="11"/>
      <c r="DI68" s="11"/>
      <c r="DJ68" s="11"/>
      <c r="DK68" s="11"/>
      <c r="DL68" s="11"/>
      <c r="DM68" s="11">
        <v>0.27</v>
      </c>
      <c r="DN68" s="11">
        <v>0.27</v>
      </c>
      <c r="DO68" s="11">
        <v>0</v>
      </c>
      <c r="DP68" s="11">
        <v>0</v>
      </c>
      <c r="DQ68" s="11">
        <v>0</v>
      </c>
      <c r="DR68" s="11">
        <v>0</v>
      </c>
      <c r="DS68" s="11">
        <v>0</v>
      </c>
      <c r="DT68" s="9">
        <v>0</v>
      </c>
    </row>
    <row r="69" spans="1:124" x14ac:dyDescent="0.2">
      <c r="A69" s="10">
        <v>42941</v>
      </c>
      <c r="B69" s="9" t="s">
        <v>63</v>
      </c>
      <c r="C69" s="9" t="s">
        <v>136</v>
      </c>
      <c r="D69" s="9" t="s">
        <v>138</v>
      </c>
      <c r="E69" s="9">
        <v>94.5</v>
      </c>
      <c r="F69" s="11">
        <v>88.2</v>
      </c>
      <c r="G69" s="11">
        <v>80.400000000000006</v>
      </c>
      <c r="H69" s="11">
        <v>73.099999999999994</v>
      </c>
      <c r="I69" s="9">
        <v>41.34</v>
      </c>
      <c r="J69" s="15">
        <v>0</v>
      </c>
      <c r="K69" s="9">
        <v>8.6300000000000008</v>
      </c>
      <c r="L69" s="9">
        <v>0.04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8.06</v>
      </c>
      <c r="V69" s="9">
        <v>3.65</v>
      </c>
      <c r="W69" s="9">
        <v>7.2</v>
      </c>
      <c r="X69" s="9">
        <v>0</v>
      </c>
      <c r="Y69" s="9">
        <v>0</v>
      </c>
      <c r="Z69" s="9">
        <v>0</v>
      </c>
      <c r="AM69" s="9">
        <v>9.4</v>
      </c>
      <c r="AN69" s="9">
        <v>1</v>
      </c>
      <c r="AO69" s="9">
        <v>35</v>
      </c>
      <c r="AP69" s="9">
        <v>2</v>
      </c>
      <c r="AQ69" s="9">
        <f>0.76+0.45</f>
        <v>1.21</v>
      </c>
      <c r="AR69" s="9">
        <v>3</v>
      </c>
      <c r="AY69" s="17"/>
      <c r="BQ69" s="9">
        <v>1</v>
      </c>
      <c r="BR69" s="9">
        <v>70</v>
      </c>
      <c r="BS69" s="9">
        <v>2</v>
      </c>
      <c r="BT69" s="9">
        <f>0.75+1.69</f>
        <v>2.44</v>
      </c>
      <c r="BU69" s="9">
        <v>2</v>
      </c>
      <c r="DB69" s="11">
        <v>0.84</v>
      </c>
      <c r="DC69" s="11">
        <v>1</v>
      </c>
      <c r="DD69" s="11">
        <v>1</v>
      </c>
      <c r="DE69" s="11"/>
      <c r="DF69" s="11">
        <v>0.6</v>
      </c>
      <c r="DG69" s="11"/>
      <c r="DH69" s="11"/>
      <c r="DI69" s="11"/>
      <c r="DJ69" s="11"/>
      <c r="DK69" s="11"/>
      <c r="DL69" s="11"/>
      <c r="DM69" s="11">
        <v>10.19</v>
      </c>
      <c r="DN69" s="11">
        <v>8.4600000000000009</v>
      </c>
      <c r="DO69" s="11">
        <v>0</v>
      </c>
      <c r="DP69" s="11">
        <v>0</v>
      </c>
      <c r="DQ69" s="11">
        <v>0</v>
      </c>
      <c r="DR69" s="11">
        <v>0</v>
      </c>
      <c r="DS69" s="11">
        <v>0</v>
      </c>
      <c r="DT69" s="9">
        <v>0</v>
      </c>
    </row>
    <row r="70" spans="1:124" x14ac:dyDescent="0.2">
      <c r="A70" s="10">
        <v>42941</v>
      </c>
      <c r="B70" s="9" t="s">
        <v>63</v>
      </c>
      <c r="C70" s="9" t="s">
        <v>136</v>
      </c>
      <c r="D70" s="9" t="s">
        <v>139</v>
      </c>
      <c r="E70" s="9">
        <v>75</v>
      </c>
      <c r="F70" s="11">
        <v>91.2</v>
      </c>
      <c r="G70" s="11">
        <v>80.400000000000006</v>
      </c>
      <c r="H70" s="11">
        <v>61</v>
      </c>
      <c r="I70" s="9">
        <v>53.67</v>
      </c>
      <c r="J70" s="15">
        <v>0</v>
      </c>
      <c r="K70" s="9">
        <v>16.760000000000002</v>
      </c>
      <c r="L70" s="9">
        <v>29.58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6.79</v>
      </c>
      <c r="V70" s="9">
        <v>14.97</v>
      </c>
      <c r="W70" s="9">
        <v>18.239999999999998</v>
      </c>
      <c r="X70" s="9">
        <v>0</v>
      </c>
      <c r="Y70" s="9">
        <v>0</v>
      </c>
      <c r="Z70" s="9">
        <v>0</v>
      </c>
      <c r="AM70" s="9">
        <v>9</v>
      </c>
      <c r="AN70" s="9">
        <v>1</v>
      </c>
      <c r="AO70" s="9">
        <v>68</v>
      </c>
      <c r="AP70" s="9">
        <v>1</v>
      </c>
      <c r="AQ70" s="9">
        <v>0.38</v>
      </c>
      <c r="AR70" s="9">
        <v>1</v>
      </c>
      <c r="AS70" s="9">
        <v>47</v>
      </c>
      <c r="AT70" s="9">
        <v>1</v>
      </c>
      <c r="AU70" s="9">
        <v>1.1299999999999999</v>
      </c>
      <c r="AV70" s="9">
        <v>3</v>
      </c>
      <c r="AY70" s="17"/>
      <c r="BQ70" s="9">
        <v>1</v>
      </c>
      <c r="BR70" s="9">
        <v>70</v>
      </c>
      <c r="BS70" s="9">
        <v>2</v>
      </c>
      <c r="BT70" s="9">
        <f>1.69+0.75</f>
        <v>2.44</v>
      </c>
      <c r="BU70" s="9">
        <v>2</v>
      </c>
      <c r="DB70" s="11">
        <v>1.88</v>
      </c>
      <c r="DC70" s="11">
        <v>1</v>
      </c>
      <c r="DD70" s="11">
        <v>1</v>
      </c>
      <c r="DE70" s="11"/>
      <c r="DF70" s="11">
        <f>1.04+1.04+1.04</f>
        <v>3.12</v>
      </c>
      <c r="DG70" s="11"/>
      <c r="DH70" s="11"/>
      <c r="DI70" s="11"/>
      <c r="DJ70" s="11"/>
      <c r="DK70" s="11"/>
      <c r="DL70" s="11"/>
      <c r="DM70" s="11">
        <v>1.5</v>
      </c>
      <c r="DN70" s="11">
        <v>1.5</v>
      </c>
      <c r="DO70" s="11">
        <v>0</v>
      </c>
      <c r="DP70" s="11">
        <v>0</v>
      </c>
      <c r="DQ70" s="11">
        <v>0</v>
      </c>
      <c r="DR70" s="11">
        <v>0</v>
      </c>
      <c r="DS70" s="11">
        <v>0</v>
      </c>
      <c r="DT70" s="9">
        <v>0</v>
      </c>
    </row>
    <row r="71" spans="1:124" x14ac:dyDescent="0.2">
      <c r="A71" s="10">
        <v>42941</v>
      </c>
      <c r="B71" s="9" t="s">
        <v>63</v>
      </c>
      <c r="C71" s="9" t="s">
        <v>136</v>
      </c>
      <c r="D71" s="9" t="s">
        <v>140</v>
      </c>
      <c r="E71" s="9">
        <v>21</v>
      </c>
      <c r="F71" s="11">
        <v>77.900000000000006</v>
      </c>
      <c r="G71" s="11">
        <v>160.80000000000001</v>
      </c>
      <c r="H71" s="11">
        <v>14.1</v>
      </c>
      <c r="I71" s="9">
        <v>87.99</v>
      </c>
      <c r="J71" s="15">
        <v>0</v>
      </c>
      <c r="K71" s="9">
        <v>3.38</v>
      </c>
      <c r="L71" s="9">
        <v>0</v>
      </c>
      <c r="M71" s="9">
        <v>8.6300000000000008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65.599999999999994</v>
      </c>
      <c r="W71" s="9">
        <v>0</v>
      </c>
      <c r="X71" s="9">
        <v>0</v>
      </c>
      <c r="Y71" s="9">
        <v>0</v>
      </c>
      <c r="Z71" s="9">
        <v>0</v>
      </c>
      <c r="AM71" s="9">
        <v>1.4</v>
      </c>
      <c r="AN71" s="9">
        <v>1</v>
      </c>
      <c r="AO71" s="9">
        <v>35</v>
      </c>
      <c r="AP71" s="9">
        <v>3</v>
      </c>
      <c r="AQ71" s="9">
        <f>0.38</f>
        <v>0.38</v>
      </c>
      <c r="AR71" s="9">
        <v>3</v>
      </c>
      <c r="AS71" s="9">
        <v>34</v>
      </c>
      <c r="AT71" s="9">
        <v>27</v>
      </c>
      <c r="AU71" s="9">
        <f>0.19+0.19+1.13+3.38+0.56+1.5+1.13+0.38</f>
        <v>8.4599999999999991</v>
      </c>
      <c r="AV71" s="9">
        <v>1</v>
      </c>
      <c r="AY71" s="17"/>
      <c r="BQ71" s="9">
        <v>1</v>
      </c>
      <c r="BR71" s="9">
        <v>40</v>
      </c>
      <c r="BS71" s="9">
        <v>9</v>
      </c>
      <c r="BT71" s="9">
        <f>0.38+1.13+3+1.88+0.75</f>
        <v>7.14</v>
      </c>
      <c r="BU71" s="9">
        <v>3</v>
      </c>
      <c r="DB71" s="11">
        <v>0</v>
      </c>
      <c r="DC71" s="11">
        <v>0</v>
      </c>
      <c r="DD71" s="11"/>
      <c r="DE71" s="11"/>
      <c r="DF71" s="11"/>
      <c r="DG71" s="11"/>
      <c r="DH71" s="11"/>
      <c r="DI71" s="11"/>
      <c r="DJ71" s="11"/>
      <c r="DK71" s="11"/>
      <c r="DL71" s="11"/>
      <c r="DM71" s="11">
        <v>5.27</v>
      </c>
      <c r="DN71" s="11">
        <v>1.5</v>
      </c>
      <c r="DO71" s="11">
        <v>0</v>
      </c>
      <c r="DP71" s="11">
        <v>0</v>
      </c>
      <c r="DQ71" s="11">
        <v>0</v>
      </c>
      <c r="DR71" s="11">
        <v>0</v>
      </c>
      <c r="DS71" s="11">
        <v>0</v>
      </c>
      <c r="DT71" s="9">
        <v>0</v>
      </c>
    </row>
    <row r="72" spans="1:124" x14ac:dyDescent="0.2">
      <c r="A72" s="10">
        <v>42941</v>
      </c>
      <c r="B72" s="9" t="s">
        <v>141</v>
      </c>
      <c r="C72" s="9" t="s">
        <v>142</v>
      </c>
      <c r="D72" s="9" t="s">
        <v>143</v>
      </c>
      <c r="E72" s="9">
        <v>37.5</v>
      </c>
      <c r="F72" s="11">
        <v>87.4</v>
      </c>
      <c r="G72" s="11">
        <v>80.400000000000006</v>
      </c>
      <c r="H72" s="11">
        <v>18.5</v>
      </c>
      <c r="I72" s="9">
        <v>84.21</v>
      </c>
      <c r="J72" s="15">
        <v>0</v>
      </c>
      <c r="K72" s="9">
        <v>0</v>
      </c>
      <c r="L72" s="9">
        <v>0</v>
      </c>
      <c r="M72" s="9">
        <v>15.79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26.71</v>
      </c>
      <c r="U72" s="9">
        <v>13.13</v>
      </c>
      <c r="V72" s="9">
        <v>49.12</v>
      </c>
      <c r="W72" s="9">
        <v>14.67</v>
      </c>
      <c r="X72" s="9">
        <v>0</v>
      </c>
      <c r="Y72" s="9">
        <v>0</v>
      </c>
      <c r="Z72" s="9">
        <v>0</v>
      </c>
      <c r="AM72" s="9">
        <v>1.1000000000000001</v>
      </c>
      <c r="AN72" s="9">
        <v>1</v>
      </c>
      <c r="AO72" s="9">
        <v>52</v>
      </c>
      <c r="AP72" s="9">
        <v>1</v>
      </c>
      <c r="AQ72" s="9">
        <v>0.22</v>
      </c>
      <c r="AR72" s="9">
        <v>2</v>
      </c>
      <c r="AS72" s="9">
        <v>35</v>
      </c>
      <c r="AT72" s="9">
        <v>2</v>
      </c>
      <c r="AU72" s="9">
        <v>0.16</v>
      </c>
      <c r="AV72" s="9">
        <v>3</v>
      </c>
      <c r="AY72" s="17"/>
      <c r="BQ72" s="9">
        <v>0</v>
      </c>
      <c r="DB72" s="11">
        <v>4.3</v>
      </c>
      <c r="DC72" s="11">
        <v>1</v>
      </c>
      <c r="DD72" s="11">
        <v>1</v>
      </c>
      <c r="DE72" s="11"/>
      <c r="DF72" s="11">
        <f>(2.11*6)+0.9+0.9+0.62+0.62+0.93+0.3+0.3+0.22+0.22+0.23+0.22+0.22+0.22</f>
        <v>18.559999999999995</v>
      </c>
      <c r="DG72" s="11"/>
      <c r="DH72" s="11"/>
      <c r="DI72" s="11"/>
      <c r="DJ72" s="11"/>
      <c r="DK72" s="11"/>
      <c r="DL72" s="11"/>
      <c r="DM72" s="11">
        <v>10.31</v>
      </c>
      <c r="DN72" s="11">
        <v>34.85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9">
        <v>0</v>
      </c>
    </row>
    <row r="73" spans="1:124" x14ac:dyDescent="0.2">
      <c r="A73" s="10">
        <v>42941</v>
      </c>
      <c r="B73" s="9" t="s">
        <v>141</v>
      </c>
      <c r="C73" s="9" t="s">
        <v>142</v>
      </c>
      <c r="D73" s="9" t="s">
        <v>144</v>
      </c>
      <c r="E73" s="9">
        <v>39.5</v>
      </c>
      <c r="F73" s="11">
        <v>89.8</v>
      </c>
      <c r="G73" s="11">
        <v>80.400000000000006</v>
      </c>
      <c r="H73" s="11">
        <v>5.0999999999999996</v>
      </c>
      <c r="I73" s="9">
        <v>100</v>
      </c>
      <c r="J73" s="15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50.37</v>
      </c>
      <c r="V73" s="9">
        <v>16.55</v>
      </c>
      <c r="W73" s="9">
        <v>0.4</v>
      </c>
      <c r="X73" s="9">
        <v>0</v>
      </c>
      <c r="Y73" s="9">
        <v>27.4</v>
      </c>
      <c r="Z73" s="9">
        <v>1</v>
      </c>
      <c r="AA73" s="9">
        <v>3</v>
      </c>
      <c r="AC73" s="9">
        <v>4</v>
      </c>
      <c r="AG73" s="9">
        <v>3</v>
      </c>
      <c r="AI73" s="9">
        <v>4</v>
      </c>
      <c r="AM73" s="9">
        <v>0.1</v>
      </c>
      <c r="AN73" s="9">
        <v>1</v>
      </c>
      <c r="AO73" s="9">
        <v>34</v>
      </c>
      <c r="AP73" s="9">
        <v>9</v>
      </c>
      <c r="AQ73" s="9">
        <f>(1.71*3)+(0.2*2)</f>
        <v>5.53</v>
      </c>
      <c r="AR73" s="9">
        <v>1</v>
      </c>
      <c r="AS73" s="9">
        <v>35</v>
      </c>
      <c r="AT73" s="9">
        <v>1</v>
      </c>
      <c r="AU73" s="11">
        <v>0.02</v>
      </c>
      <c r="AV73" s="9">
        <v>3</v>
      </c>
      <c r="AY73" s="17"/>
      <c r="BQ73" s="9">
        <v>0</v>
      </c>
      <c r="DB73" s="11">
        <v>1.49</v>
      </c>
      <c r="DC73" s="11">
        <v>1</v>
      </c>
      <c r="DD73" s="11">
        <v>1</v>
      </c>
      <c r="DE73" s="11"/>
      <c r="DF73" s="11">
        <f>2.11+2.11+0.56+0.56</f>
        <v>5.34</v>
      </c>
      <c r="DG73" s="11"/>
      <c r="DH73" s="11"/>
      <c r="DI73" s="11"/>
      <c r="DJ73" s="11"/>
      <c r="DK73" s="11"/>
      <c r="DL73" s="11"/>
      <c r="DM73" s="11">
        <v>5.01</v>
      </c>
      <c r="DN73" s="11">
        <v>5.13</v>
      </c>
      <c r="DO73" s="11">
        <v>0</v>
      </c>
      <c r="DP73" s="11">
        <v>0</v>
      </c>
      <c r="DQ73" s="11">
        <v>0</v>
      </c>
      <c r="DR73" s="11">
        <v>0</v>
      </c>
      <c r="DS73" s="11">
        <v>0</v>
      </c>
      <c r="DT73" s="9">
        <v>0</v>
      </c>
    </row>
    <row r="74" spans="1:124" x14ac:dyDescent="0.2">
      <c r="A74" s="10">
        <v>42941</v>
      </c>
      <c r="B74" s="9" t="s">
        <v>141</v>
      </c>
      <c r="C74" s="9" t="s">
        <v>142</v>
      </c>
      <c r="D74" s="9" t="s">
        <v>145</v>
      </c>
      <c r="E74" s="9">
        <v>49.5</v>
      </c>
      <c r="F74" s="11">
        <v>90.1</v>
      </c>
      <c r="G74" s="11">
        <v>80.400000000000006</v>
      </c>
      <c r="H74" s="11">
        <v>9.9</v>
      </c>
      <c r="I74" s="9">
        <v>94.62</v>
      </c>
      <c r="J74" s="15">
        <v>0</v>
      </c>
      <c r="K74" s="9">
        <v>0.32</v>
      </c>
      <c r="L74" s="9">
        <v>0</v>
      </c>
      <c r="M74" s="9">
        <v>5.05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3.42</v>
      </c>
      <c r="U74" s="9">
        <v>32.25</v>
      </c>
      <c r="V74" s="9">
        <v>29.89</v>
      </c>
      <c r="W74" s="9">
        <v>8.2799999999999994</v>
      </c>
      <c r="X74" s="9">
        <v>0</v>
      </c>
      <c r="Y74" s="9">
        <v>12.9</v>
      </c>
      <c r="Z74" s="9">
        <v>1</v>
      </c>
      <c r="AA74" s="9">
        <v>7</v>
      </c>
      <c r="AC74" s="9">
        <v>5</v>
      </c>
      <c r="AD74" s="9">
        <v>3</v>
      </c>
      <c r="AF74" s="9">
        <v>3</v>
      </c>
      <c r="AG74" s="9">
        <v>7</v>
      </c>
      <c r="AI74" s="9">
        <v>5</v>
      </c>
      <c r="AJ74" s="9">
        <v>3</v>
      </c>
      <c r="AL74" s="9">
        <v>3</v>
      </c>
      <c r="AM74" s="9">
        <v>16.600000000000001</v>
      </c>
      <c r="AN74" s="9">
        <v>1</v>
      </c>
      <c r="AO74" s="9">
        <v>68</v>
      </c>
      <c r="AP74" s="9">
        <v>6</v>
      </c>
      <c r="AQ74" s="9">
        <v>0.21</v>
      </c>
      <c r="AR74" s="9">
        <v>1</v>
      </c>
      <c r="AS74" s="9">
        <v>35</v>
      </c>
      <c r="AT74" s="9">
        <v>3</v>
      </c>
      <c r="AU74" s="9">
        <v>0.51</v>
      </c>
      <c r="AV74" s="9">
        <v>3</v>
      </c>
      <c r="AW74" s="9">
        <v>47</v>
      </c>
      <c r="AX74" s="9">
        <v>22</v>
      </c>
      <c r="AY74" s="17">
        <f>(0.43*3)+(0.07*4)+0.22</f>
        <v>1.79</v>
      </c>
      <c r="AZ74" s="9">
        <v>3</v>
      </c>
      <c r="BQ74" s="9">
        <v>1</v>
      </c>
      <c r="BR74" s="9">
        <v>60</v>
      </c>
      <c r="BS74" s="9">
        <v>17</v>
      </c>
      <c r="BT74" s="9">
        <f>0.22+0.04+0.11+0.08+0.08+0.05</f>
        <v>0.58000000000000007</v>
      </c>
      <c r="BU74" s="9">
        <v>3</v>
      </c>
      <c r="BV74" s="9">
        <v>60</v>
      </c>
      <c r="BW74" s="9">
        <v>12</v>
      </c>
      <c r="BX74" s="9">
        <f>0.87+0.43+0.15+0.07</f>
        <v>1.52</v>
      </c>
      <c r="BY74" s="9">
        <v>1</v>
      </c>
      <c r="DB74" s="11">
        <v>2.4900000000000002</v>
      </c>
      <c r="DC74" s="11">
        <v>1</v>
      </c>
      <c r="DD74" s="11">
        <v>1</v>
      </c>
      <c r="DE74" s="11"/>
      <c r="DF74" s="11">
        <v>10.89</v>
      </c>
      <c r="DG74" s="11"/>
      <c r="DH74" s="11"/>
      <c r="DI74" s="11"/>
      <c r="DJ74" s="11"/>
      <c r="DK74" s="11"/>
      <c r="DL74" s="11"/>
      <c r="DM74" s="11">
        <v>4.17</v>
      </c>
      <c r="DN74" s="11">
        <v>3.7</v>
      </c>
      <c r="DO74" s="11">
        <v>0</v>
      </c>
      <c r="DP74" s="11">
        <v>0</v>
      </c>
      <c r="DQ74" s="11">
        <v>0</v>
      </c>
      <c r="DR74" s="11">
        <v>0</v>
      </c>
      <c r="DS74" s="11">
        <v>0</v>
      </c>
      <c r="DT74" s="9">
        <v>0</v>
      </c>
    </row>
    <row r="75" spans="1:124" x14ac:dyDescent="0.2">
      <c r="A75" s="10">
        <v>42941</v>
      </c>
      <c r="B75" s="9" t="s">
        <v>141</v>
      </c>
      <c r="C75" s="9" t="s">
        <v>142</v>
      </c>
      <c r="D75" s="9" t="s">
        <v>146</v>
      </c>
      <c r="E75" s="9">
        <v>28.5</v>
      </c>
      <c r="F75" s="11">
        <v>78.400000000000006</v>
      </c>
      <c r="G75" s="11">
        <v>80.400000000000006</v>
      </c>
      <c r="H75" s="11">
        <v>16</v>
      </c>
      <c r="I75" s="9">
        <v>95.22</v>
      </c>
      <c r="J75" s="15">
        <v>0</v>
      </c>
      <c r="K75" s="9">
        <v>4.2300000000000004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9.77</v>
      </c>
      <c r="U75" s="9">
        <v>2.1800000000000002</v>
      </c>
      <c r="V75" s="9">
        <v>46.81</v>
      </c>
      <c r="W75" s="9">
        <v>10.57</v>
      </c>
      <c r="X75" s="9">
        <v>0</v>
      </c>
      <c r="Y75" s="9">
        <v>0</v>
      </c>
      <c r="Z75" s="9">
        <v>0</v>
      </c>
      <c r="AM75" s="9">
        <v>0</v>
      </c>
      <c r="AN75" s="9">
        <v>0</v>
      </c>
      <c r="AY75" s="17"/>
      <c r="BQ75" s="9">
        <v>0</v>
      </c>
      <c r="DB75" s="11">
        <v>4.2300000000000004</v>
      </c>
      <c r="DC75" s="11">
        <v>1</v>
      </c>
      <c r="DD75" s="11">
        <v>2</v>
      </c>
      <c r="DE75" s="11"/>
      <c r="DF75" s="11">
        <v>6.34</v>
      </c>
      <c r="DG75" s="11">
        <v>1</v>
      </c>
      <c r="DH75" s="11">
        <v>1</v>
      </c>
      <c r="DI75" s="11">
        <f>9.52+3.17+3.17+3.17+1.12+1.12+1.12</f>
        <v>22.390000000000004</v>
      </c>
      <c r="DJ75" s="11"/>
      <c r="DK75" s="11"/>
      <c r="DL75" s="11"/>
      <c r="DM75" s="11">
        <v>5.41</v>
      </c>
      <c r="DN75" s="11">
        <v>8.9600000000000009</v>
      </c>
      <c r="DO75" s="11">
        <v>0</v>
      </c>
      <c r="DP75" s="11">
        <v>0</v>
      </c>
      <c r="DQ75" s="11">
        <v>0</v>
      </c>
      <c r="DR75" s="11">
        <v>0</v>
      </c>
      <c r="DS75" s="11">
        <v>0</v>
      </c>
      <c r="DT75" s="9">
        <v>0</v>
      </c>
    </row>
    <row r="76" spans="1:124" x14ac:dyDescent="0.2">
      <c r="A76" s="10">
        <v>42941</v>
      </c>
      <c r="B76" s="9" t="s">
        <v>141</v>
      </c>
      <c r="C76" s="9" t="s">
        <v>142</v>
      </c>
      <c r="D76" s="9" t="s">
        <v>147</v>
      </c>
      <c r="E76" s="9">
        <v>56.5</v>
      </c>
      <c r="F76" s="11">
        <v>88.4</v>
      </c>
      <c r="G76" s="11">
        <v>80.400000000000006</v>
      </c>
      <c r="H76" s="11">
        <v>24.8</v>
      </c>
      <c r="I76" s="9">
        <v>77.37</v>
      </c>
      <c r="J76" s="15">
        <v>0</v>
      </c>
      <c r="K76" s="9">
        <v>7.99</v>
      </c>
      <c r="L76" s="9">
        <v>0</v>
      </c>
      <c r="M76" s="9">
        <v>14.63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8.0399999999999991</v>
      </c>
      <c r="U76" s="9">
        <v>23.21</v>
      </c>
      <c r="V76" s="9">
        <v>37.03</v>
      </c>
      <c r="W76" s="9">
        <v>14.79</v>
      </c>
      <c r="X76" s="9">
        <v>0</v>
      </c>
      <c r="Y76" s="9">
        <v>0</v>
      </c>
      <c r="Z76" s="9">
        <v>0</v>
      </c>
      <c r="AM76" s="9">
        <v>25.5</v>
      </c>
      <c r="AN76" s="9">
        <v>1</v>
      </c>
      <c r="AO76" s="9">
        <v>52</v>
      </c>
      <c r="AP76" s="9">
        <v>13</v>
      </c>
      <c r="AQ76" s="9">
        <f>0.27+1.07+0.13+0.27</f>
        <v>1.7400000000000002</v>
      </c>
      <c r="AR76" s="9">
        <v>2</v>
      </c>
      <c r="AS76" s="9">
        <v>35</v>
      </c>
      <c r="AT76" s="9">
        <v>3</v>
      </c>
      <c r="AU76" s="9">
        <f>0.13+0.08+0.24</f>
        <v>0.45</v>
      </c>
      <c r="AV76" s="9">
        <v>3</v>
      </c>
      <c r="AW76" s="9">
        <v>47</v>
      </c>
      <c r="AX76" s="9">
        <v>5</v>
      </c>
      <c r="AY76" s="17">
        <f>0.76+1.14+0.76+0.13+0.08</f>
        <v>2.87</v>
      </c>
      <c r="AZ76" s="9">
        <v>3</v>
      </c>
      <c r="BQ76" s="9">
        <v>0</v>
      </c>
      <c r="DB76" s="11">
        <v>2.59</v>
      </c>
      <c r="DC76" s="11">
        <v>1</v>
      </c>
      <c r="DD76" s="11">
        <v>1</v>
      </c>
      <c r="DE76" s="11"/>
      <c r="DF76" s="11">
        <f>(2.11*4)+0.37</f>
        <v>8.8099999999999987</v>
      </c>
      <c r="DG76" s="11"/>
      <c r="DH76" s="11"/>
      <c r="DI76" s="11"/>
      <c r="DJ76" s="11"/>
      <c r="DK76" s="11"/>
      <c r="DL76" s="11"/>
      <c r="DM76" s="11">
        <v>1.33</v>
      </c>
      <c r="DN76" s="11">
        <v>0.89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  <c r="DT76" s="9">
        <v>0</v>
      </c>
    </row>
    <row r="77" spans="1:124" x14ac:dyDescent="0.2">
      <c r="A77" s="10">
        <v>42941</v>
      </c>
      <c r="B77" s="9" t="s">
        <v>141</v>
      </c>
      <c r="C77" s="9" t="s">
        <v>142</v>
      </c>
      <c r="D77" s="9" t="s">
        <v>148</v>
      </c>
      <c r="E77" s="9">
        <v>28.5</v>
      </c>
      <c r="F77" s="11">
        <v>69.400000000000006</v>
      </c>
      <c r="G77" s="11">
        <v>80.400000000000006</v>
      </c>
      <c r="H77" s="11">
        <v>9.8000000000000007</v>
      </c>
      <c r="I77" s="9">
        <v>96.02</v>
      </c>
      <c r="J77" s="15">
        <v>0</v>
      </c>
      <c r="K77" s="9">
        <v>3.98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16.55</v>
      </c>
      <c r="V77" s="9">
        <v>26.49</v>
      </c>
      <c r="W77" s="9">
        <v>6.34</v>
      </c>
      <c r="X77" s="9">
        <v>0</v>
      </c>
      <c r="Y77" s="9">
        <v>0</v>
      </c>
      <c r="Z77" s="9">
        <v>0</v>
      </c>
      <c r="AM77" s="9">
        <v>10.199999999999999</v>
      </c>
      <c r="AN77" s="9">
        <v>1</v>
      </c>
      <c r="AO77" s="9">
        <v>35</v>
      </c>
      <c r="AP77" s="9">
        <v>1</v>
      </c>
      <c r="AQ77" s="9">
        <v>0.02</v>
      </c>
      <c r="AR77" s="9">
        <v>3</v>
      </c>
      <c r="AS77" s="9">
        <v>70</v>
      </c>
      <c r="AT77" s="9">
        <v>2</v>
      </c>
      <c r="AU77" s="9">
        <v>0.27</v>
      </c>
      <c r="AV77" s="9">
        <v>3</v>
      </c>
      <c r="AY77" s="17"/>
      <c r="BQ77" s="9">
        <v>1</v>
      </c>
      <c r="BR77" s="9">
        <v>50</v>
      </c>
      <c r="BS77" s="9">
        <v>5</v>
      </c>
      <c r="BT77" s="9">
        <f>1.52+0.5+0.19+0.12</f>
        <v>2.33</v>
      </c>
      <c r="BU77" s="9">
        <v>3</v>
      </c>
      <c r="DB77" s="11">
        <v>2.63</v>
      </c>
      <c r="DC77" s="11">
        <v>1</v>
      </c>
      <c r="DD77" s="11">
        <v>1</v>
      </c>
      <c r="DE77" s="11"/>
      <c r="DF77" s="11">
        <f>0.04+2.11+3.17+0.37+0.56</f>
        <v>6.25</v>
      </c>
      <c r="DG77" s="11">
        <v>2</v>
      </c>
      <c r="DH77" s="11"/>
      <c r="DI77" s="11">
        <f>0.53+0.53+0.11+0.07+0.15</f>
        <v>1.3900000000000001</v>
      </c>
      <c r="DJ77" s="11"/>
      <c r="DK77" s="11"/>
      <c r="DL77" s="11"/>
      <c r="DM77" s="11">
        <v>3.33</v>
      </c>
      <c r="DN77" s="11">
        <v>2.06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9">
        <v>0</v>
      </c>
    </row>
    <row r="78" spans="1:124" x14ac:dyDescent="0.2">
      <c r="A78" s="10">
        <v>42941</v>
      </c>
      <c r="B78" s="9" t="s">
        <v>141</v>
      </c>
      <c r="C78" s="9" t="s">
        <v>142</v>
      </c>
      <c r="D78" s="9" t="s">
        <v>149</v>
      </c>
      <c r="E78" s="9">
        <v>48.5</v>
      </c>
      <c r="F78" s="11">
        <v>89.7</v>
      </c>
      <c r="G78" s="11">
        <v>80.400000000000006</v>
      </c>
      <c r="H78" s="11">
        <v>9.3000000000000007</v>
      </c>
      <c r="I78" s="9">
        <v>100</v>
      </c>
      <c r="J78" s="15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1.65</v>
      </c>
      <c r="U78" s="9">
        <v>2.69</v>
      </c>
      <c r="V78" s="9">
        <v>54.55</v>
      </c>
      <c r="W78" s="9">
        <v>11.29</v>
      </c>
      <c r="X78" s="9">
        <v>0</v>
      </c>
      <c r="Y78" s="9">
        <v>0</v>
      </c>
      <c r="Z78" s="9">
        <v>0</v>
      </c>
      <c r="AM78" s="9">
        <v>30.6</v>
      </c>
      <c r="AN78" s="9">
        <v>1</v>
      </c>
      <c r="AO78" s="9">
        <v>35</v>
      </c>
      <c r="AP78" s="9">
        <v>14</v>
      </c>
      <c r="AQ78" s="9">
        <f>3.05+1.52+1.52+0.27+0.03+0.07</f>
        <v>6.46</v>
      </c>
      <c r="AR78" s="9">
        <v>3</v>
      </c>
      <c r="AS78" s="9">
        <v>47</v>
      </c>
      <c r="AT78" s="9">
        <v>6</v>
      </c>
      <c r="AU78" s="9">
        <f>1.52+0.27*2</f>
        <v>2.06</v>
      </c>
      <c r="AV78" s="9">
        <v>3</v>
      </c>
      <c r="AY78" s="17"/>
      <c r="BQ78" s="9">
        <v>0</v>
      </c>
      <c r="DB78" s="11">
        <v>3.34</v>
      </c>
      <c r="DC78" s="11">
        <v>1</v>
      </c>
      <c r="DD78" s="11">
        <v>1</v>
      </c>
      <c r="DE78" s="11"/>
      <c r="DF78" s="11">
        <f>4.23+1.14+2.11+4.23+1.37+0.02+2.03+0.75+0.37+0.13</f>
        <v>16.38</v>
      </c>
      <c r="DG78" s="11"/>
      <c r="DH78" s="11"/>
      <c r="DI78" s="11"/>
      <c r="DJ78" s="11"/>
      <c r="DK78" s="11"/>
      <c r="DL78" s="11"/>
      <c r="DM78" s="11">
        <v>1.45</v>
      </c>
      <c r="DN78" s="11">
        <v>1.46</v>
      </c>
      <c r="DO78" s="11">
        <v>0</v>
      </c>
      <c r="DP78" s="11">
        <v>0</v>
      </c>
      <c r="DQ78" s="11">
        <v>0</v>
      </c>
      <c r="DR78" s="11">
        <v>0</v>
      </c>
      <c r="DS78" s="11">
        <v>0</v>
      </c>
      <c r="DT78" s="9">
        <v>0</v>
      </c>
    </row>
    <row r="79" spans="1:124" x14ac:dyDescent="0.2">
      <c r="A79" s="10">
        <v>42941</v>
      </c>
      <c r="B79" s="9" t="s">
        <v>141</v>
      </c>
      <c r="C79" s="9" t="s">
        <v>142</v>
      </c>
      <c r="D79" s="9" t="s">
        <v>150</v>
      </c>
      <c r="E79" s="9">
        <v>60</v>
      </c>
      <c r="F79" s="11">
        <v>55.4</v>
      </c>
      <c r="G79" s="11">
        <v>80.400000000000006</v>
      </c>
      <c r="H79" s="11">
        <v>29.6</v>
      </c>
      <c r="I79" s="9">
        <v>76.8</v>
      </c>
      <c r="J79" s="15">
        <v>0</v>
      </c>
      <c r="K79" s="9">
        <v>0</v>
      </c>
      <c r="L79" s="9">
        <v>0</v>
      </c>
      <c r="M79" s="9">
        <v>0</v>
      </c>
      <c r="O79" s="9">
        <v>4.83</v>
      </c>
      <c r="P79" s="9">
        <v>1.71</v>
      </c>
      <c r="Q79" s="9">
        <v>0</v>
      </c>
      <c r="R79" s="9">
        <v>0</v>
      </c>
      <c r="S79" s="9">
        <v>0</v>
      </c>
      <c r="T79" s="9">
        <v>1.51</v>
      </c>
      <c r="U79" s="9">
        <v>1.85</v>
      </c>
      <c r="V79" s="9">
        <v>2.31</v>
      </c>
      <c r="W79" s="9">
        <v>19.079999999999998</v>
      </c>
      <c r="X79" s="9">
        <v>18.37</v>
      </c>
      <c r="Y79" s="9">
        <v>0</v>
      </c>
      <c r="Z79" s="9">
        <v>0</v>
      </c>
      <c r="AA79" s="9">
        <v>0</v>
      </c>
      <c r="AG79" s="9">
        <v>0</v>
      </c>
      <c r="AM79" s="9">
        <v>22.9</v>
      </c>
      <c r="AN79" s="9">
        <v>1</v>
      </c>
      <c r="AO79" s="9">
        <v>34</v>
      </c>
      <c r="AP79" s="9">
        <v>1</v>
      </c>
      <c r="AQ79" s="9">
        <v>1.19</v>
      </c>
      <c r="AR79" s="9">
        <v>1</v>
      </c>
      <c r="AS79" s="9">
        <v>47</v>
      </c>
      <c r="AT79" s="9">
        <f>7+3+1+2+3+5+7+1+7+2+7+5+5</f>
        <v>55</v>
      </c>
      <c r="AU79" s="9">
        <f>(0.3*7)+0.15+0.3+0.9+0.6+0.45+0.6+(0.3*3)+(0.3*5)+(0.3*7)+0.9+(0.3*7)+(0.4)+(0.3*7)+(0.3*5)+(0.3*5)</f>
        <v>18.100000000000001</v>
      </c>
      <c r="AV79" s="9">
        <v>2</v>
      </c>
      <c r="AY79" s="17"/>
      <c r="BQ79" s="9">
        <v>0</v>
      </c>
      <c r="DB79" s="11">
        <v>0.06</v>
      </c>
      <c r="DC79" s="11">
        <v>1</v>
      </c>
      <c r="DD79" s="11">
        <v>1</v>
      </c>
      <c r="DE79" s="11"/>
      <c r="DF79" s="11">
        <v>0.1</v>
      </c>
      <c r="DG79" s="11"/>
      <c r="DH79" s="11"/>
      <c r="DI79" s="11"/>
      <c r="DJ79" s="11"/>
      <c r="DK79" s="11"/>
      <c r="DL79" s="11"/>
      <c r="DM79" s="11">
        <v>5.42</v>
      </c>
      <c r="DN79" s="11">
        <v>8.83</v>
      </c>
      <c r="DO79" s="11">
        <v>0</v>
      </c>
      <c r="DP79" s="11">
        <v>0</v>
      </c>
      <c r="DQ79" s="11">
        <v>1.99</v>
      </c>
      <c r="DR79" s="11">
        <v>0</v>
      </c>
      <c r="DS79" s="11">
        <v>0</v>
      </c>
      <c r="DT79" s="9">
        <v>2</v>
      </c>
    </row>
    <row r="80" spans="1:124" x14ac:dyDescent="0.2">
      <c r="A80" s="10">
        <v>42941</v>
      </c>
      <c r="B80" s="9" t="s">
        <v>141</v>
      </c>
      <c r="C80" s="9" t="s">
        <v>142</v>
      </c>
      <c r="D80" s="9" t="s">
        <v>151</v>
      </c>
      <c r="E80" s="9">
        <v>47.5</v>
      </c>
      <c r="F80" s="11">
        <v>58.6</v>
      </c>
      <c r="G80" s="11">
        <v>80.400000000000006</v>
      </c>
      <c r="H80" s="11">
        <v>19.5</v>
      </c>
      <c r="I80" s="9">
        <v>76.23</v>
      </c>
      <c r="J80" s="15">
        <v>0</v>
      </c>
      <c r="K80" s="9">
        <v>7.5</v>
      </c>
      <c r="L80" s="9">
        <v>0</v>
      </c>
      <c r="M80" s="9">
        <v>16.260000000000002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22.34</v>
      </c>
      <c r="V80" s="9">
        <v>19.22</v>
      </c>
      <c r="W80" s="9">
        <v>9.8000000000000007</v>
      </c>
      <c r="X80" s="9">
        <v>0.28000000000000003</v>
      </c>
      <c r="Y80" s="9">
        <v>0</v>
      </c>
      <c r="AM80" s="9">
        <v>24.1</v>
      </c>
      <c r="AN80" s="9">
        <v>1</v>
      </c>
      <c r="AO80" s="9">
        <v>47</v>
      </c>
      <c r="AP80" s="9">
        <v>6</v>
      </c>
      <c r="AQ80" s="9">
        <f>2.28+0.81</f>
        <v>3.09</v>
      </c>
      <c r="AR80" s="9">
        <v>3</v>
      </c>
      <c r="AS80" s="9">
        <v>23</v>
      </c>
      <c r="AT80" s="9">
        <v>2</v>
      </c>
      <c r="AU80" s="9">
        <v>0.54</v>
      </c>
      <c r="AV80" s="9">
        <v>3</v>
      </c>
      <c r="AY80" s="17"/>
      <c r="BQ80" s="9">
        <v>0</v>
      </c>
      <c r="DB80" s="11">
        <v>0</v>
      </c>
      <c r="DC80" s="11">
        <v>0</v>
      </c>
      <c r="DD80" s="11"/>
      <c r="DE80" s="11"/>
      <c r="DF80" s="11"/>
      <c r="DG80" s="11"/>
      <c r="DH80" s="11"/>
      <c r="DI80" s="11"/>
      <c r="DJ80" s="11"/>
      <c r="DK80" s="11"/>
      <c r="DL80" s="11"/>
      <c r="DM80" s="11">
        <v>2.97</v>
      </c>
      <c r="DN80" s="11">
        <v>2.96</v>
      </c>
      <c r="DO80" s="11">
        <v>0</v>
      </c>
      <c r="DP80" s="11">
        <v>0</v>
      </c>
      <c r="DQ80" s="11">
        <v>0</v>
      </c>
      <c r="DR80" s="11">
        <v>0</v>
      </c>
      <c r="DS80" s="11">
        <v>0</v>
      </c>
      <c r="DT80" s="9">
        <v>0</v>
      </c>
    </row>
    <row r="81" spans="1:124" x14ac:dyDescent="0.2">
      <c r="A81" s="10">
        <v>42941</v>
      </c>
      <c r="B81" s="9" t="s">
        <v>141</v>
      </c>
      <c r="C81" s="9" t="s">
        <v>142</v>
      </c>
      <c r="D81" s="9" t="s">
        <v>152</v>
      </c>
      <c r="E81" s="9">
        <v>49.5</v>
      </c>
      <c r="F81" s="11">
        <v>78.900000000000006</v>
      </c>
      <c r="G81" s="11">
        <v>80.400000000000006</v>
      </c>
      <c r="H81" s="11">
        <v>31.1</v>
      </c>
      <c r="I81" s="9">
        <v>22.13</v>
      </c>
      <c r="J81" s="15">
        <v>0</v>
      </c>
      <c r="K81" s="9">
        <v>0</v>
      </c>
      <c r="L81" s="9">
        <v>0</v>
      </c>
      <c r="M81" s="9">
        <v>3.8</v>
      </c>
      <c r="N81" s="9">
        <v>0</v>
      </c>
      <c r="O81" s="9">
        <v>74.069999999999993</v>
      </c>
      <c r="P81" s="9">
        <v>28.31</v>
      </c>
      <c r="Q81" s="9">
        <v>0</v>
      </c>
      <c r="R81" s="9">
        <v>0</v>
      </c>
      <c r="S81" s="9">
        <v>0</v>
      </c>
      <c r="T81" s="9">
        <v>8.07</v>
      </c>
      <c r="U81" s="9">
        <v>1.71</v>
      </c>
      <c r="V81" s="9">
        <v>33.85</v>
      </c>
      <c r="W81" s="9">
        <v>17.12</v>
      </c>
      <c r="X81" s="9">
        <v>0</v>
      </c>
      <c r="Y81" s="9">
        <v>0</v>
      </c>
      <c r="Z81" s="9">
        <v>0</v>
      </c>
      <c r="AM81" s="9">
        <v>3.4</v>
      </c>
      <c r="AN81" s="9">
        <v>1</v>
      </c>
      <c r="AO81" s="9">
        <v>34</v>
      </c>
      <c r="AP81" s="9">
        <v>1</v>
      </c>
      <c r="AQ81" s="9">
        <v>1.6</v>
      </c>
      <c r="AR81" s="9">
        <v>1</v>
      </c>
      <c r="AS81" s="9">
        <v>68</v>
      </c>
      <c r="AT81" s="9">
        <v>2</v>
      </c>
      <c r="AU81" s="9">
        <f>0.65+0.11</f>
        <v>0.76</v>
      </c>
      <c r="AV81" s="9">
        <v>1</v>
      </c>
      <c r="AW81" s="9">
        <v>52</v>
      </c>
      <c r="AX81" s="9">
        <v>2</v>
      </c>
      <c r="AY81" s="17">
        <f>1.33+0.34</f>
        <v>1.6700000000000002</v>
      </c>
      <c r="AZ81" s="9">
        <v>2</v>
      </c>
      <c r="BQ81" s="9">
        <v>0</v>
      </c>
      <c r="DB81" s="11">
        <v>0</v>
      </c>
      <c r="DC81" s="11">
        <v>0</v>
      </c>
      <c r="DD81" s="11"/>
      <c r="DE81" s="11"/>
      <c r="DF81" s="11"/>
      <c r="DG81" s="11"/>
      <c r="DH81" s="11"/>
      <c r="DI81" s="11"/>
      <c r="DJ81" s="11"/>
      <c r="DK81" s="11"/>
      <c r="DL81" s="11"/>
      <c r="DM81" s="11">
        <v>5.13</v>
      </c>
      <c r="DN81" s="11">
        <v>6.28</v>
      </c>
      <c r="DO81" s="11">
        <v>0</v>
      </c>
      <c r="DP81" s="11">
        <v>0</v>
      </c>
      <c r="DQ81" s="11">
        <v>6.72</v>
      </c>
      <c r="DR81" s="11">
        <v>0</v>
      </c>
      <c r="DS81" s="11">
        <v>2.54</v>
      </c>
      <c r="DT81" s="9">
        <v>2</v>
      </c>
    </row>
    <row r="82" spans="1:124" x14ac:dyDescent="0.2">
      <c r="A82" s="10">
        <v>42941</v>
      </c>
      <c r="B82" s="9" t="s">
        <v>141</v>
      </c>
      <c r="C82" s="9" t="s">
        <v>153</v>
      </c>
      <c r="D82" s="9" t="s">
        <v>154</v>
      </c>
      <c r="E82" s="9">
        <v>33</v>
      </c>
      <c r="F82" s="11">
        <v>71.2</v>
      </c>
      <c r="G82" s="11">
        <v>80.400000000000006</v>
      </c>
      <c r="H82" s="11">
        <v>16.3</v>
      </c>
      <c r="I82" s="9">
        <v>83.24</v>
      </c>
      <c r="J82" s="15">
        <v>0</v>
      </c>
      <c r="K82" s="9">
        <v>0</v>
      </c>
      <c r="L82" s="9">
        <v>0</v>
      </c>
      <c r="M82" s="9">
        <v>14.14</v>
      </c>
      <c r="N82" s="9">
        <v>0</v>
      </c>
      <c r="O82" s="9">
        <v>2.63</v>
      </c>
      <c r="P82" s="9">
        <v>0</v>
      </c>
      <c r="Q82" s="9">
        <v>0</v>
      </c>
      <c r="R82" s="9">
        <v>0</v>
      </c>
      <c r="S82" s="9">
        <v>0</v>
      </c>
      <c r="T82" s="9">
        <v>2.63</v>
      </c>
      <c r="U82" s="9">
        <v>10.16</v>
      </c>
      <c r="V82" s="9">
        <v>20.83</v>
      </c>
      <c r="W82" s="9">
        <v>24.81</v>
      </c>
      <c r="X82" s="9">
        <v>0</v>
      </c>
      <c r="Y82" s="9">
        <v>11.2</v>
      </c>
      <c r="Z82" s="9">
        <v>1</v>
      </c>
      <c r="AA82" s="9">
        <v>5</v>
      </c>
      <c r="AC82" s="9">
        <v>1</v>
      </c>
      <c r="AG82" s="9">
        <v>5</v>
      </c>
      <c r="AI82" s="9">
        <v>1</v>
      </c>
      <c r="AM82" s="9">
        <v>0</v>
      </c>
      <c r="AN82" s="9">
        <v>0</v>
      </c>
      <c r="BQ82" s="9">
        <v>0</v>
      </c>
      <c r="DB82" s="11">
        <v>2.71</v>
      </c>
      <c r="DC82" s="11">
        <v>1</v>
      </c>
      <c r="DD82" s="11">
        <v>1</v>
      </c>
      <c r="DE82" s="11"/>
      <c r="DF82" s="11">
        <f>2.11*4+0.52*2</f>
        <v>9.48</v>
      </c>
      <c r="DG82" s="11"/>
      <c r="DH82" s="11"/>
      <c r="DI82" s="11"/>
      <c r="DJ82" s="11"/>
      <c r="DK82" s="11"/>
      <c r="DL82" s="11"/>
      <c r="DM82" s="11">
        <v>2.63</v>
      </c>
      <c r="DN82" s="11">
        <v>2.6</v>
      </c>
      <c r="DO82" s="11">
        <v>0</v>
      </c>
      <c r="DP82" s="11">
        <v>0</v>
      </c>
      <c r="DQ82" s="11">
        <v>0</v>
      </c>
      <c r="DR82" s="11">
        <v>0</v>
      </c>
      <c r="DS82" s="11">
        <v>0</v>
      </c>
      <c r="DT82" s="9">
        <v>0</v>
      </c>
    </row>
    <row r="83" spans="1:124" x14ac:dyDescent="0.2">
      <c r="A83" s="10">
        <v>42941</v>
      </c>
      <c r="B83" s="9" t="s">
        <v>141</v>
      </c>
      <c r="C83" s="9" t="s">
        <v>153</v>
      </c>
      <c r="D83" s="9" t="s">
        <v>155</v>
      </c>
      <c r="E83" s="9">
        <v>40</v>
      </c>
      <c r="F83" s="11">
        <v>79.7</v>
      </c>
      <c r="G83" s="11">
        <v>80.400000000000006</v>
      </c>
      <c r="H83" s="11">
        <v>11.2</v>
      </c>
      <c r="I83" s="9">
        <v>91.23</v>
      </c>
      <c r="J83" s="15">
        <v>0</v>
      </c>
      <c r="K83" s="9">
        <v>0</v>
      </c>
      <c r="L83" s="9">
        <v>0</v>
      </c>
      <c r="M83" s="9">
        <v>8.77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18.64</v>
      </c>
      <c r="V83" s="9">
        <v>42.82</v>
      </c>
      <c r="W83" s="9">
        <v>4.6100000000000003</v>
      </c>
      <c r="X83" s="9">
        <v>0</v>
      </c>
      <c r="Y83" s="9">
        <v>0</v>
      </c>
      <c r="Z83" s="9">
        <v>0</v>
      </c>
      <c r="AM83" s="9">
        <v>23.2</v>
      </c>
      <c r="AN83" s="9">
        <v>1</v>
      </c>
      <c r="AO83" s="9">
        <v>35</v>
      </c>
      <c r="AP83" s="9">
        <f>2+4+2+2+2+4+2+2+1</f>
        <v>21</v>
      </c>
      <c r="AQ83" s="9">
        <f>1.52+1.49+0.78*2+0.27+0.43+0.12+0.13</f>
        <v>5.52</v>
      </c>
      <c r="AR83" s="9">
        <v>3</v>
      </c>
      <c r="AS83" s="9">
        <v>10</v>
      </c>
      <c r="AT83" s="9">
        <v>1</v>
      </c>
      <c r="AU83" s="9">
        <v>0.1</v>
      </c>
      <c r="AV83" s="9">
        <v>5</v>
      </c>
      <c r="AW83" s="9">
        <v>25</v>
      </c>
      <c r="AX83" s="9">
        <v>8</v>
      </c>
      <c r="AY83" s="12">
        <f>0.19*2+0.1</f>
        <v>0.48</v>
      </c>
      <c r="AZ83" s="9">
        <v>1</v>
      </c>
      <c r="BQ83" s="9">
        <v>0</v>
      </c>
      <c r="DB83" s="11">
        <v>1.52</v>
      </c>
      <c r="DC83" s="11">
        <v>1</v>
      </c>
      <c r="DD83" s="11">
        <v>1</v>
      </c>
      <c r="DE83" s="11"/>
      <c r="DF83" s="11">
        <f>2.11*2+0.19*3+0.1</f>
        <v>4.8899999999999997</v>
      </c>
      <c r="DG83" s="11"/>
      <c r="DH83" s="11"/>
      <c r="DI83" s="11"/>
      <c r="DJ83" s="11"/>
      <c r="DK83" s="11"/>
      <c r="DL83" s="11"/>
      <c r="DM83" s="11">
        <v>0</v>
      </c>
      <c r="DN83" s="11">
        <v>0</v>
      </c>
      <c r="DO83" s="11">
        <v>0</v>
      </c>
      <c r="DP83" s="11">
        <v>0</v>
      </c>
      <c r="DQ83" s="11">
        <v>0</v>
      </c>
      <c r="DR83" s="11">
        <v>0</v>
      </c>
      <c r="DS83" s="11">
        <v>0.06</v>
      </c>
      <c r="DT83" s="9">
        <v>0</v>
      </c>
    </row>
    <row r="84" spans="1:124" x14ac:dyDescent="0.2">
      <c r="A84" s="10">
        <v>42941</v>
      </c>
      <c r="B84" s="9" t="s">
        <v>141</v>
      </c>
      <c r="C84" s="9" t="s">
        <v>153</v>
      </c>
      <c r="D84" s="9" t="s">
        <v>156</v>
      </c>
      <c r="E84" s="9">
        <v>48</v>
      </c>
      <c r="F84" s="11">
        <v>69.7</v>
      </c>
      <c r="G84" s="11">
        <v>80.400000000000006</v>
      </c>
      <c r="H84" s="11">
        <v>44.5</v>
      </c>
      <c r="I84" s="9">
        <v>13.55</v>
      </c>
      <c r="J84" s="15">
        <v>0</v>
      </c>
      <c r="K84" s="9">
        <v>0</v>
      </c>
      <c r="L84" s="9">
        <v>0</v>
      </c>
      <c r="M84" s="9">
        <v>0.1</v>
      </c>
      <c r="N84" s="9">
        <v>0</v>
      </c>
      <c r="O84" s="9">
        <v>86.34</v>
      </c>
      <c r="P84" s="9">
        <v>13.26</v>
      </c>
      <c r="Q84" s="9">
        <v>28.53</v>
      </c>
      <c r="R84" s="9">
        <v>0</v>
      </c>
      <c r="S84" s="9">
        <v>0</v>
      </c>
      <c r="T84" s="9">
        <v>0.78</v>
      </c>
      <c r="U84" s="9">
        <v>3.48</v>
      </c>
      <c r="V84" s="9">
        <v>11.45</v>
      </c>
      <c r="W84" s="9">
        <v>6.85</v>
      </c>
      <c r="X84" s="9">
        <v>0</v>
      </c>
      <c r="Y84" s="9">
        <v>0</v>
      </c>
      <c r="Z84" s="9">
        <v>0</v>
      </c>
      <c r="AM84" s="9">
        <v>0</v>
      </c>
      <c r="AN84" s="9">
        <v>0</v>
      </c>
      <c r="BQ84" s="9">
        <v>0</v>
      </c>
      <c r="DB84" s="11">
        <v>0.75</v>
      </c>
      <c r="DC84" s="11">
        <v>1</v>
      </c>
      <c r="DD84" s="11">
        <v>1</v>
      </c>
      <c r="DE84" s="11"/>
      <c r="DF84" s="11">
        <f>2.11+0.37</f>
        <v>2.48</v>
      </c>
      <c r="DG84" s="11"/>
      <c r="DH84" s="11"/>
      <c r="DI84" s="11"/>
      <c r="DJ84" s="11"/>
      <c r="DK84" s="11"/>
      <c r="DL84" s="11"/>
      <c r="DM84" s="11">
        <v>2.66</v>
      </c>
      <c r="DN84" s="11">
        <v>2.64</v>
      </c>
      <c r="DO84" s="11">
        <v>0</v>
      </c>
      <c r="DP84" s="11">
        <v>0</v>
      </c>
      <c r="DQ84" s="11">
        <v>0</v>
      </c>
      <c r="DR84" s="11">
        <v>0</v>
      </c>
      <c r="DS84" s="11">
        <v>0</v>
      </c>
      <c r="DT84" s="9">
        <v>0</v>
      </c>
    </row>
    <row r="85" spans="1:124" x14ac:dyDescent="0.2">
      <c r="A85" s="10">
        <v>42941</v>
      </c>
      <c r="B85" s="9" t="s">
        <v>141</v>
      </c>
      <c r="C85" s="9" t="s">
        <v>153</v>
      </c>
      <c r="D85" s="9" t="s">
        <v>158</v>
      </c>
      <c r="E85" s="9">
        <v>58</v>
      </c>
      <c r="F85" s="11">
        <v>79.900000000000006</v>
      </c>
      <c r="G85" s="11">
        <v>80.400000000000006</v>
      </c>
      <c r="H85" s="11">
        <v>43.6</v>
      </c>
      <c r="I85" s="9">
        <v>26.15</v>
      </c>
      <c r="J85" s="15">
        <v>0</v>
      </c>
      <c r="K85" s="9">
        <v>0</v>
      </c>
      <c r="L85" s="9">
        <v>0</v>
      </c>
      <c r="M85" s="9">
        <v>0</v>
      </c>
      <c r="N85" s="9">
        <v>0</v>
      </c>
      <c r="O85" s="9">
        <v>73.849999999999994</v>
      </c>
      <c r="P85" s="9">
        <v>18.43</v>
      </c>
      <c r="Q85" s="9">
        <v>20.420000000000002</v>
      </c>
      <c r="R85" s="9">
        <v>0</v>
      </c>
      <c r="S85" s="9">
        <v>0</v>
      </c>
      <c r="T85" s="9">
        <v>2.44</v>
      </c>
      <c r="U85" s="9">
        <v>0.13</v>
      </c>
      <c r="V85" s="9">
        <v>9.7100000000000009</v>
      </c>
      <c r="W85" s="9">
        <v>18.309999999999999</v>
      </c>
      <c r="X85" s="9">
        <v>0</v>
      </c>
      <c r="Y85" s="9">
        <v>0</v>
      </c>
      <c r="Z85" s="9">
        <v>0</v>
      </c>
      <c r="AM85" s="9">
        <v>9.1</v>
      </c>
      <c r="AN85" s="9">
        <v>1</v>
      </c>
      <c r="AO85" s="9">
        <v>68</v>
      </c>
      <c r="AP85" s="9">
        <v>1</v>
      </c>
      <c r="AQ85" s="9">
        <v>0.05</v>
      </c>
      <c r="AR85" s="9">
        <v>1</v>
      </c>
      <c r="AS85" s="9">
        <v>35</v>
      </c>
      <c r="AT85" s="9">
        <v>3</v>
      </c>
      <c r="AU85" s="9">
        <f>0.76+0.64</f>
        <v>1.4</v>
      </c>
      <c r="AV85" s="9">
        <v>3</v>
      </c>
      <c r="AW85" s="9">
        <v>47</v>
      </c>
      <c r="AX85" s="9">
        <v>2</v>
      </c>
      <c r="AY85" s="12">
        <v>0.23</v>
      </c>
      <c r="AZ85" s="9">
        <v>3</v>
      </c>
      <c r="BQ85" s="9">
        <v>1</v>
      </c>
      <c r="BR85" s="9">
        <v>60</v>
      </c>
      <c r="BS85" s="9">
        <v>2</v>
      </c>
      <c r="BT85" s="9">
        <v>0.26</v>
      </c>
      <c r="BU85" s="9">
        <v>3</v>
      </c>
      <c r="DB85" s="11">
        <v>0</v>
      </c>
      <c r="DC85" s="11">
        <v>0</v>
      </c>
      <c r="DD85" s="11"/>
      <c r="DE85" s="11"/>
      <c r="DF85" s="11"/>
      <c r="DG85" s="11"/>
      <c r="DH85" s="11"/>
      <c r="DI85" s="11"/>
      <c r="DJ85" s="11"/>
      <c r="DK85" s="11"/>
      <c r="DL85" s="11"/>
      <c r="DM85" s="11">
        <v>1.97</v>
      </c>
      <c r="DN85" s="11">
        <v>1.24</v>
      </c>
      <c r="DO85" s="11">
        <v>0</v>
      </c>
      <c r="DP85" s="11">
        <v>0</v>
      </c>
      <c r="DQ85" s="11">
        <v>0</v>
      </c>
      <c r="DR85" s="11">
        <v>0</v>
      </c>
      <c r="DS85" s="11">
        <v>3</v>
      </c>
      <c r="DT85" s="9">
        <v>0</v>
      </c>
    </row>
    <row r="86" spans="1:124" x14ac:dyDescent="0.2">
      <c r="A86" s="10">
        <v>42941</v>
      </c>
      <c r="B86" s="9" t="s">
        <v>141</v>
      </c>
      <c r="C86" s="9" t="s">
        <v>153</v>
      </c>
      <c r="D86" s="9" t="s">
        <v>159</v>
      </c>
      <c r="E86" s="9">
        <v>34.5</v>
      </c>
      <c r="F86" s="11">
        <v>53.2</v>
      </c>
      <c r="G86" s="11">
        <v>80.400000000000006</v>
      </c>
      <c r="H86" s="11">
        <v>8.3000000000000007</v>
      </c>
      <c r="I86" s="9">
        <v>99.94</v>
      </c>
      <c r="J86" s="15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9.15</v>
      </c>
      <c r="V86" s="9">
        <v>18.41</v>
      </c>
      <c r="W86" s="9">
        <v>11.73</v>
      </c>
      <c r="X86" s="9">
        <v>0</v>
      </c>
      <c r="Y86" s="9">
        <v>0</v>
      </c>
      <c r="Z86" s="9">
        <v>0</v>
      </c>
      <c r="AM86" s="9">
        <v>11.9</v>
      </c>
      <c r="AN86" s="9">
        <v>1</v>
      </c>
      <c r="AO86" s="9">
        <v>47</v>
      </c>
      <c r="AP86" s="9">
        <v>3</v>
      </c>
      <c r="AQ86" s="9">
        <v>1.52</v>
      </c>
      <c r="AR86" s="9">
        <v>2</v>
      </c>
      <c r="BQ86" s="9">
        <v>0</v>
      </c>
      <c r="DB86" s="11">
        <v>5.7</v>
      </c>
      <c r="DC86" s="11">
        <v>1</v>
      </c>
      <c r="DD86" s="11">
        <v>1</v>
      </c>
      <c r="DE86" s="11"/>
      <c r="DF86" s="11">
        <f>2.11+2.11+0.05+0.05+0.37</f>
        <v>4.6899999999999995</v>
      </c>
      <c r="DG86" s="11">
        <v>2</v>
      </c>
      <c r="DH86" s="11"/>
      <c r="DI86" s="11">
        <f>3.17+3.17+0.56+0.56+0.33</f>
        <v>7.7900000000000009</v>
      </c>
      <c r="DJ86" s="11"/>
      <c r="DK86" s="11"/>
      <c r="DL86" s="11"/>
      <c r="DM86" s="11">
        <v>0</v>
      </c>
      <c r="DN86" s="11">
        <v>0</v>
      </c>
      <c r="DO86" s="11"/>
      <c r="DP86" s="11"/>
      <c r="DQ86" s="11">
        <v>5.97</v>
      </c>
      <c r="DR86" s="11">
        <v>0</v>
      </c>
      <c r="DS86" s="11">
        <v>0</v>
      </c>
      <c r="DT86" s="9">
        <v>1</v>
      </c>
    </row>
    <row r="87" spans="1:124" ht="13.5" customHeight="1" x14ac:dyDescent="0.2">
      <c r="A87" s="10">
        <v>42941</v>
      </c>
      <c r="B87" s="9" t="s">
        <v>141</v>
      </c>
      <c r="C87" s="9" t="s">
        <v>153</v>
      </c>
      <c r="D87" s="9" t="s">
        <v>470</v>
      </c>
      <c r="E87" s="9">
        <v>47</v>
      </c>
      <c r="F87" s="11">
        <v>54.1</v>
      </c>
      <c r="G87" s="11">
        <v>80.400000000000006</v>
      </c>
      <c r="H87" s="11">
        <v>34.5</v>
      </c>
      <c r="I87" s="9">
        <v>71.45</v>
      </c>
      <c r="J87" s="15">
        <v>0</v>
      </c>
      <c r="K87" s="9">
        <v>21.93</v>
      </c>
      <c r="L87" s="9">
        <v>6.49</v>
      </c>
      <c r="M87" s="9">
        <v>0.12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1.01</v>
      </c>
      <c r="U87" s="9">
        <v>0.45</v>
      </c>
      <c r="V87" s="9">
        <v>18.399999999999999</v>
      </c>
      <c r="W87" s="9">
        <v>11.28</v>
      </c>
      <c r="X87" s="9">
        <v>0</v>
      </c>
      <c r="Y87" s="9">
        <v>0</v>
      </c>
      <c r="Z87" s="9">
        <v>0</v>
      </c>
      <c r="AM87" s="9">
        <v>6</v>
      </c>
      <c r="AN87" s="9">
        <v>1</v>
      </c>
      <c r="AO87" s="9">
        <v>35</v>
      </c>
      <c r="AP87" s="9">
        <v>8</v>
      </c>
      <c r="AQ87" s="9">
        <f>0.25+0.25+0.25+0.13+0.13+0.13+0.13</f>
        <v>1.27</v>
      </c>
      <c r="AR87" s="9">
        <v>3</v>
      </c>
      <c r="BQ87" s="9">
        <v>1</v>
      </c>
      <c r="BR87" s="9">
        <v>50</v>
      </c>
      <c r="BS87" s="9">
        <v>2</v>
      </c>
      <c r="BT87" s="9">
        <f>0.76*2</f>
        <v>1.52</v>
      </c>
      <c r="BU87" s="9">
        <v>1</v>
      </c>
      <c r="DB87" s="11">
        <v>0.42</v>
      </c>
      <c r="DC87" s="11">
        <v>1</v>
      </c>
      <c r="DD87" s="11">
        <v>1</v>
      </c>
      <c r="DE87" s="11"/>
      <c r="DF87" s="11">
        <f>0.68+0.68+0.03</f>
        <v>1.3900000000000001</v>
      </c>
      <c r="DG87" s="11"/>
      <c r="DH87" s="11"/>
      <c r="DI87" s="11"/>
      <c r="DJ87" s="11"/>
      <c r="DK87" s="11"/>
      <c r="DL87" s="11"/>
      <c r="DM87" s="11">
        <v>5.21</v>
      </c>
      <c r="DN87" s="11">
        <v>7.05</v>
      </c>
      <c r="DO87" s="11"/>
      <c r="DP87" s="11"/>
      <c r="DQ87" s="11">
        <v>0</v>
      </c>
      <c r="DR87" s="11">
        <v>0</v>
      </c>
      <c r="DS87" s="11">
        <v>0</v>
      </c>
      <c r="DT87" s="9">
        <v>0</v>
      </c>
    </row>
    <row r="88" spans="1:124" x14ac:dyDescent="0.2">
      <c r="A88" s="10">
        <v>42941</v>
      </c>
      <c r="B88" s="9" t="s">
        <v>141</v>
      </c>
      <c r="C88" s="9" t="s">
        <v>153</v>
      </c>
      <c r="D88" s="9" t="s">
        <v>471</v>
      </c>
      <c r="E88" s="9">
        <v>65.5</v>
      </c>
      <c r="F88" s="11">
        <v>92.2</v>
      </c>
      <c r="G88" s="11">
        <v>80.400000000000006</v>
      </c>
      <c r="H88" s="11">
        <v>61.7</v>
      </c>
      <c r="I88" s="9">
        <v>22.46</v>
      </c>
      <c r="J88" s="15">
        <v>0</v>
      </c>
      <c r="K88" s="9">
        <v>0</v>
      </c>
      <c r="L88" s="9">
        <v>0</v>
      </c>
      <c r="M88" s="9">
        <v>0</v>
      </c>
      <c r="N88" s="9">
        <v>0</v>
      </c>
      <c r="O88" s="9">
        <v>70.92</v>
      </c>
      <c r="P88" s="9">
        <v>9.4</v>
      </c>
      <c r="Q88" s="9">
        <v>33.69</v>
      </c>
      <c r="R88" s="9">
        <v>0</v>
      </c>
      <c r="S88" s="9">
        <v>0</v>
      </c>
      <c r="T88" s="9">
        <v>14.46</v>
      </c>
      <c r="U88" s="9">
        <v>11.32</v>
      </c>
      <c r="V88" s="9">
        <v>6.58</v>
      </c>
      <c r="W88" s="9">
        <v>8.8800000000000008</v>
      </c>
      <c r="X88" s="9">
        <v>6.62</v>
      </c>
      <c r="Y88" s="9">
        <v>0</v>
      </c>
      <c r="Z88" s="9">
        <v>0</v>
      </c>
      <c r="AM88" s="9">
        <v>3.2</v>
      </c>
      <c r="AN88" s="9">
        <v>0</v>
      </c>
      <c r="BQ88" s="9">
        <v>1</v>
      </c>
      <c r="BR88" s="9">
        <v>60</v>
      </c>
      <c r="BS88" s="9">
        <v>2</v>
      </c>
      <c r="BT88" s="9">
        <f>0.76*2</f>
        <v>1.52</v>
      </c>
      <c r="BU88" s="9">
        <v>3</v>
      </c>
      <c r="DB88" s="11">
        <v>0.63</v>
      </c>
      <c r="DC88" s="11">
        <v>1</v>
      </c>
      <c r="DD88" s="11">
        <v>1</v>
      </c>
      <c r="DE88" s="11"/>
      <c r="DF88" s="11">
        <v>3.17</v>
      </c>
      <c r="DG88" s="11"/>
      <c r="DH88" s="11"/>
      <c r="DI88" s="11"/>
      <c r="DJ88" s="11"/>
      <c r="DK88" s="11"/>
      <c r="DL88" s="11"/>
      <c r="DM88" s="11">
        <v>0</v>
      </c>
      <c r="DN88" s="11">
        <v>0</v>
      </c>
      <c r="DO88" s="11"/>
      <c r="DP88" s="11"/>
      <c r="DQ88" s="11">
        <v>0</v>
      </c>
      <c r="DR88" s="11">
        <v>0</v>
      </c>
      <c r="DS88" s="11">
        <v>0</v>
      </c>
      <c r="DT88" s="9">
        <v>0</v>
      </c>
    </row>
    <row r="89" spans="1:124" x14ac:dyDescent="0.2">
      <c r="A89" s="10">
        <v>42941</v>
      </c>
      <c r="B89" s="9" t="s">
        <v>141</v>
      </c>
      <c r="C89" s="9" t="s">
        <v>153</v>
      </c>
      <c r="D89" s="9" t="s">
        <v>160</v>
      </c>
      <c r="E89" s="9">
        <v>59</v>
      </c>
      <c r="F89" s="11">
        <v>90.4</v>
      </c>
      <c r="G89" s="11">
        <v>80.400000000000006</v>
      </c>
      <c r="H89" s="11">
        <v>54.7</v>
      </c>
      <c r="I89" s="9">
        <v>26.42</v>
      </c>
      <c r="J89" s="15">
        <v>0</v>
      </c>
      <c r="K89" s="9">
        <v>0</v>
      </c>
      <c r="L89" s="9">
        <v>0</v>
      </c>
      <c r="M89" s="9">
        <v>0</v>
      </c>
      <c r="N89" s="9">
        <v>0</v>
      </c>
      <c r="O89" s="9">
        <v>66.959999999999994</v>
      </c>
      <c r="P89" s="9">
        <v>6.55</v>
      </c>
      <c r="Q89" s="9">
        <v>30.83</v>
      </c>
      <c r="R89" s="9">
        <v>0</v>
      </c>
      <c r="S89" s="9">
        <v>0</v>
      </c>
      <c r="T89" s="9">
        <v>14.46</v>
      </c>
      <c r="U89" s="9">
        <v>11.57</v>
      </c>
      <c r="V89" s="9">
        <v>6.5</v>
      </c>
      <c r="W89" s="9">
        <v>6.03</v>
      </c>
      <c r="X89" s="9">
        <v>6.62</v>
      </c>
      <c r="Y89" s="9">
        <v>0</v>
      </c>
      <c r="Z89" s="9">
        <v>0</v>
      </c>
      <c r="AM89" s="9">
        <v>3.2</v>
      </c>
      <c r="AN89" s="9">
        <v>0</v>
      </c>
      <c r="BQ89" s="9">
        <v>1</v>
      </c>
      <c r="BR89" s="9">
        <v>60</v>
      </c>
      <c r="BS89" s="9">
        <v>2</v>
      </c>
      <c r="BT89" s="9">
        <v>1.52</v>
      </c>
      <c r="BU89" s="9">
        <v>3</v>
      </c>
      <c r="DB89" s="11">
        <v>0.63</v>
      </c>
      <c r="DC89" s="11">
        <v>1</v>
      </c>
      <c r="DD89" s="11">
        <v>1</v>
      </c>
      <c r="DE89" s="11"/>
      <c r="DF89" s="11">
        <v>3.17</v>
      </c>
      <c r="DG89" s="11"/>
      <c r="DH89" s="11"/>
      <c r="DI89" s="11"/>
      <c r="DJ89" s="11"/>
      <c r="DK89" s="11"/>
      <c r="DL89" s="11"/>
      <c r="DM89" s="11">
        <v>0</v>
      </c>
      <c r="DN89" s="11">
        <v>0</v>
      </c>
      <c r="DO89" s="11"/>
      <c r="DP89" s="11"/>
      <c r="DQ89" s="11">
        <v>0</v>
      </c>
      <c r="DR89" s="11">
        <v>0</v>
      </c>
      <c r="DS89" s="11">
        <v>0</v>
      </c>
      <c r="DT89" s="9">
        <v>0</v>
      </c>
    </row>
    <row r="90" spans="1:124" x14ac:dyDescent="0.2">
      <c r="A90" s="10">
        <v>42941</v>
      </c>
      <c r="B90" s="9" t="s">
        <v>141</v>
      </c>
      <c r="C90" s="9" t="s">
        <v>153</v>
      </c>
      <c r="D90" s="9" t="s">
        <v>161</v>
      </c>
      <c r="E90" s="9">
        <v>42</v>
      </c>
      <c r="F90" s="11">
        <v>97.3</v>
      </c>
      <c r="G90" s="11">
        <v>80.400000000000006</v>
      </c>
      <c r="H90" s="11">
        <v>14.9</v>
      </c>
      <c r="I90" s="9">
        <v>88.72</v>
      </c>
      <c r="J90" s="15">
        <v>0</v>
      </c>
      <c r="K90" s="9">
        <v>0</v>
      </c>
      <c r="L90" s="9">
        <v>0</v>
      </c>
      <c r="M90" s="9">
        <v>11.28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1.1399999999999999</v>
      </c>
      <c r="V90" s="9">
        <v>50.12</v>
      </c>
      <c r="W90" s="9">
        <v>30.38</v>
      </c>
      <c r="X90" s="9">
        <v>0</v>
      </c>
      <c r="Y90" s="9">
        <v>0</v>
      </c>
      <c r="Z90" s="9">
        <v>1</v>
      </c>
      <c r="AA90" s="9">
        <v>2</v>
      </c>
      <c r="AC90" s="9">
        <v>4</v>
      </c>
      <c r="AG90" s="9">
        <v>2</v>
      </c>
      <c r="AI90" s="9">
        <v>4</v>
      </c>
      <c r="AM90" s="9">
        <v>0</v>
      </c>
      <c r="AN90" s="9">
        <v>0</v>
      </c>
      <c r="BQ90" s="9">
        <v>0</v>
      </c>
      <c r="DB90" s="11">
        <v>9.5299999999999994</v>
      </c>
      <c r="DC90" s="11">
        <v>1</v>
      </c>
      <c r="DD90" s="11">
        <v>1</v>
      </c>
      <c r="DE90" s="11"/>
      <c r="DF90" s="11">
        <f>3.17+6.34+4.23+0.56+1.12</f>
        <v>15.420000000000002</v>
      </c>
      <c r="DG90" s="11">
        <v>2</v>
      </c>
      <c r="DH90" s="11"/>
      <c r="DI90" s="11">
        <f>8.46+1.59+1.59+1.49+0.28+1.49</f>
        <v>14.9</v>
      </c>
      <c r="DJ90" s="11"/>
      <c r="DK90" s="11"/>
      <c r="DL90" s="11"/>
      <c r="DM90" s="11">
        <v>14.15</v>
      </c>
      <c r="DN90" s="11">
        <v>35.369999999999997</v>
      </c>
      <c r="DO90" s="11"/>
      <c r="DP90" s="11"/>
      <c r="DQ90" s="11">
        <v>0</v>
      </c>
      <c r="DR90" s="11">
        <v>0</v>
      </c>
      <c r="DS90" s="11">
        <v>0</v>
      </c>
      <c r="DT90" s="9">
        <v>0</v>
      </c>
    </row>
    <row r="91" spans="1:124" x14ac:dyDescent="0.2">
      <c r="A91" s="10">
        <v>42941</v>
      </c>
      <c r="B91" s="9" t="s">
        <v>141</v>
      </c>
      <c r="C91" s="9" t="s">
        <v>153</v>
      </c>
      <c r="D91" s="9" t="s">
        <v>162</v>
      </c>
      <c r="E91" s="9">
        <v>19</v>
      </c>
      <c r="F91" s="11">
        <v>85.1</v>
      </c>
      <c r="G91" s="11">
        <v>80.400000000000006</v>
      </c>
      <c r="H91" s="11">
        <v>10.3</v>
      </c>
      <c r="I91" s="9">
        <v>100</v>
      </c>
      <c r="J91" s="15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16.760000000000002</v>
      </c>
      <c r="W91" s="9">
        <v>22.28</v>
      </c>
      <c r="X91" s="9">
        <v>0</v>
      </c>
      <c r="Y91" s="9">
        <v>0</v>
      </c>
      <c r="Z91" s="9">
        <v>0</v>
      </c>
      <c r="AM91" s="9">
        <v>0</v>
      </c>
      <c r="AN91" s="9">
        <v>0</v>
      </c>
      <c r="BQ91" s="9">
        <v>0</v>
      </c>
      <c r="DB91" s="11">
        <v>0.99</v>
      </c>
      <c r="DC91" s="11">
        <v>1</v>
      </c>
      <c r="DD91" s="11">
        <v>1</v>
      </c>
      <c r="DE91" s="11"/>
      <c r="DF91" s="11">
        <f>2.11+0.37+0.27*3</f>
        <v>3.29</v>
      </c>
      <c r="DG91" s="11"/>
      <c r="DH91" s="11"/>
      <c r="DI91" s="11"/>
      <c r="DJ91" s="11"/>
      <c r="DK91" s="11"/>
      <c r="DL91" s="11"/>
      <c r="DM91" s="11">
        <v>5.78</v>
      </c>
      <c r="DN91" s="11">
        <v>12.6</v>
      </c>
      <c r="DO91" s="11"/>
      <c r="DP91" s="11"/>
      <c r="DQ91" s="11">
        <v>0</v>
      </c>
      <c r="DR91" s="11">
        <v>0</v>
      </c>
      <c r="DS91" s="11">
        <v>0</v>
      </c>
      <c r="DT91" s="9">
        <v>0</v>
      </c>
    </row>
    <row r="92" spans="1:124" x14ac:dyDescent="0.2">
      <c r="A92" s="10">
        <v>42941</v>
      </c>
      <c r="B92" s="9" t="s">
        <v>141</v>
      </c>
      <c r="C92" s="9" t="s">
        <v>153</v>
      </c>
      <c r="D92" s="9" t="s">
        <v>163</v>
      </c>
      <c r="E92" s="9">
        <v>69.5</v>
      </c>
      <c r="F92" s="11">
        <v>70.900000000000006</v>
      </c>
      <c r="G92" s="11">
        <v>80.400000000000006</v>
      </c>
      <c r="H92" s="11">
        <v>23.6</v>
      </c>
      <c r="I92" s="9">
        <v>19.149999999999999</v>
      </c>
      <c r="J92" s="15">
        <v>0</v>
      </c>
      <c r="K92" s="9">
        <v>0</v>
      </c>
      <c r="L92" s="9">
        <v>0</v>
      </c>
      <c r="M92" s="9">
        <v>0</v>
      </c>
      <c r="N92" s="9">
        <v>0</v>
      </c>
      <c r="O92" s="9">
        <v>71.09</v>
      </c>
      <c r="P92" s="9">
        <v>0</v>
      </c>
      <c r="Q92" s="9">
        <v>0</v>
      </c>
      <c r="R92" s="9">
        <v>2.25</v>
      </c>
      <c r="S92" s="9">
        <v>0</v>
      </c>
      <c r="T92" s="9">
        <v>14.15</v>
      </c>
      <c r="U92" s="9">
        <v>0.83</v>
      </c>
      <c r="V92" s="9">
        <v>20.78</v>
      </c>
      <c r="W92" s="9">
        <v>13.14</v>
      </c>
      <c r="X92" s="9">
        <v>9.76</v>
      </c>
      <c r="Y92" s="9">
        <v>0</v>
      </c>
      <c r="Z92" s="9">
        <v>0</v>
      </c>
      <c r="AM92" s="9">
        <v>24.4</v>
      </c>
      <c r="AN92" s="9">
        <v>1</v>
      </c>
      <c r="AO92" s="9">
        <v>70</v>
      </c>
      <c r="AP92" s="9">
        <v>1</v>
      </c>
      <c r="AQ92" s="9">
        <v>1.5</v>
      </c>
      <c r="AR92" s="9">
        <v>3</v>
      </c>
      <c r="AS92" s="9">
        <v>68</v>
      </c>
      <c r="AT92" s="9">
        <v>2.25</v>
      </c>
      <c r="AU92" s="9">
        <v>1</v>
      </c>
      <c r="AV92" s="9">
        <v>1</v>
      </c>
      <c r="AW92" s="9">
        <v>47</v>
      </c>
      <c r="AX92" s="9">
        <v>1</v>
      </c>
      <c r="AY92" s="12">
        <v>1.5</v>
      </c>
      <c r="AZ92" s="9">
        <v>3</v>
      </c>
      <c r="BQ92" s="9">
        <v>0</v>
      </c>
      <c r="DB92" s="11">
        <v>1.42</v>
      </c>
      <c r="DC92" s="11">
        <v>1</v>
      </c>
      <c r="DD92" s="11">
        <v>1</v>
      </c>
      <c r="DE92" s="11"/>
      <c r="DF92" s="11">
        <f>1.56*2+0.1+0.06+0.08</f>
        <v>3.3600000000000003</v>
      </c>
      <c r="DG92" s="11"/>
      <c r="DH92" s="11"/>
      <c r="DI92" s="11"/>
      <c r="DJ92" s="11"/>
      <c r="DK92" s="11"/>
      <c r="DL92" s="11"/>
      <c r="DM92" s="11">
        <v>7.54</v>
      </c>
      <c r="DN92" s="11">
        <v>22.5</v>
      </c>
      <c r="DO92" s="11"/>
      <c r="DP92" s="11"/>
      <c r="DQ92" s="11">
        <v>6.72</v>
      </c>
      <c r="DR92" s="11">
        <v>0</v>
      </c>
      <c r="DS92" s="11">
        <v>5.54</v>
      </c>
      <c r="DT92" s="9">
        <v>2</v>
      </c>
    </row>
    <row r="93" spans="1:124" x14ac:dyDescent="0.2">
      <c r="A93" s="10">
        <v>42941</v>
      </c>
      <c r="B93" s="9" t="s">
        <v>141</v>
      </c>
      <c r="C93" s="9" t="s">
        <v>169</v>
      </c>
      <c r="D93" s="9" t="s">
        <v>164</v>
      </c>
      <c r="E93" s="9">
        <v>21.5</v>
      </c>
      <c r="F93" s="11">
        <v>54.9</v>
      </c>
      <c r="G93" s="11">
        <v>80.400000000000006</v>
      </c>
      <c r="H93" s="11">
        <v>17.899999999999999</v>
      </c>
      <c r="I93" s="9">
        <v>90.61</v>
      </c>
      <c r="J93" s="15">
        <v>0</v>
      </c>
      <c r="K93" s="9">
        <v>0</v>
      </c>
      <c r="L93" s="9">
        <v>2.4500000000000002</v>
      </c>
      <c r="M93" s="9">
        <v>6.94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12.16</v>
      </c>
      <c r="U93" s="9">
        <v>24.45</v>
      </c>
      <c r="V93" s="9">
        <v>4.8</v>
      </c>
      <c r="W93" s="9">
        <v>5.1100000000000003</v>
      </c>
      <c r="X93" s="9">
        <v>0</v>
      </c>
      <c r="Y93" s="9">
        <v>0</v>
      </c>
      <c r="Z93" s="9">
        <v>0</v>
      </c>
      <c r="AM93" s="9">
        <v>2.9</v>
      </c>
      <c r="AN93" s="9">
        <v>1</v>
      </c>
      <c r="AO93" s="9">
        <v>68</v>
      </c>
      <c r="AP93" s="9">
        <v>2</v>
      </c>
      <c r="AQ93" s="9">
        <f>0.38+0.07</f>
        <v>0.45</v>
      </c>
      <c r="AR93" s="9">
        <v>1</v>
      </c>
      <c r="BQ93" s="9">
        <v>1</v>
      </c>
      <c r="BR93" s="9">
        <v>40</v>
      </c>
      <c r="BS93" s="9">
        <v>1</v>
      </c>
      <c r="BT93" s="9">
        <v>0.06</v>
      </c>
      <c r="BU93" s="9">
        <v>1</v>
      </c>
      <c r="BV93" s="9">
        <v>60</v>
      </c>
      <c r="BW93" s="9">
        <v>1</v>
      </c>
      <c r="BX93" s="9">
        <v>0.11</v>
      </c>
      <c r="BY93" s="9">
        <v>1</v>
      </c>
      <c r="BZ93" s="9">
        <v>40</v>
      </c>
      <c r="CA93" s="9">
        <v>1</v>
      </c>
      <c r="CB93" s="9">
        <v>0.57999999999999996</v>
      </c>
      <c r="CC93" s="9">
        <v>6</v>
      </c>
      <c r="DB93" s="11">
        <v>0</v>
      </c>
      <c r="DC93" s="11">
        <v>0</v>
      </c>
      <c r="DD93" s="11"/>
      <c r="DE93" s="11"/>
      <c r="DF93" s="11"/>
      <c r="DG93" s="11"/>
      <c r="DH93" s="11"/>
      <c r="DI93" s="11"/>
      <c r="DJ93" s="11"/>
      <c r="DK93" s="11"/>
      <c r="DL93" s="11"/>
      <c r="DM93" s="11">
        <v>0.67</v>
      </c>
      <c r="DN93" s="11">
        <v>0.65</v>
      </c>
      <c r="DO93" s="11"/>
      <c r="DP93" s="11"/>
      <c r="DQ93" s="11">
        <v>0</v>
      </c>
      <c r="DR93" s="11">
        <v>0</v>
      </c>
      <c r="DS93" s="11">
        <v>0</v>
      </c>
      <c r="DT93" s="9">
        <v>0</v>
      </c>
    </row>
    <row r="94" spans="1:124" x14ac:dyDescent="0.2">
      <c r="A94" s="10">
        <v>42941</v>
      </c>
      <c r="B94" s="9" t="s">
        <v>141</v>
      </c>
      <c r="C94" s="9" t="s">
        <v>169</v>
      </c>
      <c r="D94" s="9" t="s">
        <v>165</v>
      </c>
      <c r="E94" s="9">
        <v>52.5</v>
      </c>
      <c r="F94" s="11">
        <v>78.3</v>
      </c>
      <c r="G94" s="11">
        <v>80.400000000000006</v>
      </c>
      <c r="H94" s="11">
        <v>33.200000000000003</v>
      </c>
      <c r="I94" s="9">
        <v>67.5</v>
      </c>
      <c r="J94" s="15">
        <v>0</v>
      </c>
      <c r="K94" s="9">
        <v>21.37</v>
      </c>
      <c r="L94" s="9">
        <v>0</v>
      </c>
      <c r="M94" s="9">
        <v>3.99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5.93</v>
      </c>
      <c r="V94" s="9">
        <v>42.2</v>
      </c>
      <c r="W94" s="9">
        <v>15.97</v>
      </c>
      <c r="X94" s="9">
        <v>7.14</v>
      </c>
      <c r="Y94" s="9">
        <v>0</v>
      </c>
      <c r="Z94" s="9">
        <v>0</v>
      </c>
      <c r="AM94" s="9">
        <v>1.7</v>
      </c>
      <c r="AN94" s="9">
        <v>1</v>
      </c>
      <c r="AO94" s="9">
        <v>34</v>
      </c>
      <c r="AP94" s="9">
        <v>5</v>
      </c>
      <c r="AQ94" s="9">
        <v>0.21</v>
      </c>
      <c r="AR94" s="9">
        <v>1</v>
      </c>
      <c r="AS94" s="9">
        <v>68</v>
      </c>
      <c r="AT94" s="9">
        <v>3</v>
      </c>
      <c r="AU94" s="9">
        <v>0.3</v>
      </c>
      <c r="AV94" s="9">
        <v>1</v>
      </c>
      <c r="AW94" s="9">
        <v>47</v>
      </c>
      <c r="AX94" s="9">
        <v>4</v>
      </c>
      <c r="AY94" s="12">
        <v>0.11</v>
      </c>
      <c r="AZ94" s="9">
        <v>1</v>
      </c>
      <c r="BA94" s="9">
        <v>35</v>
      </c>
      <c r="BB94" s="9">
        <v>2</v>
      </c>
      <c r="BC94" s="9">
        <v>0.1</v>
      </c>
      <c r="BD94" s="9">
        <v>1</v>
      </c>
      <c r="BQ94" s="9">
        <v>0</v>
      </c>
      <c r="DB94" s="11">
        <v>1.04</v>
      </c>
      <c r="DC94" s="11">
        <v>1</v>
      </c>
      <c r="DD94" s="11">
        <v>1</v>
      </c>
      <c r="DE94" s="11"/>
      <c r="DF94" s="11">
        <f>3.74+3.17+0.1</f>
        <v>7.01</v>
      </c>
      <c r="DG94" s="11"/>
      <c r="DH94" s="11"/>
      <c r="DI94" s="11"/>
      <c r="DJ94" s="11"/>
      <c r="DK94" s="11"/>
      <c r="DL94" s="11"/>
      <c r="DM94" s="11">
        <v>8.9</v>
      </c>
      <c r="DN94" s="11">
        <v>9.7899999999999991</v>
      </c>
      <c r="DO94" s="11"/>
      <c r="DP94" s="11"/>
      <c r="DQ94" s="11">
        <v>2.99</v>
      </c>
      <c r="DR94" s="11">
        <v>4</v>
      </c>
      <c r="DS94" s="11">
        <v>3</v>
      </c>
      <c r="DT94" s="9">
        <v>0</v>
      </c>
    </row>
    <row r="95" spans="1:124" x14ac:dyDescent="0.2">
      <c r="A95" s="10">
        <v>42941</v>
      </c>
      <c r="B95" s="9" t="s">
        <v>141</v>
      </c>
      <c r="C95" s="9" t="s">
        <v>169</v>
      </c>
      <c r="D95" s="9" t="s">
        <v>166</v>
      </c>
      <c r="E95" s="9">
        <v>53.5</v>
      </c>
      <c r="F95" s="11">
        <v>73.5</v>
      </c>
      <c r="G95" s="11">
        <v>80.400000000000006</v>
      </c>
      <c r="H95" s="11">
        <v>26.1</v>
      </c>
      <c r="I95" s="9">
        <v>78.89</v>
      </c>
      <c r="J95" s="15">
        <v>0</v>
      </c>
      <c r="K95" s="9">
        <v>2.36</v>
      </c>
      <c r="L95" s="9">
        <v>0</v>
      </c>
      <c r="M95" s="9">
        <v>11.6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7.86</v>
      </c>
      <c r="U95" s="9">
        <v>12.08</v>
      </c>
      <c r="V95" s="9">
        <v>18.100000000000001</v>
      </c>
      <c r="W95" s="9">
        <v>28.51</v>
      </c>
      <c r="X95" s="9">
        <v>7.14</v>
      </c>
      <c r="Y95" s="9">
        <v>0</v>
      </c>
      <c r="Z95" s="9">
        <v>0</v>
      </c>
      <c r="AM95" s="9">
        <v>11.6</v>
      </c>
      <c r="AN95" s="9">
        <v>1</v>
      </c>
      <c r="AO95" s="9">
        <v>47</v>
      </c>
      <c r="AP95" s="9">
        <v>4</v>
      </c>
      <c r="AQ95" s="9">
        <f>1.15+0.34</f>
        <v>1.49</v>
      </c>
      <c r="AR95" s="9">
        <v>3</v>
      </c>
      <c r="BQ95" s="9">
        <v>1</v>
      </c>
      <c r="BR95" s="9">
        <v>50</v>
      </c>
      <c r="BS95" s="9">
        <v>1</v>
      </c>
      <c r="BT95" s="9">
        <v>0.19</v>
      </c>
      <c r="BU95" s="9">
        <v>3</v>
      </c>
      <c r="DB95" s="11">
        <v>7.27</v>
      </c>
      <c r="DC95" s="11">
        <v>1</v>
      </c>
      <c r="DD95" s="11">
        <v>1</v>
      </c>
      <c r="DE95" s="11"/>
      <c r="DF95" s="11">
        <f>2.11*2+0.37*2</f>
        <v>4.96</v>
      </c>
      <c r="DG95" s="11">
        <v>3</v>
      </c>
      <c r="DH95" s="11"/>
      <c r="DI95" s="11">
        <f>1.44+0.72</f>
        <v>2.16</v>
      </c>
      <c r="DJ95" s="11"/>
      <c r="DK95" s="11"/>
      <c r="DL95" s="11"/>
      <c r="DM95" s="11">
        <v>5.39</v>
      </c>
      <c r="DN95" s="11">
        <v>8.11</v>
      </c>
      <c r="DO95" s="11"/>
      <c r="DP95" s="11"/>
      <c r="DQ95" s="11">
        <v>0</v>
      </c>
      <c r="DR95" s="11">
        <v>0</v>
      </c>
      <c r="DS95" s="11">
        <v>3</v>
      </c>
      <c r="DT95" s="9">
        <v>0</v>
      </c>
    </row>
    <row r="96" spans="1:124" x14ac:dyDescent="0.2">
      <c r="A96" s="10">
        <v>42941</v>
      </c>
      <c r="B96" s="9" t="s">
        <v>141</v>
      </c>
      <c r="C96" s="9" t="s">
        <v>169</v>
      </c>
      <c r="D96" s="9" t="s">
        <v>167</v>
      </c>
      <c r="E96" s="9">
        <v>40</v>
      </c>
      <c r="F96" s="11">
        <v>84.1</v>
      </c>
      <c r="G96" s="11">
        <v>80.400000000000006</v>
      </c>
      <c r="H96" s="11">
        <v>35.1</v>
      </c>
      <c r="I96" s="9">
        <v>66.11</v>
      </c>
      <c r="J96" s="15">
        <v>0</v>
      </c>
      <c r="K96" s="9">
        <v>13.11</v>
      </c>
      <c r="L96" s="9">
        <v>6.27</v>
      </c>
      <c r="M96" s="9">
        <v>8.02</v>
      </c>
      <c r="N96" s="9">
        <v>0</v>
      </c>
      <c r="O96" s="9">
        <v>6.47</v>
      </c>
      <c r="P96" s="9">
        <v>2.85</v>
      </c>
      <c r="Q96" s="9">
        <v>3.1</v>
      </c>
      <c r="R96" s="9">
        <v>0</v>
      </c>
      <c r="S96" s="9">
        <v>0</v>
      </c>
      <c r="T96" s="9">
        <v>10.49</v>
      </c>
      <c r="U96" s="9">
        <v>26.72</v>
      </c>
      <c r="V96" s="9">
        <v>13.38</v>
      </c>
      <c r="W96" s="9">
        <v>10.67</v>
      </c>
      <c r="X96" s="9">
        <v>0</v>
      </c>
      <c r="Y96" s="9">
        <v>0</v>
      </c>
      <c r="Z96" s="9">
        <v>0</v>
      </c>
      <c r="AM96" s="9">
        <v>3.9</v>
      </c>
      <c r="AN96" s="9">
        <v>1</v>
      </c>
      <c r="AO96" s="9">
        <v>68</v>
      </c>
      <c r="AP96" s="9">
        <v>4</v>
      </c>
      <c r="AQ96" s="9">
        <f>1.9+0.34</f>
        <v>2.2399999999999998</v>
      </c>
      <c r="AR96" s="9">
        <v>1</v>
      </c>
      <c r="AS96" s="9">
        <v>34</v>
      </c>
      <c r="AT96" s="9">
        <v>8</v>
      </c>
      <c r="AU96" s="9">
        <v>0.27</v>
      </c>
      <c r="AV96" s="9">
        <v>1</v>
      </c>
      <c r="BQ96" s="9">
        <v>1</v>
      </c>
      <c r="BR96" s="9">
        <v>50</v>
      </c>
      <c r="BS96" s="9">
        <v>4</v>
      </c>
      <c r="BT96" s="9">
        <f>1.52*2</f>
        <v>3.04</v>
      </c>
      <c r="BU96" s="9">
        <v>3</v>
      </c>
      <c r="DB96" s="11">
        <v>0.04</v>
      </c>
      <c r="DC96" s="11">
        <v>1</v>
      </c>
      <c r="DD96" s="11">
        <v>1</v>
      </c>
      <c r="DE96" s="11"/>
      <c r="DF96" s="11">
        <f>0.3</f>
        <v>0.3</v>
      </c>
      <c r="DG96" s="11"/>
      <c r="DH96" s="11"/>
      <c r="DI96" s="11"/>
      <c r="DJ96" s="11"/>
      <c r="DK96" s="11"/>
      <c r="DL96" s="11"/>
      <c r="DM96" s="11">
        <v>0.03</v>
      </c>
      <c r="DN96" s="11">
        <v>0.03</v>
      </c>
      <c r="DO96" s="11"/>
      <c r="DP96" s="11"/>
      <c r="DQ96" s="11">
        <v>0</v>
      </c>
      <c r="DR96" s="11">
        <v>0</v>
      </c>
      <c r="DS96" s="11">
        <v>0</v>
      </c>
      <c r="DT96" s="9">
        <v>0</v>
      </c>
    </row>
    <row r="97" spans="1:124" x14ac:dyDescent="0.2">
      <c r="A97" s="10">
        <v>42941</v>
      </c>
      <c r="B97" s="9" t="s">
        <v>141</v>
      </c>
      <c r="C97" s="9" t="s">
        <v>169</v>
      </c>
      <c r="D97" s="9" t="s">
        <v>168</v>
      </c>
      <c r="E97" s="9">
        <v>31</v>
      </c>
      <c r="F97" s="11">
        <v>80.2</v>
      </c>
      <c r="G97" s="11">
        <v>80.400000000000006</v>
      </c>
      <c r="H97" s="11">
        <v>6.5</v>
      </c>
      <c r="I97" s="9">
        <v>99.3</v>
      </c>
      <c r="J97" s="15">
        <v>0</v>
      </c>
      <c r="K97" s="9">
        <v>0.7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31.92</v>
      </c>
      <c r="V97" s="9">
        <v>23.7</v>
      </c>
      <c r="W97" s="9">
        <v>1.95</v>
      </c>
      <c r="X97" s="9">
        <v>0</v>
      </c>
      <c r="Y97" s="9">
        <v>18.7</v>
      </c>
      <c r="Z97" s="9">
        <v>4</v>
      </c>
      <c r="AA97" s="9">
        <v>49</v>
      </c>
      <c r="AC97" s="9">
        <v>1</v>
      </c>
      <c r="AG97" s="9">
        <v>49</v>
      </c>
      <c r="AI97" s="9">
        <v>1</v>
      </c>
      <c r="AM97" s="9">
        <v>0</v>
      </c>
      <c r="AN97" s="9">
        <v>0</v>
      </c>
      <c r="BQ97" s="9">
        <v>0</v>
      </c>
      <c r="DB97" s="11">
        <v>0</v>
      </c>
      <c r="DC97" s="11">
        <v>0</v>
      </c>
      <c r="DD97" s="11"/>
      <c r="DE97" s="11"/>
      <c r="DF97" s="11"/>
      <c r="DG97" s="11"/>
      <c r="DH97" s="11"/>
      <c r="DI97" s="11"/>
      <c r="DJ97" s="11"/>
      <c r="DK97" s="11"/>
      <c r="DL97" s="11"/>
      <c r="DM97" s="11">
        <v>5.42</v>
      </c>
      <c r="DN97" s="11">
        <v>6.61</v>
      </c>
      <c r="DO97" s="11"/>
      <c r="DP97" s="11"/>
      <c r="DQ97" s="11">
        <v>0</v>
      </c>
      <c r="DR97" s="11">
        <v>0</v>
      </c>
      <c r="DS97" s="11">
        <v>0</v>
      </c>
      <c r="DT97" s="9">
        <v>0</v>
      </c>
    </row>
    <row r="98" spans="1:124" x14ac:dyDescent="0.2">
      <c r="A98" s="10">
        <v>42941</v>
      </c>
      <c r="B98" s="9" t="s">
        <v>141</v>
      </c>
      <c r="C98" s="9" t="s">
        <v>169</v>
      </c>
      <c r="D98" s="9" t="s">
        <v>172</v>
      </c>
      <c r="E98" s="9">
        <v>38.5</v>
      </c>
      <c r="F98" s="11">
        <v>92</v>
      </c>
      <c r="G98" s="11">
        <v>80.400000000000006</v>
      </c>
      <c r="H98" s="11">
        <v>11</v>
      </c>
      <c r="I98" s="9">
        <v>95.37</v>
      </c>
      <c r="J98" s="15">
        <v>0</v>
      </c>
      <c r="K98" s="9">
        <v>4.63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2.85</v>
      </c>
      <c r="U98" s="9">
        <v>16.149999999999999</v>
      </c>
      <c r="V98" s="9">
        <v>42.55</v>
      </c>
      <c r="W98" s="9">
        <v>4.63</v>
      </c>
      <c r="X98" s="9">
        <v>0</v>
      </c>
      <c r="Y98" s="9">
        <v>5.7</v>
      </c>
      <c r="Z98" s="9">
        <v>1</v>
      </c>
      <c r="AA98" s="9">
        <v>3</v>
      </c>
      <c r="AC98" s="9">
        <v>1</v>
      </c>
      <c r="AG98" s="9">
        <v>3</v>
      </c>
      <c r="AI98" s="9">
        <v>1</v>
      </c>
      <c r="AM98" s="9">
        <v>4.8</v>
      </c>
      <c r="AN98" s="9">
        <v>0</v>
      </c>
      <c r="BQ98" s="9">
        <v>1</v>
      </c>
      <c r="BR98" s="9">
        <v>70</v>
      </c>
      <c r="BS98" s="9">
        <v>3</v>
      </c>
      <c r="BT98" s="9">
        <f>14.97+0.86+0.7</f>
        <v>16.53</v>
      </c>
      <c r="BU98" s="9">
        <v>3</v>
      </c>
      <c r="BV98" s="9">
        <v>60</v>
      </c>
      <c r="BW98" s="9">
        <v>3</v>
      </c>
      <c r="BX98" s="9">
        <f>3.02+0.97+0.6</f>
        <v>4.59</v>
      </c>
      <c r="BY98" s="9">
        <v>3</v>
      </c>
      <c r="DB98" s="11">
        <v>2.82</v>
      </c>
      <c r="DC98" s="11">
        <v>1</v>
      </c>
      <c r="DD98" s="11">
        <v>1</v>
      </c>
      <c r="DE98" s="11"/>
      <c r="DF98" s="11">
        <f>0.93*2</f>
        <v>1.86</v>
      </c>
      <c r="DG98" s="11">
        <v>2</v>
      </c>
      <c r="DH98" s="11"/>
      <c r="DI98" s="11">
        <f>9.6+1.93</f>
        <v>11.53</v>
      </c>
      <c r="DJ98" s="11"/>
      <c r="DK98" s="11"/>
      <c r="DL98" s="11"/>
      <c r="DM98" s="11">
        <v>13.91</v>
      </c>
      <c r="DN98" s="11">
        <v>17.309999999999999</v>
      </c>
      <c r="DO98" s="11"/>
      <c r="DP98" s="11"/>
      <c r="DQ98" s="11">
        <v>0</v>
      </c>
      <c r="DR98" s="11">
        <v>0</v>
      </c>
      <c r="DS98" s="11">
        <v>0</v>
      </c>
      <c r="DT98" s="9">
        <v>0</v>
      </c>
    </row>
    <row r="99" spans="1:124" x14ac:dyDescent="0.2">
      <c r="A99" s="10">
        <v>42941</v>
      </c>
      <c r="B99" s="9" t="s">
        <v>141</v>
      </c>
      <c r="C99" s="9" t="s">
        <v>169</v>
      </c>
      <c r="D99" s="9" t="s">
        <v>173</v>
      </c>
      <c r="E99" s="9">
        <v>44</v>
      </c>
      <c r="F99" s="11">
        <v>75.8</v>
      </c>
      <c r="G99" s="11">
        <v>80.400000000000006</v>
      </c>
      <c r="H99" s="11">
        <v>12.2</v>
      </c>
      <c r="I99" s="9">
        <v>90.24</v>
      </c>
      <c r="J99" s="15">
        <v>0</v>
      </c>
      <c r="K99" s="9">
        <v>6.27</v>
      </c>
      <c r="L99" s="9">
        <v>0</v>
      </c>
      <c r="M99" s="9">
        <v>3.49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24.37</v>
      </c>
      <c r="V99" s="9">
        <v>32.21</v>
      </c>
      <c r="W99" s="9">
        <v>3.56</v>
      </c>
      <c r="X99" s="9">
        <v>0</v>
      </c>
      <c r="Y99" s="9">
        <v>0</v>
      </c>
      <c r="Z99" s="9">
        <v>0</v>
      </c>
      <c r="AM99" s="9">
        <v>20.3</v>
      </c>
      <c r="AN99" s="9">
        <v>1</v>
      </c>
      <c r="AO99" s="9">
        <v>30</v>
      </c>
      <c r="AP99" s="9">
        <v>4</v>
      </c>
      <c r="AQ99" s="9">
        <v>3.01</v>
      </c>
      <c r="AR99" s="9">
        <v>5</v>
      </c>
      <c r="AS99" s="9">
        <v>68</v>
      </c>
      <c r="AT99" s="9">
        <v>2</v>
      </c>
      <c r="AU99" s="9">
        <v>1.52</v>
      </c>
      <c r="AV99" s="9">
        <v>1</v>
      </c>
      <c r="AW99" s="9">
        <v>47</v>
      </c>
      <c r="AX99" s="9">
        <v>1</v>
      </c>
      <c r="AY99" s="12">
        <v>7.0000000000000007E-2</v>
      </c>
      <c r="AZ99" s="9">
        <v>3</v>
      </c>
      <c r="BQ99" s="9">
        <v>0</v>
      </c>
      <c r="DB99" s="11">
        <v>1.88</v>
      </c>
      <c r="DC99" s="11">
        <v>1</v>
      </c>
      <c r="DD99" s="11">
        <v>2</v>
      </c>
      <c r="DE99" s="11"/>
      <c r="DF99" s="11">
        <v>4.18</v>
      </c>
      <c r="DG99" s="11"/>
      <c r="DH99" s="11"/>
      <c r="DI99" s="11"/>
      <c r="DJ99" s="11"/>
      <c r="DK99" s="11"/>
      <c r="DL99" s="11"/>
      <c r="DM99" s="11">
        <v>7.15</v>
      </c>
      <c r="DN99" s="11">
        <v>6.06</v>
      </c>
      <c r="DO99" s="11"/>
      <c r="DP99" s="11"/>
      <c r="DQ99" s="11">
        <v>0</v>
      </c>
      <c r="DR99" s="11">
        <v>0</v>
      </c>
      <c r="DS99" s="11">
        <v>0</v>
      </c>
      <c r="DT99" s="9">
        <v>0</v>
      </c>
    </row>
    <row r="100" spans="1:124" x14ac:dyDescent="0.2">
      <c r="A100" s="10">
        <v>42941</v>
      </c>
      <c r="B100" s="9" t="s">
        <v>141</v>
      </c>
      <c r="C100" s="9" t="s">
        <v>169</v>
      </c>
      <c r="D100" s="9" t="s">
        <v>174</v>
      </c>
      <c r="E100" s="9">
        <v>47.5</v>
      </c>
      <c r="F100" s="11">
        <v>79.3</v>
      </c>
      <c r="G100" s="11">
        <v>80.400000000000006</v>
      </c>
      <c r="H100" s="11">
        <v>36.299999999999997</v>
      </c>
      <c r="I100" s="9">
        <v>66.23</v>
      </c>
      <c r="J100" s="15">
        <v>0</v>
      </c>
      <c r="K100" s="9">
        <v>33.770000000000003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38.369999999999997</v>
      </c>
      <c r="V100" s="9">
        <v>20.04</v>
      </c>
      <c r="W100" s="9">
        <v>11.21</v>
      </c>
      <c r="X100" s="9">
        <v>0</v>
      </c>
      <c r="Y100" s="9">
        <v>0</v>
      </c>
      <c r="Z100" s="9">
        <v>0</v>
      </c>
      <c r="AM100" s="9">
        <v>6.9</v>
      </c>
      <c r="AN100" s="9">
        <v>1</v>
      </c>
      <c r="AO100" s="9">
        <v>47</v>
      </c>
      <c r="AP100" s="9">
        <v>3</v>
      </c>
      <c r="AQ100" s="9">
        <f>0.11+0.74+0.08</f>
        <v>0.92999999999999994</v>
      </c>
      <c r="AR100" s="9">
        <v>3</v>
      </c>
      <c r="AS100" s="9">
        <v>68</v>
      </c>
      <c r="AT100" s="9">
        <v>1</v>
      </c>
      <c r="AU100" s="9">
        <v>0.76</v>
      </c>
      <c r="AV100" s="9">
        <v>1</v>
      </c>
      <c r="BQ100" s="9">
        <v>0</v>
      </c>
      <c r="DB100" s="11">
        <v>2.61</v>
      </c>
      <c r="DC100" s="11">
        <v>1</v>
      </c>
      <c r="DD100" s="11">
        <v>2</v>
      </c>
      <c r="DE100" s="11"/>
      <c r="DF100" s="11">
        <f>5.22+0.29</f>
        <v>5.51</v>
      </c>
      <c r="DG100" s="11">
        <v>2</v>
      </c>
      <c r="DH100" s="11"/>
      <c r="DI100" s="11">
        <f>0.61+3.74</f>
        <v>4.3500000000000005</v>
      </c>
      <c r="DJ100" s="11"/>
      <c r="DK100" s="11"/>
      <c r="DL100" s="11"/>
      <c r="DM100" s="11">
        <v>0</v>
      </c>
      <c r="DN100" s="11">
        <v>0</v>
      </c>
      <c r="DO100" s="11"/>
      <c r="DP100" s="11"/>
      <c r="DQ100" s="11">
        <v>0</v>
      </c>
      <c r="DR100" s="11">
        <v>0</v>
      </c>
      <c r="DS100" s="11">
        <v>0</v>
      </c>
      <c r="DT100" s="9">
        <v>0</v>
      </c>
    </row>
    <row r="101" spans="1:124" x14ac:dyDescent="0.2">
      <c r="A101" s="10">
        <v>42941</v>
      </c>
      <c r="B101" s="9" t="s">
        <v>141</v>
      </c>
      <c r="C101" s="9" t="s">
        <v>169</v>
      </c>
      <c r="D101" s="9" t="s">
        <v>175</v>
      </c>
      <c r="E101" s="9">
        <v>48</v>
      </c>
      <c r="F101" s="11">
        <v>66.2</v>
      </c>
      <c r="G101" s="11">
        <v>80.400000000000006</v>
      </c>
      <c r="H101" s="11">
        <v>40.1</v>
      </c>
      <c r="I101" s="9">
        <v>62.33</v>
      </c>
      <c r="J101" s="15">
        <v>0</v>
      </c>
      <c r="K101" s="9">
        <v>37.67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6.02</v>
      </c>
      <c r="V101" s="9">
        <v>19.5</v>
      </c>
      <c r="W101" s="9">
        <v>10.54</v>
      </c>
      <c r="X101" s="9">
        <v>0</v>
      </c>
      <c r="Y101" s="9">
        <v>0</v>
      </c>
      <c r="Z101" s="9">
        <v>0</v>
      </c>
      <c r="AM101" s="9">
        <v>4.5999999999999996</v>
      </c>
      <c r="AN101" s="9">
        <v>1</v>
      </c>
      <c r="AO101" s="9">
        <v>68</v>
      </c>
      <c r="AP101" s="9">
        <v>2</v>
      </c>
      <c r="AQ101" s="9">
        <v>1.5</v>
      </c>
      <c r="AR101" s="9">
        <v>1</v>
      </c>
      <c r="AS101" s="9">
        <v>35</v>
      </c>
      <c r="AT101" s="9">
        <v>1</v>
      </c>
      <c r="AU101" s="9">
        <v>0.45</v>
      </c>
      <c r="AV101" s="9">
        <v>3</v>
      </c>
      <c r="BQ101" s="9">
        <v>0</v>
      </c>
      <c r="DB101" s="11">
        <v>0</v>
      </c>
      <c r="DC101" s="11">
        <v>0</v>
      </c>
      <c r="DD101" s="11"/>
      <c r="DE101" s="11"/>
      <c r="DF101" s="11"/>
      <c r="DG101" s="11"/>
      <c r="DH101" s="11"/>
      <c r="DI101" s="11"/>
      <c r="DJ101" s="11"/>
      <c r="DK101" s="11"/>
      <c r="DL101" s="11"/>
      <c r="DM101" s="11">
        <v>1.88</v>
      </c>
      <c r="DN101" s="11">
        <v>1.88</v>
      </c>
      <c r="DO101" s="11"/>
      <c r="DP101" s="11"/>
      <c r="DQ101" s="11">
        <v>0</v>
      </c>
      <c r="DR101" s="11">
        <v>0</v>
      </c>
      <c r="DS101" s="11">
        <v>0</v>
      </c>
      <c r="DT101" s="9">
        <v>0</v>
      </c>
    </row>
    <row r="102" spans="1:124" x14ac:dyDescent="0.2">
      <c r="A102" s="10">
        <v>42941</v>
      </c>
      <c r="B102" s="9" t="s">
        <v>141</v>
      </c>
      <c r="C102" s="9" t="s">
        <v>169</v>
      </c>
      <c r="D102" s="9" t="s">
        <v>176</v>
      </c>
      <c r="E102" s="9">
        <v>25</v>
      </c>
      <c r="F102" s="11">
        <v>67</v>
      </c>
      <c r="G102" s="11">
        <v>80.400000000000006</v>
      </c>
      <c r="H102" s="11">
        <v>7.6</v>
      </c>
      <c r="I102" s="9">
        <v>97.19</v>
      </c>
      <c r="J102" s="15">
        <v>0</v>
      </c>
      <c r="K102" s="9">
        <v>0</v>
      </c>
      <c r="L102" s="9">
        <v>0</v>
      </c>
      <c r="M102" s="9">
        <v>2.81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4.6900000000000004</v>
      </c>
      <c r="V102" s="9">
        <v>46.88</v>
      </c>
      <c r="W102" s="9">
        <v>0</v>
      </c>
      <c r="X102" s="9">
        <v>0</v>
      </c>
      <c r="Y102" s="9">
        <v>11.6</v>
      </c>
      <c r="Z102" s="9">
        <v>2</v>
      </c>
      <c r="AA102" s="9">
        <v>5</v>
      </c>
      <c r="AC102" s="9">
        <v>1</v>
      </c>
      <c r="AG102" s="9">
        <v>5</v>
      </c>
      <c r="AI102" s="9">
        <v>1</v>
      </c>
      <c r="AM102" s="9">
        <v>0</v>
      </c>
      <c r="AN102" s="9">
        <v>1</v>
      </c>
      <c r="AO102" s="9">
        <v>34</v>
      </c>
      <c r="AP102" s="9">
        <v>4</v>
      </c>
      <c r="AQ102" s="9">
        <v>2.25</v>
      </c>
      <c r="AR102" s="9">
        <v>1</v>
      </c>
      <c r="BQ102" s="9">
        <v>0</v>
      </c>
      <c r="DB102" s="11">
        <v>0.01</v>
      </c>
      <c r="DC102" s="11">
        <v>1</v>
      </c>
      <c r="DD102" s="11">
        <v>1</v>
      </c>
      <c r="DE102" s="11"/>
      <c r="DF102" s="11">
        <v>0.14000000000000001</v>
      </c>
      <c r="DG102" s="11"/>
      <c r="DH102" s="11"/>
      <c r="DI102" s="11"/>
      <c r="DJ102" s="11"/>
      <c r="DK102" s="11"/>
      <c r="DL102" s="11"/>
      <c r="DM102" s="11">
        <v>5.7</v>
      </c>
      <c r="DN102" s="11">
        <v>0</v>
      </c>
      <c r="DO102" s="11"/>
      <c r="DP102" s="11"/>
      <c r="DQ102" s="11">
        <v>0</v>
      </c>
      <c r="DR102" s="11">
        <v>0</v>
      </c>
      <c r="DS102" s="11">
        <v>0</v>
      </c>
      <c r="DT102" s="9">
        <v>0</v>
      </c>
    </row>
    <row r="103" spans="1:124" x14ac:dyDescent="0.2">
      <c r="A103" s="10">
        <v>42941</v>
      </c>
      <c r="B103" s="9" t="s">
        <v>141</v>
      </c>
      <c r="C103" s="9" t="s">
        <v>170</v>
      </c>
      <c r="D103" s="9" t="s">
        <v>177</v>
      </c>
      <c r="E103" s="9">
        <v>34.5</v>
      </c>
      <c r="F103" s="11">
        <v>76.2</v>
      </c>
      <c r="G103" s="11">
        <v>80.400000000000006</v>
      </c>
      <c r="H103" s="11">
        <v>34.1</v>
      </c>
      <c r="I103" s="9">
        <v>70.97</v>
      </c>
      <c r="J103" s="15">
        <v>0</v>
      </c>
      <c r="K103" s="9">
        <v>11.02</v>
      </c>
      <c r="L103" s="9">
        <v>18.010000000000002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M103" s="9">
        <v>0</v>
      </c>
      <c r="AN103" s="9">
        <v>0</v>
      </c>
      <c r="BQ103" s="9">
        <v>0</v>
      </c>
      <c r="DB103" s="11">
        <v>0</v>
      </c>
      <c r="DC103" s="11">
        <v>0</v>
      </c>
      <c r="DD103" s="11"/>
      <c r="DE103" s="11"/>
      <c r="DF103" s="11"/>
      <c r="DG103" s="11"/>
      <c r="DH103" s="11"/>
      <c r="DI103" s="11"/>
      <c r="DJ103" s="11"/>
      <c r="DK103" s="11"/>
      <c r="DL103" s="11"/>
      <c r="DM103" s="11">
        <v>0</v>
      </c>
      <c r="DN103" s="11">
        <v>0</v>
      </c>
      <c r="DO103" s="11"/>
      <c r="DP103" s="11"/>
      <c r="DQ103" s="11">
        <v>0</v>
      </c>
      <c r="DR103" s="11">
        <v>0</v>
      </c>
      <c r="DS103" s="11">
        <v>0</v>
      </c>
      <c r="DT103" s="9">
        <v>0</v>
      </c>
    </row>
    <row r="104" spans="1:124" x14ac:dyDescent="0.2">
      <c r="A104" s="10">
        <v>42941</v>
      </c>
      <c r="B104" s="9" t="s">
        <v>141</v>
      </c>
      <c r="C104" s="9" t="s">
        <v>170</v>
      </c>
      <c r="D104" s="9" t="s">
        <v>178</v>
      </c>
      <c r="E104" s="9">
        <v>48.5</v>
      </c>
      <c r="F104" s="11">
        <v>67.900000000000006</v>
      </c>
      <c r="G104" s="11">
        <v>80.400000000000006</v>
      </c>
      <c r="H104" s="11">
        <v>24.3</v>
      </c>
      <c r="I104" s="9">
        <v>78.790000000000006</v>
      </c>
      <c r="J104" s="15">
        <v>0</v>
      </c>
      <c r="K104" s="9">
        <v>11.74</v>
      </c>
      <c r="L104" s="9">
        <v>9.4700000000000006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M104" s="9">
        <v>23.8</v>
      </c>
      <c r="AN104" s="9">
        <v>1</v>
      </c>
      <c r="AO104" s="9">
        <v>25</v>
      </c>
      <c r="AP104" s="9">
        <v>1</v>
      </c>
      <c r="AQ104" s="9">
        <v>0.06</v>
      </c>
      <c r="AR104" s="9">
        <v>2</v>
      </c>
      <c r="AS104" s="9">
        <v>47</v>
      </c>
      <c r="AT104" s="9">
        <v>4</v>
      </c>
      <c r="AU104" s="9">
        <f>1.52*2</f>
        <v>3.04</v>
      </c>
      <c r="AV104" s="9">
        <v>3</v>
      </c>
      <c r="BQ104" s="9">
        <v>0</v>
      </c>
      <c r="DB104" s="11">
        <v>0</v>
      </c>
      <c r="DC104" s="11">
        <v>0</v>
      </c>
      <c r="DD104" s="11"/>
      <c r="DE104" s="11"/>
      <c r="DF104" s="11"/>
      <c r="DG104" s="11"/>
      <c r="DH104" s="11"/>
      <c r="DI104" s="11"/>
      <c r="DJ104" s="11"/>
      <c r="DK104" s="11"/>
      <c r="DL104" s="11"/>
      <c r="DM104" s="11">
        <v>0</v>
      </c>
      <c r="DN104" s="11">
        <v>0</v>
      </c>
      <c r="DO104" s="11"/>
      <c r="DP104" s="11"/>
      <c r="DQ104" s="11">
        <v>0</v>
      </c>
      <c r="DR104" s="11">
        <v>0</v>
      </c>
      <c r="DS104" s="11">
        <v>0</v>
      </c>
      <c r="DT104" s="9">
        <v>0</v>
      </c>
    </row>
    <row r="105" spans="1:124" x14ac:dyDescent="0.2">
      <c r="A105" s="10">
        <v>42941</v>
      </c>
      <c r="B105" s="9" t="s">
        <v>141</v>
      </c>
      <c r="C105" s="9" t="s">
        <v>170</v>
      </c>
      <c r="D105" s="9" t="s">
        <v>179</v>
      </c>
      <c r="E105" s="9">
        <v>26.5</v>
      </c>
      <c r="F105" s="11">
        <v>82.8</v>
      </c>
      <c r="G105" s="11">
        <v>80.400000000000006</v>
      </c>
      <c r="H105" s="11">
        <v>26.4</v>
      </c>
      <c r="I105" s="9">
        <v>79.3</v>
      </c>
      <c r="J105" s="15">
        <v>0</v>
      </c>
      <c r="K105" s="9">
        <v>5.17</v>
      </c>
      <c r="L105" s="9">
        <v>15.52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2.73</v>
      </c>
      <c r="W105" s="9">
        <v>0</v>
      </c>
      <c r="X105" s="9">
        <v>0</v>
      </c>
      <c r="Y105" s="9">
        <v>0</v>
      </c>
      <c r="Z105" s="9">
        <v>0</v>
      </c>
      <c r="AM105" s="9">
        <v>0</v>
      </c>
      <c r="AN105" s="9">
        <v>1</v>
      </c>
      <c r="AO105" s="9">
        <v>68</v>
      </c>
      <c r="AP105" s="9">
        <v>1</v>
      </c>
      <c r="AQ105" s="9">
        <v>0.03</v>
      </c>
      <c r="AR105" s="9">
        <v>1</v>
      </c>
      <c r="BQ105" s="9">
        <v>0</v>
      </c>
      <c r="DB105" s="11">
        <v>0</v>
      </c>
      <c r="DC105" s="11">
        <v>0</v>
      </c>
      <c r="DD105" s="11"/>
      <c r="DE105" s="11"/>
      <c r="DF105" s="11"/>
      <c r="DG105" s="11"/>
      <c r="DH105" s="11"/>
      <c r="DI105" s="11"/>
      <c r="DJ105" s="11"/>
      <c r="DK105" s="11"/>
      <c r="DL105" s="11"/>
      <c r="DM105" s="11">
        <v>0.1</v>
      </c>
      <c r="DN105" s="11">
        <v>0.9</v>
      </c>
      <c r="DO105" s="11"/>
      <c r="DP105" s="11"/>
      <c r="DQ105" s="11">
        <v>0</v>
      </c>
      <c r="DR105" s="11">
        <v>0</v>
      </c>
      <c r="DS105" s="11">
        <v>0</v>
      </c>
      <c r="DT105" s="9">
        <v>0</v>
      </c>
    </row>
    <row r="106" spans="1:124" x14ac:dyDescent="0.2">
      <c r="A106" s="10">
        <v>42941</v>
      </c>
      <c r="B106" s="9" t="s">
        <v>141</v>
      </c>
      <c r="C106" s="9" t="s">
        <v>170</v>
      </c>
      <c r="D106" s="9" t="s">
        <v>180</v>
      </c>
      <c r="E106" s="9">
        <v>35</v>
      </c>
      <c r="F106" s="11">
        <v>85.3</v>
      </c>
      <c r="G106" s="11">
        <v>80.400000000000006</v>
      </c>
      <c r="H106" s="11">
        <v>29.7</v>
      </c>
      <c r="I106" s="9">
        <v>79.3</v>
      </c>
      <c r="J106" s="15">
        <v>0</v>
      </c>
      <c r="K106" s="9">
        <v>5.17</v>
      </c>
      <c r="L106" s="9">
        <v>15.52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T106" s="9">
        <v>0</v>
      </c>
      <c r="U106" s="9">
        <v>0</v>
      </c>
      <c r="V106" s="9">
        <v>7.06</v>
      </c>
      <c r="W106" s="9">
        <v>3.79</v>
      </c>
      <c r="X106" s="9">
        <v>0</v>
      </c>
      <c r="Y106" s="9">
        <v>0</v>
      </c>
      <c r="Z106" s="9">
        <v>1</v>
      </c>
      <c r="AA106" s="9">
        <v>2</v>
      </c>
      <c r="AC106" s="9">
        <v>1</v>
      </c>
      <c r="AG106" s="9">
        <v>2</v>
      </c>
      <c r="AI106" s="9">
        <v>1</v>
      </c>
      <c r="AM106" s="9">
        <v>5</v>
      </c>
      <c r="AN106" s="9">
        <v>1</v>
      </c>
      <c r="AO106" s="9">
        <v>68</v>
      </c>
      <c r="AP106" s="9">
        <v>6</v>
      </c>
      <c r="AQ106" s="9">
        <f>2.66+3.05</f>
        <v>5.71</v>
      </c>
      <c r="AR106" s="9">
        <v>1</v>
      </c>
      <c r="BQ106" s="9">
        <v>0</v>
      </c>
      <c r="DB106" s="11">
        <v>0</v>
      </c>
      <c r="DC106" s="11">
        <v>0</v>
      </c>
      <c r="DD106" s="11"/>
      <c r="DE106" s="11"/>
      <c r="DF106" s="11"/>
      <c r="DG106" s="11"/>
      <c r="DH106" s="11"/>
      <c r="DI106" s="11"/>
      <c r="DJ106" s="11"/>
      <c r="DK106" s="11"/>
      <c r="DL106" s="11"/>
      <c r="DM106" s="11">
        <v>0</v>
      </c>
      <c r="DN106" s="11">
        <v>0</v>
      </c>
      <c r="DO106" s="11"/>
      <c r="DP106" s="11"/>
      <c r="DQ106" s="11">
        <v>0</v>
      </c>
      <c r="DR106" s="11">
        <v>0</v>
      </c>
      <c r="DS106" s="11">
        <v>0</v>
      </c>
      <c r="DT106" s="9">
        <v>0</v>
      </c>
    </row>
    <row r="107" spans="1:124" x14ac:dyDescent="0.2">
      <c r="A107" s="10">
        <v>42941</v>
      </c>
      <c r="B107" s="9" t="s">
        <v>141</v>
      </c>
      <c r="C107" s="9" t="s">
        <v>170</v>
      </c>
      <c r="D107" s="9" t="s">
        <v>181</v>
      </c>
      <c r="E107" s="9">
        <v>36</v>
      </c>
      <c r="F107" s="11">
        <v>57.6</v>
      </c>
      <c r="G107" s="11">
        <v>80.400000000000006</v>
      </c>
      <c r="H107" s="11">
        <v>19.2</v>
      </c>
      <c r="I107" s="9">
        <v>83.43</v>
      </c>
      <c r="J107" s="15">
        <v>0</v>
      </c>
      <c r="K107" s="9">
        <v>0</v>
      </c>
      <c r="L107" s="9">
        <v>0</v>
      </c>
      <c r="M107" s="9">
        <v>16.57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3.13</v>
      </c>
      <c r="W107" s="9">
        <v>18.98</v>
      </c>
      <c r="X107" s="9">
        <v>0</v>
      </c>
      <c r="Y107" s="9">
        <v>0</v>
      </c>
      <c r="Z107" s="9">
        <v>0</v>
      </c>
      <c r="AM107" s="9">
        <v>0</v>
      </c>
      <c r="AN107" s="9">
        <v>1</v>
      </c>
      <c r="AO107" s="9">
        <v>10</v>
      </c>
      <c r="AP107" s="9">
        <v>1</v>
      </c>
      <c r="AQ107" s="9">
        <v>1.3</v>
      </c>
      <c r="AR107" s="9">
        <v>5</v>
      </c>
      <c r="BQ107" s="9">
        <v>0</v>
      </c>
      <c r="DB107" s="11">
        <v>0</v>
      </c>
      <c r="DC107" s="11">
        <v>0</v>
      </c>
      <c r="DD107" s="11"/>
      <c r="DE107" s="11"/>
      <c r="DF107" s="11"/>
      <c r="DG107" s="11"/>
      <c r="DH107" s="11"/>
      <c r="DI107" s="11"/>
      <c r="DJ107" s="11"/>
      <c r="DK107" s="11"/>
      <c r="DL107" s="11"/>
      <c r="DM107" s="11">
        <v>6.14</v>
      </c>
      <c r="DN107" s="11">
        <v>13.2</v>
      </c>
      <c r="DO107" s="11"/>
      <c r="DP107" s="11"/>
      <c r="DQ107" s="11">
        <v>10</v>
      </c>
      <c r="DR107" s="11">
        <v>8.19</v>
      </c>
      <c r="DS107" s="11">
        <v>0</v>
      </c>
      <c r="DT107" s="9">
        <v>1</v>
      </c>
    </row>
    <row r="108" spans="1:124" x14ac:dyDescent="0.2">
      <c r="A108" s="10">
        <v>42941</v>
      </c>
      <c r="B108" s="9" t="s">
        <v>141</v>
      </c>
      <c r="C108" s="9" t="s">
        <v>170</v>
      </c>
      <c r="D108" s="9" t="s">
        <v>182</v>
      </c>
      <c r="E108" s="9">
        <v>2.5</v>
      </c>
      <c r="F108" s="11">
        <v>89.5</v>
      </c>
      <c r="G108" s="11">
        <v>80.400000000000006</v>
      </c>
      <c r="H108" s="11">
        <v>2.2000000000000002</v>
      </c>
      <c r="I108" s="9">
        <v>98.4</v>
      </c>
      <c r="J108" s="15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M108" s="9">
        <v>0</v>
      </c>
      <c r="AN108" s="9">
        <v>0</v>
      </c>
      <c r="BQ108" s="9">
        <v>0</v>
      </c>
      <c r="DB108" s="11">
        <v>0</v>
      </c>
      <c r="DC108" s="11">
        <v>0</v>
      </c>
      <c r="DD108" s="11"/>
      <c r="DE108" s="11"/>
      <c r="DF108" s="11"/>
      <c r="DG108" s="11"/>
      <c r="DH108" s="11"/>
      <c r="DI108" s="11"/>
      <c r="DJ108" s="11"/>
      <c r="DK108" s="11"/>
      <c r="DL108" s="11"/>
      <c r="DM108" s="11">
        <v>0</v>
      </c>
      <c r="DN108" s="11">
        <v>0</v>
      </c>
      <c r="DO108" s="11"/>
      <c r="DP108" s="11"/>
      <c r="DQ108" s="11">
        <v>0</v>
      </c>
      <c r="DR108" s="11">
        <v>0</v>
      </c>
      <c r="DS108" s="11">
        <v>0</v>
      </c>
      <c r="DT108" s="9">
        <v>0</v>
      </c>
    </row>
    <row r="109" spans="1:124" x14ac:dyDescent="0.2">
      <c r="A109" s="10">
        <v>42941</v>
      </c>
      <c r="B109" s="9" t="s">
        <v>141</v>
      </c>
      <c r="C109" s="9" t="s">
        <v>170</v>
      </c>
      <c r="D109" s="9" t="s">
        <v>183</v>
      </c>
      <c r="E109" s="9">
        <v>20</v>
      </c>
      <c r="F109" s="11">
        <v>86.3</v>
      </c>
      <c r="G109" s="11">
        <v>80.400000000000006</v>
      </c>
      <c r="H109" s="11">
        <v>9.4</v>
      </c>
      <c r="I109" s="9">
        <v>99.87</v>
      </c>
      <c r="J109" s="15">
        <v>0</v>
      </c>
      <c r="K109" s="9">
        <v>0</v>
      </c>
      <c r="L109" s="9">
        <v>0</v>
      </c>
      <c r="M109" s="9">
        <v>0.13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25.58</v>
      </c>
      <c r="W109" s="9">
        <v>13.58</v>
      </c>
      <c r="X109" s="9">
        <v>0</v>
      </c>
      <c r="Y109" s="9">
        <v>0</v>
      </c>
      <c r="Z109" s="9">
        <v>0</v>
      </c>
      <c r="AM109" s="9">
        <v>4.2</v>
      </c>
      <c r="AN109" s="9">
        <v>1</v>
      </c>
      <c r="AO109" s="9">
        <v>68</v>
      </c>
      <c r="AP109" s="9">
        <v>5</v>
      </c>
      <c r="AQ109" s="9">
        <f>0.4+2.28</f>
        <v>2.6799999999999997</v>
      </c>
      <c r="AR109" s="9">
        <v>1</v>
      </c>
      <c r="BQ109" s="9">
        <v>0</v>
      </c>
      <c r="DB109" s="11">
        <v>2.2799999999999998</v>
      </c>
      <c r="DC109" s="11">
        <v>1</v>
      </c>
      <c r="DD109" s="11">
        <v>2</v>
      </c>
      <c r="DE109" s="11"/>
      <c r="DF109" s="11">
        <f>2.24+0.09+12.69</f>
        <v>15.02</v>
      </c>
      <c r="DG109" s="11"/>
      <c r="DH109" s="11"/>
      <c r="DI109" s="11"/>
      <c r="DJ109" s="11"/>
      <c r="DK109" s="11"/>
      <c r="DL109" s="11"/>
      <c r="DM109" s="11">
        <v>0</v>
      </c>
      <c r="DN109" s="11">
        <v>0</v>
      </c>
      <c r="DO109" s="11"/>
      <c r="DP109" s="11"/>
      <c r="DQ109" s="11">
        <v>3.73</v>
      </c>
      <c r="DR109" s="11">
        <v>0.14000000000000001</v>
      </c>
      <c r="DS109" s="11">
        <v>0</v>
      </c>
      <c r="DT109" s="9">
        <v>0</v>
      </c>
    </row>
    <row r="110" spans="1:124" x14ac:dyDescent="0.2">
      <c r="A110" s="10">
        <v>42941</v>
      </c>
      <c r="B110" s="9" t="s">
        <v>141</v>
      </c>
      <c r="C110" s="9" t="s">
        <v>170</v>
      </c>
      <c r="D110" s="9" t="s">
        <v>184</v>
      </c>
      <c r="E110" s="9">
        <v>16</v>
      </c>
      <c r="F110" s="11">
        <v>71.599999999999994</v>
      </c>
      <c r="G110" s="11">
        <v>80.400000000000006</v>
      </c>
      <c r="H110" s="11">
        <v>9.8000000000000007</v>
      </c>
      <c r="I110" s="9">
        <v>100</v>
      </c>
      <c r="J110" s="15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16.12</v>
      </c>
      <c r="W110" s="9">
        <v>13.45</v>
      </c>
      <c r="X110" s="9">
        <v>0</v>
      </c>
      <c r="Y110" s="9">
        <v>0</v>
      </c>
      <c r="Z110" s="9">
        <v>0</v>
      </c>
      <c r="AM110" s="9">
        <v>3.9</v>
      </c>
      <c r="AN110" s="9">
        <v>1</v>
      </c>
      <c r="AO110" s="9">
        <v>68</v>
      </c>
      <c r="AP110" s="9">
        <v>5</v>
      </c>
      <c r="AQ110" s="9">
        <f>0.4+2.28</f>
        <v>2.6799999999999997</v>
      </c>
      <c r="AR110" s="9">
        <v>1</v>
      </c>
      <c r="BQ110" s="9">
        <v>0</v>
      </c>
      <c r="DB110" s="11">
        <v>2.2400000000000002</v>
      </c>
      <c r="DC110" s="11">
        <v>1</v>
      </c>
      <c r="DD110" s="11">
        <v>2</v>
      </c>
      <c r="DE110" s="11"/>
      <c r="DF110" s="11">
        <f>2.24+12.69</f>
        <v>14.93</v>
      </c>
      <c r="DG110" s="11"/>
      <c r="DH110" s="11"/>
      <c r="DI110" s="11"/>
      <c r="DJ110" s="11"/>
      <c r="DK110" s="11"/>
      <c r="DL110" s="11"/>
      <c r="DM110" s="11">
        <v>0</v>
      </c>
      <c r="DN110" s="11">
        <v>0</v>
      </c>
      <c r="DO110" s="11"/>
      <c r="DP110" s="11"/>
      <c r="DQ110" s="11">
        <v>0</v>
      </c>
      <c r="DR110" s="11">
        <v>0</v>
      </c>
      <c r="DS110" s="11">
        <v>0</v>
      </c>
      <c r="DT110" s="9">
        <v>0</v>
      </c>
    </row>
    <row r="111" spans="1:124" x14ac:dyDescent="0.2">
      <c r="A111" s="10">
        <v>42941</v>
      </c>
      <c r="B111" s="9" t="s">
        <v>141</v>
      </c>
      <c r="C111" s="9" t="s">
        <v>170</v>
      </c>
      <c r="D111" s="9" t="s">
        <v>185</v>
      </c>
      <c r="E111" s="9">
        <v>35.5</v>
      </c>
      <c r="F111" s="11">
        <v>66.900000000000006</v>
      </c>
      <c r="G111" s="11">
        <v>80.400000000000006</v>
      </c>
      <c r="H111" s="11">
        <v>32.5</v>
      </c>
      <c r="I111" s="9">
        <v>74.48</v>
      </c>
      <c r="J111" s="15">
        <v>0</v>
      </c>
      <c r="K111" s="9">
        <v>0.78</v>
      </c>
      <c r="L111" s="9">
        <v>23.49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1.24</v>
      </c>
      <c r="V111" s="9">
        <v>0.78</v>
      </c>
      <c r="W111" s="9">
        <v>0</v>
      </c>
      <c r="X111" s="9">
        <v>0</v>
      </c>
      <c r="Y111" s="9">
        <v>0</v>
      </c>
      <c r="Z111" s="9">
        <v>0</v>
      </c>
      <c r="AM111" s="9">
        <v>0</v>
      </c>
      <c r="AN111" s="9">
        <v>0</v>
      </c>
      <c r="BQ111" s="9">
        <v>0</v>
      </c>
      <c r="DB111" s="11">
        <v>1.1200000000000001</v>
      </c>
      <c r="DC111" s="11">
        <v>1</v>
      </c>
      <c r="DD111" s="11">
        <v>2</v>
      </c>
      <c r="DE111" s="11"/>
      <c r="DF111" s="11">
        <f>0.19+1.59</f>
        <v>1.78</v>
      </c>
      <c r="DG111" s="11"/>
      <c r="DH111" s="11"/>
      <c r="DI111" s="11"/>
      <c r="DJ111" s="11"/>
      <c r="DK111" s="11"/>
      <c r="DL111" s="11"/>
      <c r="DM111" s="11">
        <v>1.77</v>
      </c>
      <c r="DN111" s="11">
        <v>1.78</v>
      </c>
      <c r="DO111" s="11"/>
      <c r="DP111" s="11"/>
      <c r="DQ111" s="11">
        <v>0</v>
      </c>
      <c r="DR111" s="11">
        <v>0</v>
      </c>
      <c r="DS111" s="11">
        <v>0</v>
      </c>
      <c r="DT111" s="9">
        <v>0</v>
      </c>
    </row>
    <row r="112" spans="1:124" x14ac:dyDescent="0.2">
      <c r="A112" s="10">
        <v>42941</v>
      </c>
      <c r="B112" s="9" t="s">
        <v>141</v>
      </c>
      <c r="C112" s="9" t="s">
        <v>171</v>
      </c>
      <c r="D112" s="9" t="s">
        <v>186</v>
      </c>
      <c r="E112" s="9">
        <v>70</v>
      </c>
      <c r="F112" s="11">
        <v>79.8</v>
      </c>
      <c r="G112" s="11">
        <v>80.400000000000006</v>
      </c>
      <c r="H112" s="11">
        <v>62.1</v>
      </c>
      <c r="I112" s="9">
        <v>39.51</v>
      </c>
      <c r="J112" s="15">
        <v>0</v>
      </c>
      <c r="K112" s="9">
        <v>47.45</v>
      </c>
      <c r="L112" s="9">
        <v>13.05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30.76</v>
      </c>
      <c r="W112" s="9">
        <v>14.19</v>
      </c>
      <c r="X112" s="9">
        <v>0</v>
      </c>
      <c r="Y112" s="9">
        <v>0</v>
      </c>
      <c r="Z112" s="9">
        <v>0</v>
      </c>
      <c r="AM112" s="9">
        <v>0.3</v>
      </c>
      <c r="AN112" s="9">
        <v>1</v>
      </c>
      <c r="AO112" s="9">
        <v>68</v>
      </c>
      <c r="AP112" s="9">
        <v>1</v>
      </c>
      <c r="AQ112" s="9">
        <v>0.13</v>
      </c>
      <c r="AR112" s="9">
        <v>1</v>
      </c>
      <c r="BQ112" s="9">
        <v>0</v>
      </c>
      <c r="DB112" s="11">
        <v>0.63</v>
      </c>
      <c r="DC112" s="11">
        <v>1</v>
      </c>
      <c r="DD112" s="11">
        <v>1</v>
      </c>
      <c r="DE112" s="11"/>
      <c r="DF112" s="11">
        <v>1.52</v>
      </c>
      <c r="DG112" s="11"/>
      <c r="DH112" s="11"/>
      <c r="DI112" s="11"/>
      <c r="DJ112" s="11"/>
      <c r="DK112" s="11"/>
      <c r="DL112" s="11"/>
      <c r="DM112" s="11">
        <v>3.55</v>
      </c>
      <c r="DN112" s="11">
        <v>4.46</v>
      </c>
      <c r="DO112" s="11"/>
      <c r="DP112" s="11"/>
      <c r="DQ112" s="11">
        <v>0</v>
      </c>
      <c r="DR112" s="11">
        <v>0</v>
      </c>
      <c r="DS112" s="11">
        <v>0</v>
      </c>
      <c r="DT112" s="9">
        <v>0</v>
      </c>
    </row>
    <row r="113" spans="1:124" x14ac:dyDescent="0.2">
      <c r="A113" s="10">
        <v>42941</v>
      </c>
      <c r="B113" s="9" t="s">
        <v>141</v>
      </c>
      <c r="C113" s="9" t="s">
        <v>171</v>
      </c>
      <c r="D113" s="9" t="s">
        <v>187</v>
      </c>
      <c r="E113" s="9">
        <v>95.5</v>
      </c>
      <c r="F113" s="11">
        <v>99.1</v>
      </c>
      <c r="G113" s="11">
        <v>80.400000000000006</v>
      </c>
      <c r="H113" s="11">
        <v>90.4</v>
      </c>
      <c r="I113" s="9">
        <v>24.15</v>
      </c>
      <c r="J113" s="15">
        <v>0</v>
      </c>
      <c r="K113" s="9">
        <v>31.26</v>
      </c>
      <c r="L113" s="9">
        <v>44.6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24.75</v>
      </c>
      <c r="W113" s="9">
        <v>2.4700000000000002</v>
      </c>
      <c r="X113" s="9">
        <v>0</v>
      </c>
      <c r="Y113" s="9">
        <v>0</v>
      </c>
      <c r="Z113" s="9">
        <v>0</v>
      </c>
      <c r="AM113" s="9">
        <v>0.2</v>
      </c>
      <c r="AN113" s="9">
        <v>1</v>
      </c>
      <c r="AO113" s="9">
        <v>34</v>
      </c>
      <c r="AP113" s="9">
        <v>16</v>
      </c>
      <c r="AQ113" s="9">
        <f>6.09+1.07</f>
        <v>7.16</v>
      </c>
      <c r="AR113" s="9">
        <v>1</v>
      </c>
      <c r="AS113" s="9">
        <v>68</v>
      </c>
      <c r="AT113" s="9">
        <v>1</v>
      </c>
      <c r="AU113" s="9">
        <v>0.13</v>
      </c>
      <c r="AV113" s="9">
        <v>1</v>
      </c>
      <c r="BQ113" s="9">
        <v>0</v>
      </c>
      <c r="DB113" s="11">
        <v>0.63</v>
      </c>
      <c r="DC113" s="11">
        <v>1</v>
      </c>
      <c r="DD113" s="11">
        <v>1</v>
      </c>
      <c r="DE113" s="11"/>
      <c r="DF113" s="11">
        <v>1.52</v>
      </c>
      <c r="DG113" s="11"/>
      <c r="DH113" s="11"/>
      <c r="DI113" s="11"/>
      <c r="DJ113" s="11"/>
      <c r="DK113" s="11"/>
      <c r="DL113" s="11"/>
      <c r="DM113" s="11">
        <v>0</v>
      </c>
      <c r="DN113" s="11">
        <v>0</v>
      </c>
      <c r="DO113" s="11"/>
      <c r="DP113" s="11"/>
      <c r="DQ113" s="11">
        <v>0</v>
      </c>
      <c r="DR113" s="11">
        <v>0</v>
      </c>
      <c r="DS113" s="11">
        <v>0</v>
      </c>
      <c r="DT113" s="9">
        <v>0</v>
      </c>
    </row>
    <row r="114" spans="1:124" x14ac:dyDescent="0.2">
      <c r="A114" s="10">
        <v>42941</v>
      </c>
      <c r="B114" s="9" t="s">
        <v>141</v>
      </c>
      <c r="C114" s="9" t="s">
        <v>171</v>
      </c>
      <c r="D114" s="9" t="s">
        <v>188</v>
      </c>
      <c r="E114" s="9">
        <v>61.5</v>
      </c>
      <c r="F114" s="11">
        <v>83.5</v>
      </c>
      <c r="G114" s="11">
        <v>80.400000000000006</v>
      </c>
      <c r="H114" s="11">
        <v>56.1</v>
      </c>
      <c r="I114" s="9">
        <v>51.73</v>
      </c>
      <c r="J114" s="15">
        <v>0</v>
      </c>
      <c r="K114" s="9">
        <v>30.08</v>
      </c>
      <c r="L114" s="9">
        <v>18.190000000000001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0.3</v>
      </c>
      <c r="V114" s="9">
        <v>27.59</v>
      </c>
      <c r="W114" s="9">
        <v>0</v>
      </c>
      <c r="X114" s="9">
        <v>0</v>
      </c>
      <c r="Y114" s="9">
        <v>0</v>
      </c>
      <c r="Z114" s="9">
        <v>0</v>
      </c>
      <c r="AM114" s="9">
        <v>0</v>
      </c>
      <c r="AN114" s="9">
        <v>0</v>
      </c>
      <c r="BQ114" s="9">
        <v>0</v>
      </c>
      <c r="DB114" s="11">
        <v>1.96</v>
      </c>
      <c r="DC114" s="11">
        <v>1</v>
      </c>
      <c r="DD114" s="11">
        <v>1</v>
      </c>
      <c r="DE114" s="11"/>
      <c r="DF114" s="11">
        <f>5.53+3.68+1.71+1.12+0.74</f>
        <v>12.780000000000003</v>
      </c>
      <c r="DG114" s="11"/>
      <c r="DH114" s="11"/>
      <c r="DI114" s="11"/>
      <c r="DJ114" s="11"/>
      <c r="DK114" s="11"/>
      <c r="DL114" s="11"/>
      <c r="DM114" s="11">
        <v>0.94</v>
      </c>
      <c r="DN114" s="11">
        <v>0.94</v>
      </c>
      <c r="DO114" s="11"/>
      <c r="DP114" s="11"/>
      <c r="DQ114" s="11">
        <v>0</v>
      </c>
      <c r="DR114" s="11">
        <v>0</v>
      </c>
      <c r="DS114" s="11">
        <v>0</v>
      </c>
      <c r="DT114" s="9">
        <v>0</v>
      </c>
    </row>
    <row r="115" spans="1:124" x14ac:dyDescent="0.2">
      <c r="A115" s="10">
        <v>42941</v>
      </c>
      <c r="B115" s="9" t="s">
        <v>141</v>
      </c>
      <c r="C115" s="9" t="s">
        <v>171</v>
      </c>
      <c r="D115" s="9" t="s">
        <v>189</v>
      </c>
      <c r="E115" s="9">
        <v>77.5</v>
      </c>
      <c r="F115" s="11">
        <v>87.4</v>
      </c>
      <c r="G115" s="11">
        <v>80.400000000000006</v>
      </c>
      <c r="H115" s="11">
        <v>53.5</v>
      </c>
      <c r="I115" s="9">
        <v>51.28</v>
      </c>
      <c r="J115" s="15">
        <v>0</v>
      </c>
      <c r="K115" s="9">
        <v>27.27</v>
      </c>
      <c r="L115" s="9">
        <v>21.22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5.93</v>
      </c>
      <c r="V115" s="9">
        <v>4.6100000000000003</v>
      </c>
      <c r="W115" s="9">
        <v>5.38</v>
      </c>
      <c r="X115" s="9">
        <v>0</v>
      </c>
      <c r="Y115" s="9">
        <v>15.4</v>
      </c>
      <c r="Z115" s="9">
        <v>1</v>
      </c>
      <c r="AA115" s="9">
        <v>4</v>
      </c>
      <c r="AC115" s="9">
        <v>2</v>
      </c>
      <c r="AG115" s="9">
        <v>4</v>
      </c>
      <c r="AI115" s="9">
        <v>2</v>
      </c>
      <c r="AM115" s="9">
        <v>6.7</v>
      </c>
      <c r="AN115" s="9">
        <v>1</v>
      </c>
      <c r="AO115" s="9">
        <v>35</v>
      </c>
      <c r="AP115" s="9">
        <v>6</v>
      </c>
      <c r="AQ115" s="9">
        <v>0.8</v>
      </c>
      <c r="AR115" s="9">
        <v>3</v>
      </c>
      <c r="AS115" s="9">
        <v>47</v>
      </c>
      <c r="AT115" s="9">
        <v>1</v>
      </c>
      <c r="AU115" s="9">
        <v>0.13</v>
      </c>
      <c r="AV115" s="9">
        <v>3</v>
      </c>
      <c r="BQ115" s="9">
        <v>1</v>
      </c>
      <c r="BR115" s="9">
        <v>60</v>
      </c>
      <c r="BS115" s="9">
        <v>3</v>
      </c>
      <c r="BT115" s="9">
        <v>1.35</v>
      </c>
      <c r="BU115" s="9">
        <v>2</v>
      </c>
      <c r="DB115" s="11">
        <v>0</v>
      </c>
      <c r="DC115" s="11">
        <v>0</v>
      </c>
      <c r="DD115" s="11"/>
      <c r="DE115" s="11"/>
      <c r="DF115" s="11"/>
      <c r="DG115" s="11"/>
      <c r="DH115" s="11"/>
      <c r="DI115" s="11"/>
      <c r="DJ115" s="11"/>
      <c r="DK115" s="11"/>
      <c r="DL115" s="11"/>
      <c r="DM115" s="11">
        <v>0</v>
      </c>
      <c r="DN115" s="11">
        <v>0</v>
      </c>
      <c r="DO115" s="11"/>
      <c r="DP115" s="11"/>
      <c r="DQ115" s="11">
        <v>0</v>
      </c>
      <c r="DR115" s="11">
        <v>0</v>
      </c>
      <c r="DS115" s="11">
        <v>0</v>
      </c>
      <c r="DT115" s="9">
        <v>0</v>
      </c>
    </row>
    <row r="116" spans="1:124" x14ac:dyDescent="0.2">
      <c r="A116" s="10">
        <v>42941</v>
      </c>
      <c r="B116" s="9" t="s">
        <v>141</v>
      </c>
      <c r="C116" s="9" t="s">
        <v>171</v>
      </c>
      <c r="D116" s="9" t="s">
        <v>190</v>
      </c>
      <c r="E116" s="9">
        <v>44</v>
      </c>
      <c r="F116" s="11">
        <v>69.900000000000006</v>
      </c>
      <c r="G116" s="11">
        <v>80.400000000000006</v>
      </c>
      <c r="H116" s="11">
        <v>41</v>
      </c>
      <c r="I116" s="9">
        <v>68.16</v>
      </c>
      <c r="J116" s="15">
        <v>0</v>
      </c>
      <c r="K116" s="9">
        <v>11.52</v>
      </c>
      <c r="L116" s="9">
        <v>20.32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13.13</v>
      </c>
      <c r="V116" s="9">
        <v>8.66</v>
      </c>
      <c r="W116" s="9">
        <v>0</v>
      </c>
      <c r="X116" s="9">
        <v>0</v>
      </c>
      <c r="Y116" s="9">
        <v>0</v>
      </c>
      <c r="Z116" s="9">
        <v>0</v>
      </c>
      <c r="AM116" s="9">
        <v>1.5</v>
      </c>
      <c r="AN116" s="9">
        <v>1</v>
      </c>
      <c r="AO116" s="9">
        <v>47</v>
      </c>
      <c r="AP116" s="9">
        <v>5</v>
      </c>
      <c r="AQ116" s="9">
        <f>0.15+0.04</f>
        <v>0.19</v>
      </c>
      <c r="AR116" s="9">
        <v>3</v>
      </c>
      <c r="AS116" s="9">
        <v>25</v>
      </c>
      <c r="AT116" s="9">
        <v>1</v>
      </c>
      <c r="AU116" s="9">
        <v>0.4</v>
      </c>
      <c r="AV116" s="9">
        <v>1</v>
      </c>
      <c r="BQ116" s="9">
        <v>0</v>
      </c>
      <c r="DB116" s="11">
        <v>0.11</v>
      </c>
      <c r="DC116" s="11">
        <v>1</v>
      </c>
      <c r="DD116" s="11">
        <v>1</v>
      </c>
      <c r="DE116" s="11"/>
      <c r="DF116" s="11">
        <v>0.56000000000000005</v>
      </c>
      <c r="DG116" s="11"/>
      <c r="DH116" s="11"/>
      <c r="DI116" s="11"/>
      <c r="DJ116" s="11"/>
      <c r="DK116" s="11"/>
      <c r="DL116" s="11"/>
      <c r="DM116" s="11">
        <v>0</v>
      </c>
      <c r="DN116" s="11">
        <v>0</v>
      </c>
      <c r="DO116" s="11"/>
      <c r="DP116" s="11"/>
      <c r="DQ116" s="11">
        <v>0</v>
      </c>
      <c r="DR116" s="11">
        <v>0</v>
      </c>
      <c r="DS116" s="11">
        <v>0</v>
      </c>
      <c r="DT116" s="9">
        <v>0</v>
      </c>
    </row>
    <row r="117" spans="1:124" x14ac:dyDescent="0.2">
      <c r="A117" s="10">
        <v>42941</v>
      </c>
      <c r="B117" s="9" t="s">
        <v>141</v>
      </c>
      <c r="C117" s="9" t="s">
        <v>171</v>
      </c>
      <c r="D117" s="9" t="s">
        <v>191</v>
      </c>
      <c r="E117" s="9">
        <v>43</v>
      </c>
      <c r="F117" s="11">
        <v>49.3</v>
      </c>
      <c r="G117" s="11">
        <v>80.400000000000006</v>
      </c>
      <c r="H117" s="11">
        <v>32.9</v>
      </c>
      <c r="I117" s="9">
        <v>73.52</v>
      </c>
      <c r="J117" s="15">
        <v>0</v>
      </c>
      <c r="K117" s="9">
        <v>16.84</v>
      </c>
      <c r="L117" s="9">
        <v>9.64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13.52</v>
      </c>
      <c r="V117" s="9">
        <v>3.69</v>
      </c>
      <c r="W117" s="9">
        <v>3.85</v>
      </c>
      <c r="X117" s="9">
        <v>0</v>
      </c>
      <c r="Y117" s="9">
        <v>0</v>
      </c>
      <c r="Z117" s="9">
        <v>0</v>
      </c>
      <c r="AM117" s="9">
        <v>7.4</v>
      </c>
      <c r="AN117" s="9">
        <v>1</v>
      </c>
      <c r="AO117" s="9">
        <v>47</v>
      </c>
      <c r="AP117" s="9">
        <v>11</v>
      </c>
      <c r="AQ117" s="9">
        <f>2.09+0.15+0.04</f>
        <v>2.2799999999999998</v>
      </c>
      <c r="AR117" s="9">
        <v>3</v>
      </c>
      <c r="BQ117" s="9">
        <v>0</v>
      </c>
      <c r="DB117" s="11">
        <v>0.28000000000000003</v>
      </c>
      <c r="DC117" s="11">
        <v>1</v>
      </c>
      <c r="DD117" s="11">
        <v>1</v>
      </c>
      <c r="DE117" s="11"/>
      <c r="DF117" s="11">
        <v>0.56000000000000005</v>
      </c>
      <c r="DG117" s="11"/>
      <c r="DH117" s="11"/>
      <c r="DI117" s="11"/>
      <c r="DJ117" s="11"/>
      <c r="DK117" s="11"/>
      <c r="DL117" s="11"/>
      <c r="DM117" s="11">
        <v>0.99</v>
      </c>
      <c r="DN117" s="11">
        <v>0.39</v>
      </c>
      <c r="DO117" s="11"/>
      <c r="DP117" s="11"/>
      <c r="DQ117" s="11">
        <v>0</v>
      </c>
      <c r="DR117" s="11">
        <v>0</v>
      </c>
      <c r="DS117" s="11">
        <v>0</v>
      </c>
      <c r="DT117" s="9">
        <v>0</v>
      </c>
    </row>
    <row r="118" spans="1:124" x14ac:dyDescent="0.2">
      <c r="A118" s="10">
        <v>42941</v>
      </c>
      <c r="B118" s="9" t="s">
        <v>141</v>
      </c>
      <c r="C118" s="9" t="s">
        <v>171</v>
      </c>
      <c r="D118" s="9">
        <v>56</v>
      </c>
      <c r="E118" s="9">
        <v>26.5</v>
      </c>
      <c r="F118" s="11">
        <v>66.099999999999994</v>
      </c>
      <c r="G118" s="11">
        <v>80.400000000000006</v>
      </c>
      <c r="H118" s="11">
        <v>15</v>
      </c>
      <c r="I118" s="9">
        <v>89</v>
      </c>
      <c r="J118" s="15">
        <v>0</v>
      </c>
      <c r="K118" s="9">
        <v>7.09</v>
      </c>
      <c r="L118" s="9">
        <v>2.12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4.26</v>
      </c>
      <c r="V118" s="9">
        <v>32.68</v>
      </c>
      <c r="W118" s="9">
        <v>1.91</v>
      </c>
      <c r="X118" s="9">
        <v>0</v>
      </c>
      <c r="Y118" s="9">
        <v>0</v>
      </c>
      <c r="Z118" s="9">
        <v>0</v>
      </c>
      <c r="AM118" s="9">
        <v>0</v>
      </c>
      <c r="AN118" s="9">
        <v>0</v>
      </c>
      <c r="BQ118" s="9">
        <v>0</v>
      </c>
      <c r="DB118" s="11">
        <v>3.52</v>
      </c>
      <c r="DC118" s="11">
        <v>1</v>
      </c>
      <c r="DD118" s="11">
        <v>1</v>
      </c>
      <c r="DE118" s="11"/>
      <c r="DF118" s="11">
        <f>3.13+3.17*4</f>
        <v>15.809999999999999</v>
      </c>
      <c r="DG118" s="11">
        <v>2</v>
      </c>
      <c r="DH118" s="11"/>
      <c r="DI118" s="11">
        <v>0.87</v>
      </c>
      <c r="DJ118" s="11"/>
      <c r="DK118" s="11"/>
      <c r="DL118" s="11"/>
      <c r="DM118" s="11">
        <v>5.36</v>
      </c>
      <c r="DN118" s="11">
        <v>8.39</v>
      </c>
      <c r="DO118" s="11"/>
      <c r="DP118" s="11"/>
      <c r="DQ118" s="11">
        <v>0</v>
      </c>
      <c r="DR118" s="11">
        <v>0</v>
      </c>
      <c r="DS118" s="11">
        <v>0</v>
      </c>
      <c r="DT118" s="9">
        <v>0</v>
      </c>
    </row>
    <row r="119" spans="1:124" x14ac:dyDescent="0.2">
      <c r="A119" s="10">
        <v>42941</v>
      </c>
      <c r="B119" s="9" t="s">
        <v>141</v>
      </c>
      <c r="C119" s="9" t="s">
        <v>171</v>
      </c>
      <c r="D119" s="9" t="s">
        <v>192</v>
      </c>
      <c r="E119" s="9">
        <v>35.5</v>
      </c>
      <c r="F119" s="11">
        <v>84</v>
      </c>
      <c r="G119" s="11">
        <v>80.400000000000006</v>
      </c>
      <c r="H119" s="11">
        <v>10.5</v>
      </c>
      <c r="I119" s="9">
        <v>95.42</v>
      </c>
      <c r="J119" s="15">
        <v>0</v>
      </c>
      <c r="K119" s="9">
        <v>4.58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17.829999999999998</v>
      </c>
      <c r="V119" s="9">
        <v>40.99</v>
      </c>
      <c r="W119" s="9">
        <v>9.34</v>
      </c>
      <c r="X119" s="9">
        <v>0</v>
      </c>
      <c r="Y119" s="9">
        <v>0</v>
      </c>
      <c r="Z119" s="9">
        <v>0</v>
      </c>
      <c r="AM119" s="9">
        <v>4.4000000000000004</v>
      </c>
      <c r="AN119" s="9">
        <v>1</v>
      </c>
      <c r="AO119" s="9">
        <v>34</v>
      </c>
      <c r="AP119" s="9">
        <v>10</v>
      </c>
      <c r="AQ119" s="9">
        <f>8.56+1.51</f>
        <v>10.07</v>
      </c>
      <c r="AR119" s="9">
        <v>1</v>
      </c>
      <c r="AS119" s="9">
        <v>68</v>
      </c>
      <c r="AT119" s="9">
        <v>6</v>
      </c>
      <c r="AU119" s="9">
        <f>3.43+0.6</f>
        <v>4.03</v>
      </c>
      <c r="AV119" s="9">
        <v>1</v>
      </c>
      <c r="BQ119" s="9">
        <v>0</v>
      </c>
      <c r="DB119" s="11">
        <v>1.25</v>
      </c>
      <c r="DC119" s="11">
        <v>1</v>
      </c>
      <c r="DD119" s="11">
        <v>1</v>
      </c>
      <c r="DE119" s="11"/>
      <c r="DF119" s="11">
        <f>2.09+3.13</f>
        <v>5.22</v>
      </c>
      <c r="DG119" s="11"/>
      <c r="DH119" s="11"/>
      <c r="DI119" s="11"/>
      <c r="DJ119" s="11"/>
      <c r="DK119" s="11"/>
      <c r="DL119" s="11"/>
      <c r="DM119" s="11">
        <v>15.75</v>
      </c>
      <c r="DN119" s="11">
        <v>41.8</v>
      </c>
      <c r="DO119" s="11"/>
      <c r="DP119" s="11"/>
      <c r="DQ119" s="11">
        <v>0</v>
      </c>
      <c r="DR119" s="11">
        <v>0</v>
      </c>
      <c r="DS119" s="11">
        <v>0</v>
      </c>
      <c r="DT119" s="9">
        <v>0</v>
      </c>
    </row>
    <row r="120" spans="1:124" x14ac:dyDescent="0.2">
      <c r="A120" s="10">
        <v>42941</v>
      </c>
      <c r="B120" s="9" t="s">
        <v>141</v>
      </c>
      <c r="C120" s="9" t="s">
        <v>171</v>
      </c>
      <c r="D120" s="9" t="s">
        <v>193</v>
      </c>
      <c r="E120" s="9">
        <v>36.5</v>
      </c>
      <c r="F120" s="11">
        <v>76.3</v>
      </c>
      <c r="G120" s="11">
        <v>80.400000000000006</v>
      </c>
      <c r="H120" s="11">
        <v>14.5</v>
      </c>
      <c r="I120" s="9">
        <v>91.16</v>
      </c>
      <c r="J120" s="15">
        <v>0</v>
      </c>
      <c r="K120" s="9">
        <v>6.16</v>
      </c>
      <c r="L120" s="9">
        <v>2.69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15.05</v>
      </c>
      <c r="V120" s="9">
        <v>31.49</v>
      </c>
      <c r="W120" s="9">
        <v>9.19</v>
      </c>
      <c r="X120" s="9">
        <v>0</v>
      </c>
      <c r="Y120" s="9">
        <v>0</v>
      </c>
      <c r="Z120" s="9">
        <v>0</v>
      </c>
      <c r="AM120" s="9">
        <v>4.4000000000000004</v>
      </c>
      <c r="AN120" s="9">
        <v>1</v>
      </c>
      <c r="AO120" s="9">
        <v>34</v>
      </c>
      <c r="AP120" s="9">
        <v>10</v>
      </c>
      <c r="AQ120" s="9">
        <f>8.56+1.51</f>
        <v>10.07</v>
      </c>
      <c r="AR120" s="9">
        <v>1</v>
      </c>
      <c r="AS120" s="9">
        <v>68</v>
      </c>
      <c r="AT120" s="9">
        <v>6</v>
      </c>
      <c r="AU120" s="9">
        <f>3.43+0.6</f>
        <v>4.03</v>
      </c>
      <c r="AV120" s="9">
        <v>1</v>
      </c>
      <c r="BQ120" s="9">
        <v>0</v>
      </c>
      <c r="DB120" s="11">
        <v>0</v>
      </c>
      <c r="DC120" s="11">
        <v>0</v>
      </c>
      <c r="DD120" s="11"/>
      <c r="DE120" s="11"/>
      <c r="DF120" s="11"/>
      <c r="DG120" s="11"/>
      <c r="DH120" s="11"/>
      <c r="DI120" s="11"/>
      <c r="DJ120" s="11"/>
      <c r="DK120" s="11"/>
      <c r="DL120" s="11"/>
      <c r="DM120" s="11">
        <v>14.52</v>
      </c>
      <c r="DN120" s="11">
        <v>36.5</v>
      </c>
      <c r="DO120" s="11"/>
      <c r="DP120" s="11"/>
      <c r="DQ120" s="11">
        <v>0</v>
      </c>
      <c r="DR120" s="11">
        <v>0</v>
      </c>
      <c r="DS120" s="11">
        <v>0</v>
      </c>
      <c r="DT120" s="9">
        <v>0</v>
      </c>
    </row>
    <row r="121" spans="1:124" x14ac:dyDescent="0.2">
      <c r="A121" s="10">
        <v>42941</v>
      </c>
      <c r="B121" s="9" t="s">
        <v>141</v>
      </c>
      <c r="C121" s="9" t="s">
        <v>171</v>
      </c>
      <c r="D121" s="9" t="s">
        <v>194</v>
      </c>
      <c r="E121" s="9">
        <v>36</v>
      </c>
      <c r="F121" s="11">
        <v>87.4</v>
      </c>
      <c r="G121" s="11">
        <v>80.400000000000006</v>
      </c>
      <c r="H121" s="11">
        <v>27.8</v>
      </c>
      <c r="I121" s="9">
        <v>71.12</v>
      </c>
      <c r="J121" s="15">
        <v>0</v>
      </c>
      <c r="K121" s="9">
        <v>26.39</v>
      </c>
      <c r="L121" s="9">
        <v>2.4900000000000002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49.1</v>
      </c>
      <c r="V121" s="9">
        <v>13.54</v>
      </c>
      <c r="W121" s="9">
        <v>0</v>
      </c>
      <c r="X121" s="9">
        <v>0</v>
      </c>
      <c r="Y121" s="9">
        <v>0</v>
      </c>
      <c r="Z121" s="9">
        <v>0</v>
      </c>
      <c r="AM121" s="9">
        <v>2.4</v>
      </c>
      <c r="AN121" s="9">
        <v>0</v>
      </c>
      <c r="BQ121" s="9">
        <v>1</v>
      </c>
      <c r="BR121" s="9">
        <v>70</v>
      </c>
      <c r="BS121" s="9">
        <v>2</v>
      </c>
      <c r="BT121" s="9">
        <f>0.83*2</f>
        <v>1.66</v>
      </c>
      <c r="BU121" s="9">
        <v>2</v>
      </c>
      <c r="BV121" s="9">
        <v>90</v>
      </c>
      <c r="BW121" s="9">
        <v>2</v>
      </c>
      <c r="BX121" s="9">
        <f>0.41*2</f>
        <v>0.82</v>
      </c>
      <c r="BY121" s="9">
        <v>1</v>
      </c>
      <c r="DB121" s="11">
        <v>1.59</v>
      </c>
      <c r="DC121" s="11">
        <v>1</v>
      </c>
      <c r="DD121" s="11">
        <v>1</v>
      </c>
      <c r="DE121" s="11"/>
      <c r="DF121" s="11">
        <v>12.69</v>
      </c>
      <c r="DG121" s="11"/>
      <c r="DH121" s="11"/>
      <c r="DI121" s="11"/>
      <c r="DJ121" s="11"/>
      <c r="DK121" s="11"/>
      <c r="DL121" s="11"/>
      <c r="DM121" s="11">
        <v>4.1900000000000004</v>
      </c>
      <c r="DN121" s="11">
        <v>4.18</v>
      </c>
      <c r="DO121" s="11"/>
      <c r="DP121" s="11"/>
      <c r="DQ121" s="11">
        <v>0</v>
      </c>
      <c r="DR121" s="11">
        <v>0</v>
      </c>
      <c r="DS121" s="11">
        <v>0</v>
      </c>
      <c r="DT121" s="9">
        <v>0</v>
      </c>
    </row>
    <row r="122" spans="1:124" x14ac:dyDescent="0.2">
      <c r="A122" s="10">
        <v>42941</v>
      </c>
      <c r="B122" s="9" t="s">
        <v>141</v>
      </c>
      <c r="C122" s="9" t="s">
        <v>171</v>
      </c>
      <c r="D122" s="9" t="s">
        <v>195</v>
      </c>
      <c r="E122" s="9">
        <v>38.5</v>
      </c>
      <c r="F122" s="11">
        <v>90.9</v>
      </c>
      <c r="G122" s="11">
        <v>80.400000000000006</v>
      </c>
      <c r="H122" s="11">
        <v>26.3</v>
      </c>
      <c r="I122" s="9">
        <v>74.67</v>
      </c>
      <c r="J122" s="15">
        <v>0</v>
      </c>
      <c r="K122" s="9">
        <v>11.23</v>
      </c>
      <c r="L122" s="9">
        <v>0</v>
      </c>
      <c r="M122" s="9">
        <v>14.1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15.12</v>
      </c>
      <c r="V122" s="9">
        <v>9.7200000000000006</v>
      </c>
      <c r="W122" s="9">
        <v>49.95</v>
      </c>
      <c r="X122" s="9">
        <v>0</v>
      </c>
      <c r="Y122" s="9">
        <v>0</v>
      </c>
      <c r="Z122" s="9">
        <v>0</v>
      </c>
      <c r="AM122" s="9">
        <v>7.1</v>
      </c>
      <c r="AN122" s="9">
        <v>1</v>
      </c>
      <c r="AO122" s="9">
        <v>34</v>
      </c>
      <c r="AP122" s="9">
        <v>2</v>
      </c>
      <c r="AQ122" s="9">
        <f>0.76+0.13</f>
        <v>0.89</v>
      </c>
      <c r="AR122" s="9">
        <v>1</v>
      </c>
      <c r="AS122" s="9">
        <v>35</v>
      </c>
      <c r="AT122" s="9">
        <v>2</v>
      </c>
      <c r="AU122" s="9">
        <v>2.2799999999999998</v>
      </c>
      <c r="AV122" s="9">
        <v>3</v>
      </c>
      <c r="AW122" s="9">
        <v>23</v>
      </c>
      <c r="AX122" s="9">
        <v>1</v>
      </c>
      <c r="AY122" s="12">
        <v>0.43</v>
      </c>
      <c r="AZ122" s="9">
        <v>1</v>
      </c>
      <c r="BQ122" s="9">
        <v>0</v>
      </c>
      <c r="DB122" s="11">
        <v>1.94</v>
      </c>
      <c r="DC122" s="11">
        <v>1</v>
      </c>
      <c r="DD122" s="11">
        <v>1</v>
      </c>
      <c r="DE122" s="11"/>
      <c r="DF122" s="11">
        <f>2.11+3.17</f>
        <v>5.2799999999999994</v>
      </c>
      <c r="DG122" s="11">
        <v>2</v>
      </c>
      <c r="DH122" s="11"/>
      <c r="DI122" s="11">
        <f>1.5</f>
        <v>1.5</v>
      </c>
      <c r="DJ122" s="11"/>
      <c r="DK122" s="11"/>
      <c r="DL122" s="11"/>
      <c r="DM122" s="11">
        <v>0</v>
      </c>
      <c r="DN122" s="11">
        <v>0</v>
      </c>
      <c r="DO122" s="11"/>
      <c r="DP122" s="11"/>
      <c r="DQ122" s="11">
        <v>0</v>
      </c>
      <c r="DR122" s="11">
        <v>0</v>
      </c>
      <c r="DS122" s="11">
        <v>0</v>
      </c>
      <c r="DT122" s="9">
        <v>0</v>
      </c>
    </row>
    <row r="123" spans="1:124" x14ac:dyDescent="0.2">
      <c r="A123" s="10">
        <v>42941</v>
      </c>
      <c r="B123" s="9" t="s">
        <v>141</v>
      </c>
      <c r="C123" s="9" t="s">
        <v>171</v>
      </c>
      <c r="D123" s="9" t="s">
        <v>196</v>
      </c>
      <c r="E123" s="9">
        <v>32.5</v>
      </c>
      <c r="F123" s="11">
        <v>88.1</v>
      </c>
      <c r="G123" s="11">
        <v>80.400000000000006</v>
      </c>
      <c r="H123" s="11">
        <v>21.1</v>
      </c>
      <c r="I123" s="9">
        <v>85.64</v>
      </c>
      <c r="J123" s="15">
        <v>0</v>
      </c>
      <c r="K123" s="9">
        <v>5.22</v>
      </c>
      <c r="L123" s="9">
        <v>0</v>
      </c>
      <c r="M123" s="9">
        <v>9.14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34.200000000000003</v>
      </c>
      <c r="V123" s="9">
        <v>7.52</v>
      </c>
      <c r="W123" s="9">
        <v>31.17</v>
      </c>
      <c r="X123" s="9">
        <v>0</v>
      </c>
      <c r="Y123" s="9">
        <v>0</v>
      </c>
      <c r="Z123" s="9">
        <v>0</v>
      </c>
      <c r="AM123" s="9">
        <v>3.8</v>
      </c>
      <c r="AN123" s="9">
        <v>1</v>
      </c>
      <c r="AO123" s="9">
        <v>34</v>
      </c>
      <c r="AP123" s="9">
        <v>2</v>
      </c>
      <c r="AQ123" s="9">
        <f>0.76+0.13</f>
        <v>0.89</v>
      </c>
      <c r="AR123" s="9">
        <v>1</v>
      </c>
      <c r="AS123" s="9">
        <v>23</v>
      </c>
      <c r="AT123" s="9">
        <v>3</v>
      </c>
      <c r="AU123" s="9">
        <v>2.2799999999999998</v>
      </c>
      <c r="AV123" s="9">
        <v>3</v>
      </c>
      <c r="AW123" s="9">
        <v>47</v>
      </c>
      <c r="AX123" s="9">
        <v>1</v>
      </c>
      <c r="AY123" s="12">
        <v>0.76</v>
      </c>
      <c r="AZ123" s="9">
        <v>3</v>
      </c>
      <c r="BQ123" s="9">
        <v>0</v>
      </c>
      <c r="DB123" s="11">
        <v>0</v>
      </c>
      <c r="DC123" s="11">
        <v>0</v>
      </c>
      <c r="DD123" s="11"/>
      <c r="DE123" s="11"/>
      <c r="DF123" s="11"/>
      <c r="DG123" s="11"/>
      <c r="DH123" s="11"/>
      <c r="DI123" s="11"/>
      <c r="DJ123" s="11"/>
      <c r="DK123" s="11"/>
      <c r="DL123" s="11"/>
      <c r="DM123" s="11">
        <v>5.4</v>
      </c>
      <c r="DN123" s="11">
        <v>9.7200000000000006</v>
      </c>
      <c r="DO123" s="11"/>
      <c r="DP123" s="11"/>
      <c r="DQ123" s="11">
        <v>0</v>
      </c>
      <c r="DR123" s="11">
        <v>0</v>
      </c>
      <c r="DS123" s="11">
        <v>0</v>
      </c>
      <c r="DT123" s="9">
        <v>0</v>
      </c>
    </row>
    <row r="124" spans="1:124" x14ac:dyDescent="0.2">
      <c r="A124" s="10">
        <v>42941</v>
      </c>
      <c r="B124" s="9" t="s">
        <v>198</v>
      </c>
      <c r="C124" s="9" t="s">
        <v>197</v>
      </c>
      <c r="D124" s="9" t="s">
        <v>199</v>
      </c>
      <c r="E124" s="9">
        <v>33.5</v>
      </c>
      <c r="F124" s="11">
        <v>91.5</v>
      </c>
      <c r="G124" s="11">
        <v>80.400000000000006</v>
      </c>
      <c r="H124" s="11">
        <v>20</v>
      </c>
      <c r="I124" s="9">
        <v>84.58</v>
      </c>
      <c r="J124" s="15">
        <v>0</v>
      </c>
      <c r="K124" s="9">
        <v>15.42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13.79</v>
      </c>
      <c r="V124" s="9">
        <v>2.67</v>
      </c>
      <c r="W124" s="9">
        <v>11.54</v>
      </c>
      <c r="X124" s="9">
        <v>0</v>
      </c>
      <c r="Y124" s="9">
        <v>12.3</v>
      </c>
      <c r="Z124" s="9">
        <v>2</v>
      </c>
      <c r="AA124" s="9">
        <v>5</v>
      </c>
      <c r="AB124" s="9">
        <v>2</v>
      </c>
      <c r="AG124" s="9">
        <v>5</v>
      </c>
      <c r="AH124" s="9">
        <v>2</v>
      </c>
      <c r="AM124" s="9">
        <v>0</v>
      </c>
      <c r="AN124" s="9">
        <v>1</v>
      </c>
      <c r="AO124" s="9">
        <v>34</v>
      </c>
      <c r="AP124" s="9">
        <v>2</v>
      </c>
      <c r="AQ124" s="9">
        <v>0.1</v>
      </c>
      <c r="AR124" s="9">
        <v>1</v>
      </c>
      <c r="AS124" s="9">
        <v>10</v>
      </c>
      <c r="AT124" s="9">
        <f>8*4</f>
        <v>32</v>
      </c>
      <c r="AU124" s="9">
        <f>0.06+0.01+0.4+1.7+0.24+0.14+0.96</f>
        <v>3.5100000000000002</v>
      </c>
      <c r="AV124" s="9">
        <v>3</v>
      </c>
      <c r="BQ124" s="9">
        <v>0</v>
      </c>
      <c r="DB124" s="11">
        <v>0.25</v>
      </c>
      <c r="DC124" s="11">
        <v>1</v>
      </c>
      <c r="DD124" s="11">
        <v>2</v>
      </c>
      <c r="DE124" s="11"/>
      <c r="DF124" s="11">
        <v>0.55000000000000004</v>
      </c>
      <c r="DG124" s="11"/>
      <c r="DH124" s="11"/>
      <c r="DI124" s="11"/>
      <c r="DJ124" s="11"/>
      <c r="DK124" s="11"/>
      <c r="DL124" s="11"/>
      <c r="DM124" s="11">
        <v>0.55000000000000004</v>
      </c>
      <c r="DN124" s="11">
        <v>0.55000000000000004</v>
      </c>
      <c r="DO124" s="11"/>
      <c r="DP124" s="11"/>
      <c r="DQ124" s="11">
        <v>0</v>
      </c>
      <c r="DR124" s="11">
        <v>0</v>
      </c>
      <c r="DS124" s="11">
        <v>0</v>
      </c>
      <c r="DT124" s="9">
        <v>0</v>
      </c>
    </row>
    <row r="125" spans="1:124" x14ac:dyDescent="0.2">
      <c r="A125" s="10">
        <v>42941</v>
      </c>
      <c r="B125" s="9" t="s">
        <v>198</v>
      </c>
      <c r="C125" s="9" t="s">
        <v>197</v>
      </c>
      <c r="D125" s="9" t="s">
        <v>200</v>
      </c>
      <c r="E125" s="9">
        <v>27</v>
      </c>
      <c r="F125" s="11">
        <v>54.4</v>
      </c>
      <c r="G125" s="11">
        <v>80.400000000000006</v>
      </c>
      <c r="H125" s="11">
        <v>18.100000000000001</v>
      </c>
      <c r="I125" s="9">
        <v>81.88</v>
      </c>
      <c r="J125" s="15">
        <v>0</v>
      </c>
      <c r="K125" s="9">
        <v>9.83</v>
      </c>
      <c r="L125" s="9">
        <v>0</v>
      </c>
      <c r="M125" s="9">
        <v>2.14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2.3199999999999998</v>
      </c>
      <c r="V125" s="9">
        <v>19.66</v>
      </c>
      <c r="W125" s="9">
        <v>3.64</v>
      </c>
      <c r="X125" s="9">
        <v>0</v>
      </c>
      <c r="Y125" s="9">
        <v>0</v>
      </c>
      <c r="Z125" s="9">
        <v>0</v>
      </c>
      <c r="AM125" s="9">
        <v>0</v>
      </c>
      <c r="AN125" s="9">
        <v>1</v>
      </c>
      <c r="AO125" s="9">
        <v>26</v>
      </c>
      <c r="AP125" s="9">
        <v>2</v>
      </c>
      <c r="AQ125" s="9">
        <v>0.05</v>
      </c>
      <c r="AR125" s="9">
        <v>2</v>
      </c>
      <c r="BQ125" s="9">
        <v>0</v>
      </c>
      <c r="DB125" s="11">
        <v>2.1</v>
      </c>
      <c r="DC125" s="11">
        <v>1</v>
      </c>
      <c r="DD125" s="11">
        <v>1</v>
      </c>
      <c r="DE125" s="11"/>
      <c r="DF125" s="11">
        <f>0.1+0.76*2+2.02+1.35*2+0.67</f>
        <v>7.01</v>
      </c>
      <c r="DG125" s="11"/>
      <c r="DH125" s="11"/>
      <c r="DI125" s="11"/>
      <c r="DJ125" s="11"/>
      <c r="DK125" s="11"/>
      <c r="DL125" s="11"/>
      <c r="DM125" s="11">
        <v>6.35</v>
      </c>
      <c r="DN125" s="11">
        <v>14.8</v>
      </c>
      <c r="DO125" s="11"/>
      <c r="DP125" s="11"/>
      <c r="DQ125" s="11">
        <v>0</v>
      </c>
      <c r="DR125" s="11">
        <v>0</v>
      </c>
      <c r="DS125" s="11">
        <v>0</v>
      </c>
      <c r="DT125" s="9">
        <v>0</v>
      </c>
    </row>
    <row r="126" spans="1:124" x14ac:dyDescent="0.2">
      <c r="A126" s="10">
        <v>42942</v>
      </c>
      <c r="B126" s="9" t="s">
        <v>198</v>
      </c>
      <c r="C126" s="9" t="s">
        <v>197</v>
      </c>
      <c r="D126" s="9" t="s">
        <v>201</v>
      </c>
      <c r="E126" s="9">
        <v>20.5</v>
      </c>
      <c r="F126" s="11">
        <v>76.900000000000006</v>
      </c>
      <c r="G126" s="11">
        <v>80.400000000000006</v>
      </c>
      <c r="H126" s="11">
        <v>9.1</v>
      </c>
      <c r="I126" s="9">
        <v>88.58</v>
      </c>
      <c r="J126" s="9">
        <v>10.3</v>
      </c>
      <c r="K126" s="9">
        <v>1.1200000000000001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6.33</v>
      </c>
      <c r="V126" s="9">
        <v>16.97</v>
      </c>
      <c r="W126" s="9">
        <v>0</v>
      </c>
      <c r="X126" s="9">
        <v>0</v>
      </c>
      <c r="Y126" s="9">
        <v>4.0999999999999996</v>
      </c>
      <c r="Z126" s="9">
        <v>2</v>
      </c>
      <c r="AA126" s="9">
        <v>5</v>
      </c>
      <c r="AB126" s="9">
        <v>1</v>
      </c>
      <c r="AG126" s="9">
        <v>5</v>
      </c>
      <c r="AH126" s="9">
        <v>1</v>
      </c>
      <c r="AM126" s="9">
        <v>0</v>
      </c>
      <c r="AN126" s="9">
        <v>0</v>
      </c>
      <c r="BQ126" s="9">
        <v>0</v>
      </c>
      <c r="DB126" s="11">
        <v>2.2400000000000002</v>
      </c>
      <c r="DC126" s="11">
        <v>1</v>
      </c>
      <c r="DD126" s="11">
        <v>2</v>
      </c>
      <c r="DE126" s="11"/>
      <c r="DF126" s="11">
        <v>4.97</v>
      </c>
      <c r="DG126" s="11"/>
      <c r="DH126" s="11"/>
      <c r="DI126" s="11"/>
      <c r="DJ126" s="11"/>
      <c r="DK126" s="11"/>
      <c r="DL126" s="11"/>
      <c r="DM126" s="11">
        <v>5.0999999999999996</v>
      </c>
      <c r="DN126" s="11">
        <v>5.97</v>
      </c>
      <c r="DO126" s="11"/>
      <c r="DP126" s="11"/>
      <c r="DQ126" s="11">
        <v>0</v>
      </c>
      <c r="DR126" s="11">
        <v>0</v>
      </c>
      <c r="DS126" s="11">
        <v>0</v>
      </c>
      <c r="DT126" s="9">
        <v>0</v>
      </c>
    </row>
    <row r="127" spans="1:124" x14ac:dyDescent="0.2">
      <c r="A127" s="10">
        <v>42942</v>
      </c>
      <c r="B127" s="9" t="s">
        <v>198</v>
      </c>
      <c r="C127" s="9" t="s">
        <v>197</v>
      </c>
      <c r="D127" s="9" t="s">
        <v>203</v>
      </c>
      <c r="E127" s="9">
        <v>32.5</v>
      </c>
      <c r="F127" s="11">
        <v>96.7</v>
      </c>
      <c r="G127" s="11">
        <v>80.400000000000006</v>
      </c>
      <c r="H127" s="11">
        <v>15.1</v>
      </c>
      <c r="I127" s="9">
        <v>52.24</v>
      </c>
      <c r="J127" s="9">
        <v>45.43</v>
      </c>
      <c r="K127" s="9">
        <v>1.1200000000000001</v>
      </c>
      <c r="L127" s="9">
        <v>0</v>
      </c>
      <c r="M127" s="9">
        <v>1.2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1.2</v>
      </c>
      <c r="U127" s="9">
        <v>15.88</v>
      </c>
      <c r="V127" s="9">
        <v>48.59</v>
      </c>
      <c r="W127" s="9">
        <v>0</v>
      </c>
      <c r="X127" s="9">
        <v>0</v>
      </c>
      <c r="Y127" s="9">
        <v>0</v>
      </c>
      <c r="Z127" s="9">
        <v>0</v>
      </c>
      <c r="AM127" s="9">
        <v>0</v>
      </c>
      <c r="AN127" s="9">
        <v>0</v>
      </c>
      <c r="BQ127" s="9">
        <v>1</v>
      </c>
      <c r="BR127" s="9">
        <v>50</v>
      </c>
      <c r="BS127" s="9">
        <v>2</v>
      </c>
      <c r="BT127" s="9">
        <f>3.18+12.73</f>
        <v>15.91</v>
      </c>
      <c r="BU127" s="9">
        <v>1</v>
      </c>
      <c r="DB127" s="11">
        <v>5.9</v>
      </c>
      <c r="DC127" s="11">
        <v>1</v>
      </c>
      <c r="DD127" s="11">
        <v>2</v>
      </c>
      <c r="DE127" s="11"/>
      <c r="DF127" s="11">
        <f>0.09+0.18*3+0.13+0.53+1.07*2+1.34*2+0.17*2+3.18+12.73</f>
        <v>22.36</v>
      </c>
      <c r="DG127" s="11"/>
      <c r="DH127" s="11"/>
      <c r="DI127" s="11"/>
      <c r="DJ127" s="11"/>
      <c r="DK127" s="11"/>
      <c r="DL127" s="11"/>
      <c r="DM127" s="11">
        <v>11.45</v>
      </c>
      <c r="DN127" s="11">
        <v>41.19</v>
      </c>
      <c r="DO127" s="11"/>
      <c r="DP127" s="11"/>
      <c r="DQ127" s="11">
        <v>0</v>
      </c>
      <c r="DR127" s="11">
        <v>0</v>
      </c>
      <c r="DS127" s="11">
        <v>0</v>
      </c>
      <c r="DT127" s="9">
        <v>0</v>
      </c>
    </row>
    <row r="128" spans="1:124" x14ac:dyDescent="0.2">
      <c r="A128" s="10">
        <v>42942</v>
      </c>
      <c r="B128" s="9" t="s">
        <v>198</v>
      </c>
      <c r="C128" s="9" t="s">
        <v>197</v>
      </c>
      <c r="D128" s="9" t="s">
        <v>204</v>
      </c>
      <c r="E128" s="9">
        <v>30.5</v>
      </c>
      <c r="F128" s="11">
        <v>68.8</v>
      </c>
      <c r="G128" s="11">
        <v>80.400000000000006</v>
      </c>
      <c r="H128" s="11">
        <v>16.3</v>
      </c>
      <c r="I128" s="9">
        <v>66.28</v>
      </c>
      <c r="J128" s="9">
        <v>20.09</v>
      </c>
      <c r="K128" s="9">
        <v>1.81</v>
      </c>
      <c r="L128" s="9">
        <v>0</v>
      </c>
      <c r="M128" s="9">
        <v>11.82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13.17</v>
      </c>
      <c r="V128" s="9">
        <v>35.75</v>
      </c>
      <c r="W128" s="9">
        <v>0</v>
      </c>
      <c r="X128" s="9">
        <v>0</v>
      </c>
      <c r="Y128" s="9">
        <v>0</v>
      </c>
      <c r="Z128" s="9">
        <v>0</v>
      </c>
      <c r="AM128" s="9">
        <v>0</v>
      </c>
      <c r="AN128" s="9">
        <v>1</v>
      </c>
      <c r="AO128" s="9">
        <v>52</v>
      </c>
      <c r="AP128" s="9">
        <v>1</v>
      </c>
      <c r="AQ128" s="9">
        <v>0.01</v>
      </c>
      <c r="AR128" s="9">
        <v>2</v>
      </c>
      <c r="BQ128" s="9">
        <v>0</v>
      </c>
      <c r="DB128" s="11">
        <v>5.43</v>
      </c>
      <c r="DC128" s="11">
        <v>1</v>
      </c>
      <c r="DD128" s="11">
        <v>1</v>
      </c>
      <c r="DE128" s="11"/>
      <c r="DF128" s="11">
        <f>0.09*2+0.07+1.36</f>
        <v>1.61</v>
      </c>
      <c r="DG128" s="11">
        <v>2</v>
      </c>
      <c r="DH128" s="11"/>
      <c r="DI128" s="11">
        <f>4.2+0.09+0.66+0.01+3.18+3.18</f>
        <v>11.32</v>
      </c>
      <c r="DJ128" s="11"/>
      <c r="DK128" s="11"/>
      <c r="DL128" s="11"/>
      <c r="DM128" s="11">
        <v>8.61</v>
      </c>
      <c r="DN128" s="11">
        <v>26.91</v>
      </c>
      <c r="DO128" s="11"/>
      <c r="DP128" s="11"/>
      <c r="DQ128" s="11">
        <v>0</v>
      </c>
      <c r="DR128" s="11">
        <v>0</v>
      </c>
      <c r="DS128" s="11">
        <v>0</v>
      </c>
      <c r="DT128" s="9">
        <v>0</v>
      </c>
    </row>
    <row r="129" spans="1:124" x14ac:dyDescent="0.2">
      <c r="A129" s="10">
        <v>42942</v>
      </c>
      <c r="B129" s="9" t="s">
        <v>198</v>
      </c>
      <c r="C129" s="9" t="s">
        <v>197</v>
      </c>
      <c r="D129" s="9" t="s">
        <v>205</v>
      </c>
      <c r="E129" s="9">
        <v>39.5</v>
      </c>
      <c r="F129" s="11">
        <v>60.8</v>
      </c>
      <c r="G129" s="11">
        <v>80.400000000000006</v>
      </c>
      <c r="H129" s="11">
        <v>22.9</v>
      </c>
      <c r="I129" s="9">
        <v>67.010000000000005</v>
      </c>
      <c r="J129" s="9">
        <v>11.71</v>
      </c>
      <c r="K129" s="9">
        <v>16.61</v>
      </c>
      <c r="L129" s="9">
        <v>0</v>
      </c>
      <c r="M129" s="9">
        <v>4.67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20.9</v>
      </c>
      <c r="V129" s="9">
        <v>25.23</v>
      </c>
      <c r="W129" s="9">
        <v>0.57999999999999996</v>
      </c>
      <c r="X129" s="9">
        <v>0</v>
      </c>
      <c r="Y129" s="9">
        <v>0</v>
      </c>
      <c r="Z129" s="9">
        <v>0</v>
      </c>
      <c r="AM129" s="9">
        <v>2</v>
      </c>
      <c r="AN129" s="9">
        <v>1</v>
      </c>
      <c r="AO129" s="9">
        <v>103</v>
      </c>
      <c r="AP129" s="9">
        <v>2</v>
      </c>
      <c r="AQ129" s="9">
        <f>0.18+0.14</f>
        <v>0.32</v>
      </c>
      <c r="AR129" s="9">
        <v>1</v>
      </c>
      <c r="AS129" s="9">
        <v>68</v>
      </c>
      <c r="AT129" s="9">
        <v>1</v>
      </c>
      <c r="AU129" s="9">
        <v>0.01</v>
      </c>
      <c r="AV129" s="9">
        <v>1</v>
      </c>
      <c r="AW129" s="9">
        <v>52</v>
      </c>
      <c r="AX129" s="9">
        <v>3</v>
      </c>
      <c r="AY129" s="12">
        <v>0.05</v>
      </c>
      <c r="AZ129" s="9">
        <v>2</v>
      </c>
      <c r="BQ129" s="9">
        <v>0</v>
      </c>
      <c r="DB129" s="11">
        <v>3.66</v>
      </c>
      <c r="DC129" s="11">
        <v>1</v>
      </c>
      <c r="DD129" s="11">
        <v>1</v>
      </c>
      <c r="DE129" s="11"/>
      <c r="DF129" s="11">
        <f>2.69*3+1.35*3+0.14*2+0.1</f>
        <v>12.5</v>
      </c>
      <c r="DG129" s="11">
        <v>2</v>
      </c>
      <c r="DH129" s="11"/>
      <c r="DI129" s="11">
        <f>0.66+0.35+0.18+0.14+1.25+1.23</f>
        <v>3.81</v>
      </c>
      <c r="DJ129" s="11"/>
      <c r="DK129" s="11"/>
      <c r="DL129" s="11"/>
      <c r="DM129" s="11">
        <v>10.050000000000001</v>
      </c>
      <c r="DN129" s="11">
        <v>27.11</v>
      </c>
      <c r="DO129" s="11"/>
      <c r="DP129" s="11"/>
      <c r="DQ129" s="11">
        <v>0</v>
      </c>
      <c r="DR129" s="11">
        <v>0</v>
      </c>
      <c r="DS129" s="11">
        <v>0</v>
      </c>
      <c r="DT129" s="9">
        <v>0</v>
      </c>
    </row>
    <row r="130" spans="1:124" x14ac:dyDescent="0.2">
      <c r="A130" s="10">
        <v>42942</v>
      </c>
      <c r="B130" s="9" t="s">
        <v>198</v>
      </c>
      <c r="C130" s="9" t="s">
        <v>197</v>
      </c>
      <c r="D130" s="9" t="s">
        <v>206</v>
      </c>
      <c r="E130" s="9">
        <v>47</v>
      </c>
      <c r="F130" s="11">
        <v>72.3</v>
      </c>
      <c r="G130" s="11">
        <v>80.400000000000006</v>
      </c>
      <c r="H130" s="11">
        <v>18</v>
      </c>
      <c r="I130" s="9">
        <v>70.55</v>
      </c>
      <c r="J130" s="9">
        <v>6.81</v>
      </c>
      <c r="K130" s="9">
        <v>3.09</v>
      </c>
      <c r="L130" s="9">
        <v>0</v>
      </c>
      <c r="M130" s="9">
        <v>19.55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18.07</v>
      </c>
      <c r="V130" s="9">
        <v>30.57</v>
      </c>
      <c r="W130" s="9">
        <v>7.61</v>
      </c>
      <c r="X130" s="9">
        <v>0</v>
      </c>
      <c r="Y130" s="9">
        <v>14</v>
      </c>
      <c r="Z130" s="9">
        <v>2</v>
      </c>
      <c r="AA130" s="9">
        <v>5</v>
      </c>
      <c r="AB130" s="9">
        <v>4.47</v>
      </c>
      <c r="AD130" s="9">
        <v>7</v>
      </c>
      <c r="AE130" s="9">
        <v>5.15</v>
      </c>
      <c r="AG130" s="9">
        <v>5</v>
      </c>
      <c r="AH130" s="9">
        <v>4.47</v>
      </c>
      <c r="AJ130" s="9">
        <v>7</v>
      </c>
      <c r="AK130" s="9">
        <v>5.15</v>
      </c>
      <c r="AM130" s="9">
        <v>0</v>
      </c>
      <c r="AN130" s="9">
        <v>0</v>
      </c>
      <c r="BQ130" s="9">
        <v>0</v>
      </c>
      <c r="DB130" s="11">
        <v>4.21</v>
      </c>
      <c r="DC130" s="11">
        <v>1</v>
      </c>
      <c r="DD130" s="11">
        <v>2</v>
      </c>
      <c r="DE130" s="11"/>
      <c r="DF130" s="11">
        <f>7.46+1.59+0.6</f>
        <v>9.65</v>
      </c>
      <c r="DG130" s="11"/>
      <c r="DH130" s="11"/>
      <c r="DI130" s="11"/>
      <c r="DJ130" s="11"/>
      <c r="DK130" s="11"/>
      <c r="DL130" s="11"/>
      <c r="DM130" s="11">
        <v>10.63</v>
      </c>
      <c r="DN130" s="11">
        <v>36.380000000000003</v>
      </c>
      <c r="DO130" s="11"/>
      <c r="DP130" s="11"/>
      <c r="DQ130" s="11">
        <v>0</v>
      </c>
      <c r="DR130" s="11">
        <v>0</v>
      </c>
      <c r="DS130" s="11">
        <v>0</v>
      </c>
      <c r="DT130" s="9">
        <v>0</v>
      </c>
    </row>
    <row r="131" spans="1:124" x14ac:dyDescent="0.2">
      <c r="A131" s="10">
        <v>42942</v>
      </c>
      <c r="B131" s="9" t="s">
        <v>198</v>
      </c>
      <c r="C131" s="9" t="s">
        <v>197</v>
      </c>
      <c r="D131" s="9" t="s">
        <v>207</v>
      </c>
      <c r="E131" s="9">
        <v>19</v>
      </c>
      <c r="F131" s="11">
        <v>82.6</v>
      </c>
      <c r="G131" s="11">
        <v>80.400000000000006</v>
      </c>
      <c r="H131" s="11">
        <v>7.7</v>
      </c>
      <c r="I131" s="9">
        <v>86.83</v>
      </c>
      <c r="J131" s="9">
        <v>12.69</v>
      </c>
      <c r="K131" s="9">
        <v>0</v>
      </c>
      <c r="L131" s="9">
        <v>0</v>
      </c>
      <c r="M131" s="9">
        <v>0.48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7.16</v>
      </c>
      <c r="V131" s="9">
        <v>10.76</v>
      </c>
      <c r="W131" s="9">
        <v>0</v>
      </c>
      <c r="X131" s="9">
        <v>0</v>
      </c>
      <c r="Y131" s="9">
        <v>3.4</v>
      </c>
      <c r="Z131" s="9">
        <v>2</v>
      </c>
      <c r="AA131" s="9">
        <v>11.9</v>
      </c>
      <c r="AB131" s="9">
        <v>0.48</v>
      </c>
      <c r="AG131" s="9">
        <v>11.9</v>
      </c>
      <c r="AH131" s="9">
        <v>0.48</v>
      </c>
      <c r="AM131" s="9">
        <v>0</v>
      </c>
      <c r="AN131" s="9">
        <v>1</v>
      </c>
      <c r="AO131" s="9">
        <v>34</v>
      </c>
      <c r="AP131" s="9">
        <v>2</v>
      </c>
      <c r="AQ131" s="9">
        <f>0.84*2</f>
        <v>1.68</v>
      </c>
      <c r="AR131" s="9">
        <v>1</v>
      </c>
      <c r="BQ131" s="9">
        <v>0</v>
      </c>
      <c r="DB131" s="11">
        <v>3.25</v>
      </c>
      <c r="DC131" s="11">
        <v>1</v>
      </c>
      <c r="DD131" s="11">
        <v>2</v>
      </c>
      <c r="DE131" s="11"/>
      <c r="DF131" s="11">
        <f>1.59*2+0.21*2</f>
        <v>3.6</v>
      </c>
      <c r="DG131" s="11"/>
      <c r="DH131" s="11"/>
      <c r="DI131" s="11"/>
      <c r="DJ131" s="11"/>
      <c r="DK131" s="11"/>
      <c r="DL131" s="11"/>
      <c r="DM131" s="11">
        <v>4.26</v>
      </c>
      <c r="DN131" s="11">
        <v>4.25</v>
      </c>
      <c r="DO131" s="11"/>
      <c r="DP131" s="11"/>
      <c r="DQ131" s="11">
        <v>0</v>
      </c>
      <c r="DR131" s="11">
        <v>0</v>
      </c>
      <c r="DS131" s="11">
        <v>0</v>
      </c>
      <c r="DT131" s="9">
        <v>0</v>
      </c>
    </row>
    <row r="132" spans="1:124" x14ac:dyDescent="0.2">
      <c r="A132" s="10">
        <v>42942</v>
      </c>
      <c r="B132" s="9" t="s">
        <v>198</v>
      </c>
      <c r="C132" s="9" t="s">
        <v>197</v>
      </c>
      <c r="D132" s="9" t="s">
        <v>208</v>
      </c>
      <c r="E132" s="9">
        <v>17.5</v>
      </c>
      <c r="F132" s="11">
        <v>85.1</v>
      </c>
      <c r="G132" s="11">
        <v>80.400000000000006</v>
      </c>
      <c r="H132" s="11">
        <v>9.6</v>
      </c>
      <c r="I132" s="9">
        <v>86.79</v>
      </c>
      <c r="J132" s="9">
        <v>5.81</v>
      </c>
      <c r="K132" s="9">
        <v>6.87</v>
      </c>
      <c r="L132" s="9">
        <v>0</v>
      </c>
      <c r="M132" s="9">
        <v>0.52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13.81</v>
      </c>
      <c r="V132" s="9">
        <v>2.99</v>
      </c>
      <c r="W132" s="9">
        <v>0</v>
      </c>
      <c r="X132" s="9">
        <v>0</v>
      </c>
      <c r="Y132" s="9">
        <v>3.4</v>
      </c>
      <c r="Z132" s="9">
        <v>2</v>
      </c>
      <c r="AA132" s="9">
        <v>11.9</v>
      </c>
      <c r="AB132" s="9">
        <v>0.48</v>
      </c>
      <c r="AG132" s="9">
        <v>11.9</v>
      </c>
      <c r="AH132" s="9">
        <v>0.48</v>
      </c>
      <c r="AM132" s="9">
        <v>0</v>
      </c>
      <c r="AN132" s="9">
        <v>1</v>
      </c>
      <c r="AO132" s="9">
        <v>34</v>
      </c>
      <c r="AP132" s="9">
        <v>2</v>
      </c>
      <c r="AQ132" s="9">
        <f>0.84*2</f>
        <v>1.68</v>
      </c>
      <c r="AR132" s="9">
        <v>1</v>
      </c>
      <c r="BQ132" s="9">
        <v>0</v>
      </c>
      <c r="DB132" s="11">
        <v>0.81</v>
      </c>
      <c r="DC132" s="11">
        <v>1</v>
      </c>
      <c r="DD132" s="11">
        <v>2</v>
      </c>
      <c r="DE132" s="11"/>
      <c r="DF132" s="11">
        <f>1.35*2</f>
        <v>2.7</v>
      </c>
      <c r="DG132" s="11"/>
      <c r="DH132" s="11"/>
      <c r="DI132" s="11"/>
      <c r="DJ132" s="11"/>
      <c r="DK132" s="11"/>
      <c r="DL132" s="11"/>
      <c r="DM132" s="11">
        <v>3.67</v>
      </c>
      <c r="DN132" s="11">
        <v>3.18</v>
      </c>
      <c r="DO132" s="11"/>
      <c r="DP132" s="11"/>
      <c r="DQ132" s="11">
        <v>0</v>
      </c>
      <c r="DR132" s="11">
        <v>0</v>
      </c>
      <c r="DS132" s="11">
        <v>0</v>
      </c>
      <c r="DT132" s="9">
        <v>0</v>
      </c>
    </row>
    <row r="133" spans="1:124" x14ac:dyDescent="0.2">
      <c r="A133" s="10">
        <v>42942</v>
      </c>
      <c r="B133" s="9" t="s">
        <v>198</v>
      </c>
      <c r="C133" s="9" t="s">
        <v>197</v>
      </c>
      <c r="D133" s="9" t="s">
        <v>209</v>
      </c>
      <c r="E133" s="9">
        <v>40</v>
      </c>
      <c r="F133" s="11">
        <v>79.7</v>
      </c>
      <c r="G133" s="11">
        <v>80.400000000000006</v>
      </c>
      <c r="H133" s="11">
        <v>13.2</v>
      </c>
      <c r="I133" s="9">
        <v>64.849999999999994</v>
      </c>
      <c r="J133" s="9">
        <v>35.15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4.9800000000000004</v>
      </c>
      <c r="V133" s="9">
        <v>32.96</v>
      </c>
      <c r="W133" s="9">
        <v>0</v>
      </c>
      <c r="X133" s="9">
        <v>0</v>
      </c>
      <c r="Y133" s="9">
        <v>0</v>
      </c>
      <c r="Z133" s="9">
        <v>0</v>
      </c>
      <c r="AM133" s="9">
        <v>0</v>
      </c>
      <c r="AN133" s="9">
        <v>1</v>
      </c>
      <c r="AO133" s="9">
        <v>34</v>
      </c>
      <c r="AP133" s="9">
        <v>7</v>
      </c>
      <c r="AQ133" s="9">
        <f>1+1.59+1.2*2</f>
        <v>4.99</v>
      </c>
      <c r="AR133" s="9">
        <v>1</v>
      </c>
      <c r="BQ133" s="9">
        <v>0</v>
      </c>
      <c r="DB133" s="11">
        <v>8.98</v>
      </c>
      <c r="DC133" s="11">
        <v>1</v>
      </c>
      <c r="DD133" s="11">
        <v>2</v>
      </c>
      <c r="DE133" s="11"/>
      <c r="DF133" s="11">
        <f>4.43*3+3.59+13.29</f>
        <v>30.169999999999998</v>
      </c>
      <c r="DG133" s="11"/>
      <c r="DH133" s="11"/>
      <c r="DI133" s="11"/>
      <c r="DJ133" s="11"/>
      <c r="DK133" s="11"/>
      <c r="DL133" s="11"/>
      <c r="DM133" s="11">
        <v>17.43</v>
      </c>
      <c r="DN133" s="11">
        <v>30.17</v>
      </c>
      <c r="DO133" s="11"/>
      <c r="DP133" s="11"/>
      <c r="DQ133" s="11">
        <v>0</v>
      </c>
      <c r="DR133" s="11">
        <v>0</v>
      </c>
      <c r="DS133" s="11">
        <v>0</v>
      </c>
      <c r="DT133" s="9">
        <v>0</v>
      </c>
    </row>
    <row r="134" spans="1:124" x14ac:dyDescent="0.2">
      <c r="A134" s="10">
        <v>42942</v>
      </c>
      <c r="B134" s="9" t="s">
        <v>198</v>
      </c>
      <c r="C134" s="9" t="s">
        <v>197</v>
      </c>
      <c r="D134" s="9" t="s">
        <v>210</v>
      </c>
      <c r="E134" s="9">
        <v>39.5</v>
      </c>
      <c r="F134" s="11">
        <v>83.3</v>
      </c>
      <c r="G134" s="11">
        <v>80.400000000000006</v>
      </c>
      <c r="H134" s="11">
        <v>13.1</v>
      </c>
      <c r="I134" s="9">
        <v>63.39</v>
      </c>
      <c r="J134" s="9">
        <v>36.61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7.53</v>
      </c>
      <c r="V134" s="9">
        <v>32.96</v>
      </c>
      <c r="W134" s="9">
        <v>0</v>
      </c>
      <c r="X134" s="9">
        <v>0</v>
      </c>
      <c r="Y134" s="9">
        <v>0</v>
      </c>
      <c r="Z134" s="9">
        <v>0</v>
      </c>
      <c r="AM134" s="9">
        <v>0</v>
      </c>
      <c r="AN134" s="9">
        <v>1</v>
      </c>
      <c r="AO134" s="9">
        <v>34</v>
      </c>
      <c r="AP134" s="9">
        <v>7</v>
      </c>
      <c r="AQ134" s="9">
        <f>1+1.59+1.2*2</f>
        <v>4.99</v>
      </c>
      <c r="AR134" s="9">
        <v>1</v>
      </c>
      <c r="BQ134" s="9">
        <v>0</v>
      </c>
      <c r="DB134" s="11">
        <v>8.98</v>
      </c>
      <c r="DC134" s="11">
        <v>1</v>
      </c>
      <c r="DD134" s="11">
        <v>2</v>
      </c>
      <c r="DE134" s="11"/>
      <c r="DF134" s="11">
        <f>4.43*3+13.29+3.59</f>
        <v>30.169999999999998</v>
      </c>
      <c r="DG134" s="11"/>
      <c r="DH134" s="11"/>
      <c r="DI134" s="11"/>
      <c r="DJ134" s="11"/>
      <c r="DK134" s="11"/>
      <c r="DL134" s="11"/>
      <c r="DM134" s="11">
        <v>17.43</v>
      </c>
      <c r="DN134" s="11">
        <v>30.17</v>
      </c>
      <c r="DO134" s="11"/>
      <c r="DP134" s="11"/>
      <c r="DQ134" s="11">
        <v>0</v>
      </c>
      <c r="DR134" s="11">
        <v>0</v>
      </c>
      <c r="DS134" s="11">
        <v>0</v>
      </c>
      <c r="DT134" s="9">
        <v>0</v>
      </c>
    </row>
    <row r="135" spans="1:124" x14ac:dyDescent="0.2">
      <c r="A135" s="10">
        <v>42942</v>
      </c>
      <c r="B135" s="9" t="s">
        <v>198</v>
      </c>
      <c r="C135" s="9" t="s">
        <v>212</v>
      </c>
      <c r="D135" s="9" t="s">
        <v>211</v>
      </c>
      <c r="E135" s="9">
        <v>21.5</v>
      </c>
      <c r="F135" s="11">
        <v>78.400000000000006</v>
      </c>
      <c r="G135" s="11">
        <v>80.400000000000006</v>
      </c>
      <c r="H135" s="11">
        <v>9.6</v>
      </c>
      <c r="I135" s="9">
        <v>84.68</v>
      </c>
      <c r="J135" s="9">
        <v>14.18</v>
      </c>
      <c r="K135" s="9">
        <v>1.1200000000000001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9.51</v>
      </c>
      <c r="V135" s="9">
        <v>25.42</v>
      </c>
      <c r="W135" s="9">
        <v>0</v>
      </c>
      <c r="X135" s="9">
        <v>0</v>
      </c>
      <c r="Y135" s="9">
        <v>0</v>
      </c>
      <c r="Z135" s="9">
        <v>2</v>
      </c>
      <c r="AA135" s="9">
        <v>5</v>
      </c>
      <c r="AG135" s="9">
        <v>5</v>
      </c>
      <c r="AM135" s="9">
        <v>3.2</v>
      </c>
      <c r="AN135" s="9">
        <v>1</v>
      </c>
      <c r="AO135" s="9">
        <v>52</v>
      </c>
      <c r="AP135" s="9">
        <v>3</v>
      </c>
      <c r="AQ135" s="9">
        <f>0.07+0.76</f>
        <v>0.83000000000000007</v>
      </c>
      <c r="AR135" s="9">
        <v>2</v>
      </c>
      <c r="AS135" s="9">
        <v>103</v>
      </c>
      <c r="AT135" s="9">
        <v>3</v>
      </c>
      <c r="AU135" s="9">
        <f>0.36+0.34</f>
        <v>0.7</v>
      </c>
      <c r="AV135" s="9">
        <v>1</v>
      </c>
      <c r="AW135" s="9">
        <v>68</v>
      </c>
      <c r="AX135" s="9">
        <v>2</v>
      </c>
      <c r="AY135" s="12">
        <f>0.24</f>
        <v>0.24</v>
      </c>
      <c r="AZ135" s="9">
        <v>1</v>
      </c>
      <c r="BA135" s="9">
        <v>34</v>
      </c>
      <c r="BB135" s="9">
        <v>2</v>
      </c>
      <c r="BC135" s="9">
        <f>0.24</f>
        <v>0.24</v>
      </c>
      <c r="BD135" s="9">
        <v>1</v>
      </c>
      <c r="BQ135" s="9">
        <v>0</v>
      </c>
      <c r="DB135" s="11">
        <v>0.36</v>
      </c>
      <c r="DC135" s="11">
        <v>1</v>
      </c>
      <c r="DD135" s="11">
        <v>1</v>
      </c>
      <c r="DE135" s="11"/>
      <c r="DF135" s="11">
        <v>1.52</v>
      </c>
      <c r="DG135" s="11"/>
      <c r="DH135" s="11"/>
      <c r="DI135" s="11"/>
      <c r="DJ135" s="11"/>
      <c r="DK135" s="11"/>
      <c r="DL135" s="11"/>
      <c r="DM135" s="11">
        <v>8.32</v>
      </c>
      <c r="DN135" s="11">
        <v>8.31</v>
      </c>
      <c r="DO135" s="11"/>
      <c r="DP135" s="11"/>
      <c r="DQ135" s="11">
        <v>0</v>
      </c>
      <c r="DR135" s="11">
        <v>0</v>
      </c>
      <c r="DS135" s="11">
        <v>0</v>
      </c>
      <c r="DT135" s="9">
        <v>0</v>
      </c>
    </row>
    <row r="136" spans="1:124" x14ac:dyDescent="0.2">
      <c r="A136" s="10">
        <v>42942</v>
      </c>
      <c r="B136" s="9" t="s">
        <v>198</v>
      </c>
      <c r="C136" s="9" t="s">
        <v>212</v>
      </c>
      <c r="D136" s="9" t="s">
        <v>213</v>
      </c>
      <c r="E136" s="9">
        <v>50.5</v>
      </c>
      <c r="F136" s="11">
        <v>95.8</v>
      </c>
      <c r="G136" s="11">
        <v>80.400000000000006</v>
      </c>
      <c r="H136" s="11">
        <v>22.6</v>
      </c>
      <c r="I136" s="9">
        <v>70.650000000000006</v>
      </c>
      <c r="J136" s="9">
        <v>13.02</v>
      </c>
      <c r="K136" s="9">
        <v>16.329999999999998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3.81</v>
      </c>
      <c r="V136" s="9">
        <v>53.36</v>
      </c>
      <c r="W136" s="9">
        <v>0</v>
      </c>
      <c r="X136" s="9">
        <v>0</v>
      </c>
      <c r="Y136" s="9">
        <v>7.8</v>
      </c>
      <c r="Z136" s="9">
        <v>2</v>
      </c>
      <c r="AA136" s="9">
        <v>10</v>
      </c>
      <c r="AB136" s="9">
        <v>2.69</v>
      </c>
      <c r="AG136" s="9">
        <v>10</v>
      </c>
      <c r="AH136" s="9">
        <v>2.69</v>
      </c>
      <c r="AM136" s="9">
        <v>0</v>
      </c>
      <c r="AN136" s="9">
        <v>0</v>
      </c>
      <c r="BQ136" s="9">
        <v>0</v>
      </c>
      <c r="DB136" s="11">
        <v>10.02</v>
      </c>
      <c r="DC136" s="11">
        <v>1</v>
      </c>
      <c r="DD136" s="11">
        <v>2</v>
      </c>
      <c r="DE136" s="11"/>
      <c r="DF136" s="11">
        <f>0.05*4+0.33*4+1.5*4+0.76*4+1.14*4</f>
        <v>15.119999999999997</v>
      </c>
      <c r="DG136" s="11"/>
      <c r="DH136" s="11"/>
      <c r="DI136" s="11"/>
      <c r="DJ136" s="11"/>
      <c r="DK136" s="11"/>
      <c r="DL136" s="11"/>
      <c r="DM136" s="11">
        <v>9.92</v>
      </c>
      <c r="DN136" s="11">
        <v>20.94</v>
      </c>
      <c r="DO136" s="11"/>
      <c r="DP136" s="11"/>
      <c r="DQ136" s="11">
        <v>0</v>
      </c>
      <c r="DR136" s="11">
        <v>0</v>
      </c>
      <c r="DS136" s="11">
        <v>0</v>
      </c>
      <c r="DT136" s="9">
        <v>0</v>
      </c>
    </row>
    <row r="137" spans="1:124" x14ac:dyDescent="0.2">
      <c r="A137" s="10">
        <v>42942</v>
      </c>
      <c r="B137" s="9" t="s">
        <v>198</v>
      </c>
      <c r="C137" s="9" t="s">
        <v>212</v>
      </c>
      <c r="D137" s="9" t="s">
        <v>214</v>
      </c>
      <c r="E137" s="9">
        <v>57.5</v>
      </c>
      <c r="F137" s="11">
        <v>93.3</v>
      </c>
      <c r="G137" s="11">
        <v>80.400000000000006</v>
      </c>
      <c r="H137" s="11">
        <v>37.200000000000003</v>
      </c>
      <c r="I137" s="9">
        <v>37.4</v>
      </c>
      <c r="J137" s="9">
        <v>31.73</v>
      </c>
      <c r="K137" s="9">
        <v>29.89</v>
      </c>
      <c r="L137" s="9">
        <v>0</v>
      </c>
      <c r="M137" s="9">
        <v>0.98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21.26</v>
      </c>
      <c r="V137" s="9">
        <v>57.4</v>
      </c>
      <c r="W137" s="9">
        <v>0</v>
      </c>
      <c r="X137" s="9">
        <v>0</v>
      </c>
      <c r="Y137" s="9">
        <v>0</v>
      </c>
      <c r="Z137" s="9">
        <v>0</v>
      </c>
      <c r="AM137" s="9">
        <v>2.2999999999999998</v>
      </c>
      <c r="AN137" s="9">
        <v>1</v>
      </c>
      <c r="AO137" s="9">
        <v>35</v>
      </c>
      <c r="AP137" s="9">
        <v>1</v>
      </c>
      <c r="AQ137" s="9">
        <v>0.49</v>
      </c>
      <c r="AR137" s="9">
        <v>3</v>
      </c>
      <c r="BQ137" s="9">
        <v>0</v>
      </c>
      <c r="DB137" s="11">
        <v>2.91</v>
      </c>
      <c r="DC137" s="11">
        <v>1</v>
      </c>
      <c r="DD137" s="11">
        <v>1</v>
      </c>
      <c r="DE137" s="11"/>
      <c r="DF137" s="11">
        <f>2.49+0.21+0.47*2+2.49+0.26+0.53+0.01+4.77+14.32+1.53+3.06+0.13</f>
        <v>30.74</v>
      </c>
      <c r="DG137" s="11"/>
      <c r="DH137" s="11"/>
      <c r="DI137" s="11"/>
      <c r="DJ137" s="11"/>
      <c r="DK137" s="11"/>
      <c r="DL137" s="11"/>
      <c r="DM137" s="11">
        <v>14.81</v>
      </c>
      <c r="DN137" s="11">
        <v>52.45</v>
      </c>
      <c r="DO137" s="11"/>
      <c r="DP137" s="11"/>
      <c r="DQ137" s="11">
        <v>0</v>
      </c>
      <c r="DR137" s="11">
        <v>0</v>
      </c>
      <c r="DS137" s="11">
        <v>0</v>
      </c>
      <c r="DT137" s="9">
        <v>0</v>
      </c>
    </row>
    <row r="138" spans="1:124" x14ac:dyDescent="0.2">
      <c r="A138" s="10">
        <v>42942</v>
      </c>
      <c r="B138" s="9" t="s">
        <v>198</v>
      </c>
      <c r="C138" s="9" t="s">
        <v>212</v>
      </c>
      <c r="D138" s="9" t="s">
        <v>215</v>
      </c>
      <c r="E138" s="9">
        <v>12.5</v>
      </c>
      <c r="F138" s="11">
        <v>69.900000000000006</v>
      </c>
      <c r="G138" s="11">
        <v>80.400000000000006</v>
      </c>
      <c r="H138" s="11">
        <v>9</v>
      </c>
      <c r="I138" s="9">
        <v>90.9</v>
      </c>
      <c r="J138" s="9">
        <v>7.98</v>
      </c>
      <c r="K138" s="9">
        <v>1.1200000000000001</v>
      </c>
      <c r="L138" s="9">
        <v>4.5599999999999996</v>
      </c>
      <c r="M138" s="9">
        <v>17.670000000000002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4.5599999999999996</v>
      </c>
      <c r="V138" s="9">
        <v>17.670000000000002</v>
      </c>
      <c r="W138" s="9">
        <v>0</v>
      </c>
      <c r="X138" s="9">
        <v>0</v>
      </c>
      <c r="Y138" s="9">
        <v>0</v>
      </c>
      <c r="Z138" s="9">
        <v>0</v>
      </c>
      <c r="AM138" s="9">
        <v>0</v>
      </c>
      <c r="AN138" s="9">
        <v>0</v>
      </c>
      <c r="BQ138" s="9">
        <v>0</v>
      </c>
      <c r="DB138" s="11">
        <v>0</v>
      </c>
      <c r="DC138" s="11">
        <v>0</v>
      </c>
      <c r="DD138" s="11"/>
      <c r="DE138" s="11"/>
      <c r="DF138" s="11"/>
      <c r="DG138" s="11"/>
      <c r="DH138" s="11"/>
      <c r="DI138" s="11"/>
      <c r="DJ138" s="11"/>
      <c r="DK138" s="11"/>
      <c r="DL138" s="11"/>
      <c r="DM138" s="11">
        <v>3.41</v>
      </c>
      <c r="DN138" s="11">
        <v>3.41</v>
      </c>
      <c r="DO138" s="11"/>
      <c r="DP138" s="11"/>
      <c r="DQ138" s="11">
        <v>0</v>
      </c>
      <c r="DR138" s="11">
        <v>0</v>
      </c>
      <c r="DS138" s="11">
        <v>0</v>
      </c>
      <c r="DT138" s="9">
        <v>0</v>
      </c>
    </row>
    <row r="139" spans="1:124" x14ac:dyDescent="0.2">
      <c r="A139" s="10">
        <v>42942</v>
      </c>
      <c r="B139" s="9" t="s">
        <v>198</v>
      </c>
      <c r="C139" s="9" t="s">
        <v>212</v>
      </c>
      <c r="D139" s="9" t="s">
        <v>216</v>
      </c>
      <c r="E139" s="9">
        <v>17</v>
      </c>
      <c r="F139" s="11">
        <v>84.3</v>
      </c>
      <c r="G139" s="11">
        <v>80.400000000000006</v>
      </c>
      <c r="H139" s="11">
        <v>9.8000000000000007</v>
      </c>
      <c r="I139" s="9">
        <v>84.81</v>
      </c>
      <c r="J139" s="9">
        <v>14.07</v>
      </c>
      <c r="K139" s="9">
        <v>1.1200000000000001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7.34</v>
      </c>
      <c r="V139" s="9">
        <v>26.23</v>
      </c>
      <c r="W139" s="9">
        <v>0</v>
      </c>
      <c r="X139" s="9">
        <v>0</v>
      </c>
      <c r="Y139" s="9">
        <v>0</v>
      </c>
      <c r="Z139" s="9">
        <v>0</v>
      </c>
      <c r="AM139" s="9">
        <v>0</v>
      </c>
      <c r="AN139" s="9">
        <v>0</v>
      </c>
      <c r="BQ139" s="9">
        <v>0</v>
      </c>
      <c r="DB139" s="11">
        <v>1.51</v>
      </c>
      <c r="DC139" s="11">
        <v>1</v>
      </c>
      <c r="DD139" s="11">
        <v>2</v>
      </c>
      <c r="DE139" s="11"/>
      <c r="DF139" s="11">
        <f>0.99+4.04</f>
        <v>5.03</v>
      </c>
      <c r="DG139" s="11"/>
      <c r="DH139" s="11"/>
      <c r="DI139" s="11"/>
      <c r="DJ139" s="11"/>
      <c r="DK139" s="11"/>
      <c r="DL139" s="11"/>
      <c r="DM139" s="11">
        <v>5.5</v>
      </c>
      <c r="DN139" s="11">
        <v>9.84</v>
      </c>
      <c r="DO139" s="11"/>
      <c r="DP139" s="11"/>
      <c r="DQ139" s="11">
        <v>0</v>
      </c>
      <c r="DR139" s="11">
        <v>0</v>
      </c>
      <c r="DS139" s="11">
        <v>0</v>
      </c>
      <c r="DT139" s="9">
        <v>0</v>
      </c>
    </row>
    <row r="140" spans="1:124" x14ac:dyDescent="0.2">
      <c r="A140" s="10">
        <v>42942</v>
      </c>
      <c r="B140" s="9" t="s">
        <v>198</v>
      </c>
      <c r="C140" s="9" t="s">
        <v>212</v>
      </c>
      <c r="D140" s="9" t="s">
        <v>217</v>
      </c>
      <c r="E140" s="9">
        <v>26</v>
      </c>
      <c r="F140" s="11">
        <v>75.099999999999994</v>
      </c>
      <c r="G140" s="11">
        <v>80.400000000000006</v>
      </c>
      <c r="H140" s="11">
        <v>10.7</v>
      </c>
      <c r="I140" s="9">
        <v>76.38</v>
      </c>
      <c r="J140" s="9">
        <v>22.5</v>
      </c>
      <c r="K140" s="9">
        <v>1.1200000000000001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10.84</v>
      </c>
      <c r="V140" s="9">
        <v>26.14</v>
      </c>
      <c r="W140" s="9">
        <v>0</v>
      </c>
      <c r="X140" s="9">
        <v>0</v>
      </c>
      <c r="Y140" s="9">
        <v>0</v>
      </c>
      <c r="Z140" s="9">
        <v>0</v>
      </c>
      <c r="AM140" s="9">
        <v>2.5</v>
      </c>
      <c r="AN140" s="9">
        <v>1</v>
      </c>
      <c r="AO140" s="9">
        <v>68</v>
      </c>
      <c r="AP140" s="9">
        <v>1</v>
      </c>
      <c r="AQ140" s="9">
        <f>1.34</f>
        <v>1.34</v>
      </c>
      <c r="AR140" s="9">
        <v>1</v>
      </c>
      <c r="AS140" s="9">
        <v>52</v>
      </c>
      <c r="AT140" s="9">
        <v>2</v>
      </c>
      <c r="AU140" s="9">
        <v>0.45</v>
      </c>
      <c r="AV140" s="9">
        <v>2</v>
      </c>
      <c r="BQ140" s="9">
        <v>0</v>
      </c>
      <c r="DB140" s="11">
        <v>1.21</v>
      </c>
      <c r="DC140" s="11">
        <v>1</v>
      </c>
      <c r="DD140" s="11">
        <v>2</v>
      </c>
      <c r="DE140" s="11"/>
      <c r="DF140" s="11">
        <v>4.04</v>
      </c>
      <c r="DG140" s="11"/>
      <c r="DH140" s="11"/>
      <c r="DI140" s="11"/>
      <c r="DJ140" s="11"/>
      <c r="DK140" s="11"/>
      <c r="DL140" s="11"/>
      <c r="DM140" s="11">
        <v>11.17</v>
      </c>
      <c r="DN140" s="11">
        <v>19.84</v>
      </c>
      <c r="DO140" s="11"/>
      <c r="DP140" s="11"/>
      <c r="DQ140" s="11">
        <v>0</v>
      </c>
      <c r="DR140" s="11">
        <v>0</v>
      </c>
      <c r="DS140" s="11">
        <v>0</v>
      </c>
      <c r="DT140" s="9">
        <v>0</v>
      </c>
    </row>
    <row r="141" spans="1:124" x14ac:dyDescent="0.2">
      <c r="A141" s="10">
        <v>42942</v>
      </c>
      <c r="B141" s="9" t="s">
        <v>198</v>
      </c>
      <c r="C141" s="9" t="s">
        <v>212</v>
      </c>
      <c r="D141" s="9" t="s">
        <v>218</v>
      </c>
      <c r="E141" s="9">
        <v>23</v>
      </c>
      <c r="F141" s="11">
        <v>90.8</v>
      </c>
      <c r="G141" s="11">
        <v>80.400000000000006</v>
      </c>
      <c r="H141" s="11">
        <v>11.6</v>
      </c>
      <c r="I141" s="9">
        <v>71.459999999999994</v>
      </c>
      <c r="J141" s="9">
        <v>27.42</v>
      </c>
      <c r="K141" s="9">
        <v>1.1200000000000001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11.58</v>
      </c>
      <c r="V141" s="9">
        <v>41.25</v>
      </c>
      <c r="W141" s="9">
        <v>0</v>
      </c>
      <c r="X141" s="9">
        <v>0</v>
      </c>
      <c r="Y141" s="9">
        <v>0</v>
      </c>
      <c r="Z141" s="9">
        <v>0</v>
      </c>
      <c r="AM141" s="9">
        <v>1.7</v>
      </c>
      <c r="AN141" s="9">
        <v>1</v>
      </c>
      <c r="AO141" s="9">
        <v>35</v>
      </c>
      <c r="AP141" s="9">
        <v>1</v>
      </c>
      <c r="AQ141" s="9">
        <v>0.05</v>
      </c>
      <c r="AR141" s="9">
        <v>3</v>
      </c>
      <c r="AS141" s="9">
        <v>103</v>
      </c>
      <c r="AT141" s="9">
        <v>5</v>
      </c>
      <c r="AU141" s="9">
        <v>0.25</v>
      </c>
      <c r="AV141" s="9">
        <v>1</v>
      </c>
      <c r="AW141" s="9">
        <v>68</v>
      </c>
      <c r="AX141" s="9">
        <v>4</v>
      </c>
      <c r="AY141" s="12">
        <v>0.26</v>
      </c>
      <c r="AZ141" s="9">
        <v>1</v>
      </c>
      <c r="BA141" s="9">
        <v>52</v>
      </c>
      <c r="BB141" s="9">
        <v>4</v>
      </c>
      <c r="BC141" s="9">
        <f>0.09+0.05+0.04</f>
        <v>0.18000000000000002</v>
      </c>
      <c r="BD141" s="9">
        <v>2</v>
      </c>
      <c r="BQ141" s="9">
        <v>0</v>
      </c>
      <c r="DB141" s="11">
        <v>0.04</v>
      </c>
      <c r="DC141" s="11">
        <v>1</v>
      </c>
      <c r="DD141" s="11">
        <v>1</v>
      </c>
      <c r="DE141" s="11"/>
      <c r="DF141" s="11">
        <v>0.13</v>
      </c>
      <c r="DG141" s="11"/>
      <c r="DH141" s="11"/>
      <c r="DI141" s="11"/>
      <c r="DJ141" s="11"/>
      <c r="DK141" s="11"/>
      <c r="DL141" s="11"/>
      <c r="DM141" s="11">
        <v>9.52</v>
      </c>
      <c r="DN141" s="11">
        <v>21.65</v>
      </c>
      <c r="DO141" s="11"/>
      <c r="DP141" s="11"/>
      <c r="DQ141" s="11">
        <v>0</v>
      </c>
      <c r="DR141" s="11">
        <v>0</v>
      </c>
      <c r="DS141" s="11">
        <v>0</v>
      </c>
      <c r="DT141" s="9">
        <v>0</v>
      </c>
    </row>
    <row r="142" spans="1:124" x14ac:dyDescent="0.2">
      <c r="A142" s="10">
        <v>42942</v>
      </c>
      <c r="B142" s="9" t="s">
        <v>198</v>
      </c>
      <c r="C142" s="9" t="s">
        <v>212</v>
      </c>
      <c r="D142" s="9" t="s">
        <v>219</v>
      </c>
      <c r="E142" s="9">
        <v>24</v>
      </c>
      <c r="F142" s="11">
        <v>82.9</v>
      </c>
      <c r="G142" s="11">
        <v>80.400000000000006</v>
      </c>
      <c r="H142" s="11">
        <v>9.6</v>
      </c>
      <c r="I142" s="9">
        <v>86.23</v>
      </c>
      <c r="J142" s="9">
        <v>11.76</v>
      </c>
      <c r="K142" s="9">
        <v>0</v>
      </c>
      <c r="L142" s="9">
        <v>0</v>
      </c>
      <c r="M142" s="9">
        <v>1.01</v>
      </c>
      <c r="N142" s="9">
        <v>1.01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8.84</v>
      </c>
      <c r="V142" s="9">
        <v>23.37</v>
      </c>
      <c r="W142" s="9">
        <v>0</v>
      </c>
      <c r="X142" s="9">
        <v>0</v>
      </c>
      <c r="Y142" s="9">
        <v>0</v>
      </c>
      <c r="Z142" s="9">
        <v>0</v>
      </c>
      <c r="AM142" s="9">
        <v>0</v>
      </c>
      <c r="AN142" s="9">
        <v>1</v>
      </c>
      <c r="AO142" s="9">
        <v>52</v>
      </c>
      <c r="AP142" s="9">
        <v>1</v>
      </c>
      <c r="AQ142" s="9">
        <v>0.02</v>
      </c>
      <c r="AR142" s="9">
        <v>2</v>
      </c>
      <c r="BQ142" s="9">
        <v>0</v>
      </c>
      <c r="DB142" s="11">
        <v>4.4800000000000004</v>
      </c>
      <c r="DC142" s="11">
        <v>1</v>
      </c>
      <c r="DD142" s="11">
        <v>2</v>
      </c>
      <c r="DE142" s="11"/>
      <c r="DF142" s="11">
        <f>2.49*2</f>
        <v>4.9800000000000004</v>
      </c>
      <c r="DG142" s="11"/>
      <c r="DH142" s="11"/>
      <c r="DI142" s="11"/>
      <c r="DJ142" s="11"/>
      <c r="DK142" s="11"/>
      <c r="DL142" s="11"/>
      <c r="DM142" s="11">
        <v>7.58</v>
      </c>
      <c r="DN142" s="11">
        <v>4.9800000000000004</v>
      </c>
      <c r="DO142" s="11"/>
      <c r="DP142" s="11"/>
      <c r="DQ142" s="11">
        <v>0</v>
      </c>
      <c r="DR142" s="11">
        <v>0</v>
      </c>
      <c r="DS142" s="11">
        <v>2.2400000000000002</v>
      </c>
      <c r="DT142" s="9">
        <v>0</v>
      </c>
    </row>
    <row r="143" spans="1:124" x14ac:dyDescent="0.2">
      <c r="A143" s="10">
        <v>42942</v>
      </c>
      <c r="B143" s="9" t="s">
        <v>198</v>
      </c>
      <c r="C143" s="9" t="s">
        <v>212</v>
      </c>
      <c r="D143" s="9" t="s">
        <v>220</v>
      </c>
      <c r="E143" s="9">
        <v>12</v>
      </c>
      <c r="F143" s="11">
        <v>75.900000000000006</v>
      </c>
      <c r="G143" s="11">
        <v>80.400000000000006</v>
      </c>
      <c r="H143" s="11">
        <v>11.7</v>
      </c>
      <c r="I143" s="9">
        <v>81.28</v>
      </c>
      <c r="J143" s="9">
        <v>17.600000000000001</v>
      </c>
      <c r="K143" s="9">
        <v>1.1200000000000001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21.4</v>
      </c>
      <c r="W143" s="9">
        <v>3.13</v>
      </c>
      <c r="X143" s="9">
        <v>0</v>
      </c>
      <c r="Y143" s="9">
        <v>0</v>
      </c>
      <c r="Z143" s="9">
        <v>0</v>
      </c>
      <c r="AM143" s="9">
        <v>0</v>
      </c>
      <c r="AN143" s="9">
        <v>0</v>
      </c>
      <c r="BQ143" s="9">
        <v>0</v>
      </c>
      <c r="DB143" s="11">
        <v>0</v>
      </c>
      <c r="DC143" s="11">
        <v>0</v>
      </c>
      <c r="DD143" s="11"/>
      <c r="DE143" s="11"/>
      <c r="DF143" s="11"/>
      <c r="DG143" s="11"/>
      <c r="DH143" s="11"/>
      <c r="DI143" s="11"/>
      <c r="DJ143" s="11"/>
      <c r="DK143" s="11"/>
      <c r="DL143" s="11"/>
      <c r="DM143" s="11">
        <v>0</v>
      </c>
      <c r="DN143" s="11">
        <v>0</v>
      </c>
      <c r="DO143" s="11"/>
      <c r="DP143" s="11"/>
      <c r="DQ143" s="11">
        <v>0</v>
      </c>
      <c r="DR143" s="11">
        <v>0</v>
      </c>
      <c r="DS143" s="11">
        <v>0</v>
      </c>
      <c r="DT143" s="9">
        <v>0</v>
      </c>
    </row>
    <row r="144" spans="1:124" x14ac:dyDescent="0.2">
      <c r="A144" s="10">
        <v>42942</v>
      </c>
      <c r="B144" s="9" t="s">
        <v>198</v>
      </c>
      <c r="C144" s="9" t="s">
        <v>212</v>
      </c>
      <c r="D144" s="9" t="s">
        <v>221</v>
      </c>
      <c r="E144" s="9">
        <v>13</v>
      </c>
      <c r="F144" s="11">
        <v>88.6</v>
      </c>
      <c r="G144" s="11">
        <v>80.400000000000006</v>
      </c>
      <c r="H144" s="11">
        <v>9.8000000000000007</v>
      </c>
      <c r="I144" s="9">
        <v>91.42</v>
      </c>
      <c r="J144" s="9">
        <v>0.09</v>
      </c>
      <c r="K144" s="9">
        <v>3.36</v>
      </c>
      <c r="L144" s="9">
        <v>0</v>
      </c>
      <c r="M144" s="9">
        <v>5.14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6.66</v>
      </c>
      <c r="V144" s="9">
        <v>9.6199999999999992</v>
      </c>
      <c r="W144" s="9">
        <v>0</v>
      </c>
      <c r="X144" s="9">
        <v>0</v>
      </c>
      <c r="Y144" s="9">
        <v>0</v>
      </c>
      <c r="Z144" s="9">
        <v>0</v>
      </c>
      <c r="AM144" s="9">
        <v>0.9</v>
      </c>
      <c r="AN144" s="9">
        <v>1</v>
      </c>
      <c r="AO144" s="9">
        <v>52</v>
      </c>
      <c r="AP144" s="9">
        <v>3</v>
      </c>
      <c r="AQ144" s="9">
        <f>0.14+0.08</f>
        <v>0.22000000000000003</v>
      </c>
      <c r="AR144" s="9">
        <v>2</v>
      </c>
      <c r="BQ144" s="9">
        <v>0</v>
      </c>
      <c r="DB144" s="11">
        <v>0</v>
      </c>
      <c r="DC144" s="11">
        <v>0</v>
      </c>
      <c r="DD144" s="11"/>
      <c r="DE144" s="11"/>
      <c r="DF144" s="11"/>
      <c r="DG144" s="11"/>
      <c r="DH144" s="11"/>
      <c r="DI144" s="11"/>
      <c r="DJ144" s="11"/>
      <c r="DK144" s="11"/>
      <c r="DL144" s="11"/>
      <c r="DM144" s="11">
        <v>1.8</v>
      </c>
      <c r="DN144" s="11">
        <v>0.24</v>
      </c>
      <c r="DO144" s="11"/>
      <c r="DP144" s="11"/>
      <c r="DQ144" s="11">
        <v>0</v>
      </c>
      <c r="DR144" s="11">
        <v>0</v>
      </c>
      <c r="DS144" s="11">
        <v>0</v>
      </c>
      <c r="DT144" s="9">
        <v>0</v>
      </c>
    </row>
    <row r="145" spans="1:124" x14ac:dyDescent="0.2">
      <c r="A145" s="10">
        <v>42942</v>
      </c>
      <c r="B145" s="9" t="s">
        <v>198</v>
      </c>
      <c r="C145" s="9" t="s">
        <v>223</v>
      </c>
      <c r="D145" s="9" t="s">
        <v>222</v>
      </c>
      <c r="E145" s="9">
        <v>35</v>
      </c>
      <c r="F145" s="11">
        <v>78.8</v>
      </c>
      <c r="G145" s="11">
        <v>80.400000000000006</v>
      </c>
      <c r="H145" s="11">
        <v>17.2</v>
      </c>
      <c r="I145" s="9">
        <v>72.069999999999993</v>
      </c>
      <c r="J145" s="9">
        <v>11.09</v>
      </c>
      <c r="K145" s="9">
        <v>1.1200000000000001</v>
      </c>
      <c r="L145" s="9">
        <v>0</v>
      </c>
      <c r="M145" s="9">
        <v>15.71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1.66</v>
      </c>
      <c r="V145" s="9">
        <v>34.99</v>
      </c>
      <c r="W145" s="9">
        <v>0</v>
      </c>
      <c r="X145" s="9">
        <v>0</v>
      </c>
      <c r="Y145" s="9">
        <v>0</v>
      </c>
      <c r="Z145" s="9">
        <v>0</v>
      </c>
      <c r="AM145" s="9">
        <v>11.2</v>
      </c>
      <c r="AN145" s="9">
        <v>1</v>
      </c>
      <c r="AO145" s="9">
        <v>52</v>
      </c>
      <c r="AP145" s="9">
        <f>18+1+15</f>
        <v>34</v>
      </c>
      <c r="AQ145" s="9">
        <f>3.2+2.05+0.07</f>
        <v>5.32</v>
      </c>
      <c r="AR145" s="9">
        <v>2</v>
      </c>
      <c r="BQ145" s="9">
        <v>0</v>
      </c>
      <c r="DB145" s="11">
        <v>0</v>
      </c>
      <c r="DC145" s="11">
        <v>0</v>
      </c>
      <c r="DD145" s="11"/>
      <c r="DE145" s="11"/>
      <c r="DF145" s="11"/>
      <c r="DG145" s="11"/>
      <c r="DH145" s="11"/>
      <c r="DI145" s="11"/>
      <c r="DJ145" s="11"/>
      <c r="DK145" s="11"/>
      <c r="DL145" s="11"/>
      <c r="DM145" s="11">
        <v>6.16</v>
      </c>
      <c r="DN145" s="11">
        <v>7.21</v>
      </c>
      <c r="DO145" s="11"/>
      <c r="DP145" s="11"/>
      <c r="DQ145" s="11">
        <v>0</v>
      </c>
      <c r="DR145" s="11">
        <v>0</v>
      </c>
      <c r="DS145" s="11">
        <v>0</v>
      </c>
      <c r="DT145" s="9">
        <v>0</v>
      </c>
    </row>
    <row r="146" spans="1:124" x14ac:dyDescent="0.2">
      <c r="A146" s="10">
        <v>42942</v>
      </c>
      <c r="B146" s="9" t="s">
        <v>198</v>
      </c>
      <c r="C146" s="9" t="s">
        <v>223</v>
      </c>
      <c r="D146" s="9" t="s">
        <v>472</v>
      </c>
      <c r="E146" s="9">
        <v>16.5</v>
      </c>
      <c r="F146" s="11">
        <v>35.299999999999997</v>
      </c>
      <c r="G146" s="11">
        <v>80.400000000000006</v>
      </c>
      <c r="H146" s="11">
        <v>9.6999999999999993</v>
      </c>
      <c r="I146" s="9">
        <v>86.56</v>
      </c>
      <c r="J146" s="9">
        <v>12.61</v>
      </c>
      <c r="K146" s="9">
        <v>0</v>
      </c>
      <c r="L146" s="9">
        <v>0</v>
      </c>
      <c r="M146" s="9">
        <v>0.83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2.2200000000000002</v>
      </c>
      <c r="V146" s="9">
        <v>20.83</v>
      </c>
      <c r="W146" s="9">
        <v>0</v>
      </c>
      <c r="X146" s="9">
        <v>0</v>
      </c>
      <c r="Y146" s="9">
        <v>0</v>
      </c>
      <c r="Z146" s="9">
        <v>0</v>
      </c>
      <c r="AM146" s="9">
        <v>0.3</v>
      </c>
      <c r="AN146" s="9">
        <v>1</v>
      </c>
      <c r="AO146" s="9">
        <v>34</v>
      </c>
      <c r="AP146" s="9">
        <v>4</v>
      </c>
      <c r="AQ146" s="9">
        <f>1.35+0.45+1.35+0.45</f>
        <v>3.6000000000000005</v>
      </c>
      <c r="AR146" s="9">
        <v>1</v>
      </c>
      <c r="AS146" s="9">
        <v>52</v>
      </c>
      <c r="AT146" s="9">
        <v>1</v>
      </c>
      <c r="AU146" s="9">
        <f>0.18</f>
        <v>0.18</v>
      </c>
      <c r="AV146" s="9">
        <v>2</v>
      </c>
      <c r="BQ146" s="9">
        <v>0</v>
      </c>
      <c r="DB146" s="11">
        <v>0.28000000000000003</v>
      </c>
      <c r="DC146" s="11">
        <v>1</v>
      </c>
      <c r="DD146" s="11">
        <v>2</v>
      </c>
      <c r="DE146" s="11"/>
      <c r="DF146" s="11">
        <f>0.37+0.26</f>
        <v>0.63</v>
      </c>
      <c r="DG146" s="11"/>
      <c r="DH146" s="11"/>
      <c r="DI146" s="11"/>
      <c r="DJ146" s="11"/>
      <c r="DK146" s="11"/>
      <c r="DL146" s="11"/>
      <c r="DM146" s="11">
        <v>5.99</v>
      </c>
      <c r="DN146" s="11">
        <v>5.34</v>
      </c>
      <c r="DO146" s="11"/>
      <c r="DP146" s="11"/>
      <c r="DQ146" s="11">
        <v>0</v>
      </c>
      <c r="DR146" s="11">
        <v>0</v>
      </c>
      <c r="DS146" s="11">
        <v>0</v>
      </c>
      <c r="DT146" s="9">
        <v>0</v>
      </c>
    </row>
    <row r="147" spans="1:124" x14ac:dyDescent="0.2">
      <c r="A147" s="10">
        <v>42942</v>
      </c>
      <c r="B147" s="9" t="s">
        <v>198</v>
      </c>
      <c r="C147" s="9" t="s">
        <v>223</v>
      </c>
      <c r="D147" s="9" t="s">
        <v>224</v>
      </c>
      <c r="E147" s="9">
        <v>29.5</v>
      </c>
      <c r="F147" s="11">
        <v>87.5</v>
      </c>
      <c r="G147" s="11">
        <v>80.400000000000006</v>
      </c>
      <c r="H147" s="11">
        <v>14.3</v>
      </c>
      <c r="I147" s="9">
        <v>68.7</v>
      </c>
      <c r="J147" s="9">
        <v>23.24</v>
      </c>
      <c r="K147" s="9">
        <v>1.79</v>
      </c>
      <c r="L147" s="9">
        <v>0</v>
      </c>
      <c r="M147" s="9">
        <v>6.27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7.01</v>
      </c>
      <c r="V147" s="9">
        <v>58.72</v>
      </c>
      <c r="W147" s="9">
        <v>0.23</v>
      </c>
      <c r="X147" s="9">
        <v>0</v>
      </c>
      <c r="Y147" s="9">
        <v>0.5</v>
      </c>
      <c r="Z147" s="9">
        <v>2</v>
      </c>
      <c r="AA147" s="9">
        <v>7</v>
      </c>
      <c r="AB147" s="9">
        <v>0.08</v>
      </c>
      <c r="AG147" s="9">
        <v>7</v>
      </c>
      <c r="AH147" s="9">
        <v>0.08</v>
      </c>
      <c r="AM147" s="9">
        <v>0</v>
      </c>
      <c r="AN147" s="9">
        <v>1</v>
      </c>
      <c r="AO147" s="9">
        <v>23</v>
      </c>
      <c r="AP147" s="9">
        <v>2</v>
      </c>
      <c r="AQ147" s="9">
        <v>0.9</v>
      </c>
      <c r="AR147" s="9">
        <v>3</v>
      </c>
      <c r="BQ147" s="9">
        <v>1</v>
      </c>
      <c r="BR147" s="9">
        <v>50</v>
      </c>
      <c r="BS147" s="9">
        <v>2</v>
      </c>
      <c r="BT147" s="9">
        <f>3.13+23.63</f>
        <v>26.759999999999998</v>
      </c>
      <c r="BU147" s="9">
        <v>3</v>
      </c>
      <c r="DB147" s="11">
        <v>1.49</v>
      </c>
      <c r="DC147" s="11">
        <v>1</v>
      </c>
      <c r="DD147" s="11">
        <v>1</v>
      </c>
      <c r="DE147" s="11"/>
      <c r="DF147" s="11">
        <f>1.91+2.02+2.02+1.35</f>
        <v>7.2999999999999989</v>
      </c>
      <c r="DG147" s="11">
        <v>2</v>
      </c>
      <c r="DH147" s="11"/>
      <c r="DI147" s="11">
        <v>0.21</v>
      </c>
      <c r="DJ147" s="11"/>
      <c r="DK147" s="11"/>
      <c r="DL147" s="11"/>
      <c r="DM147" s="11">
        <v>10.82</v>
      </c>
      <c r="DN147" s="11">
        <v>14.57</v>
      </c>
      <c r="DO147" s="11"/>
      <c r="DP147" s="11"/>
      <c r="DQ147" s="11">
        <v>2.2400000000000002</v>
      </c>
      <c r="DR147" s="11">
        <v>0.9</v>
      </c>
      <c r="DS147" s="11">
        <v>0</v>
      </c>
      <c r="DT147" s="9">
        <v>0</v>
      </c>
    </row>
    <row r="148" spans="1:124" x14ac:dyDescent="0.2">
      <c r="A148" s="10">
        <v>42942</v>
      </c>
      <c r="B148" s="9" t="s">
        <v>198</v>
      </c>
      <c r="C148" s="9" t="s">
        <v>223</v>
      </c>
      <c r="D148" s="9" t="s">
        <v>225</v>
      </c>
      <c r="E148" s="9">
        <v>50</v>
      </c>
      <c r="F148" s="11">
        <v>80</v>
      </c>
      <c r="G148" s="11">
        <v>80.400000000000006</v>
      </c>
      <c r="H148" s="11">
        <v>16.899999999999999</v>
      </c>
      <c r="I148" s="9">
        <v>58.18</v>
      </c>
      <c r="J148" s="9">
        <v>32.94</v>
      </c>
      <c r="K148" s="9">
        <v>1.79</v>
      </c>
      <c r="L148" s="9">
        <v>0</v>
      </c>
      <c r="M148" s="9">
        <v>7.09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3.53</v>
      </c>
      <c r="V148" s="9">
        <v>45.12</v>
      </c>
      <c r="W148" s="9">
        <v>0</v>
      </c>
      <c r="X148" s="9">
        <v>0</v>
      </c>
      <c r="Y148" s="9">
        <v>0</v>
      </c>
      <c r="Z148" s="9">
        <v>0</v>
      </c>
      <c r="AM148" s="9">
        <v>8.1999999999999993</v>
      </c>
      <c r="AN148" s="9">
        <v>1</v>
      </c>
      <c r="AO148" s="9">
        <v>23</v>
      </c>
      <c r="AP148" s="9">
        <v>1</v>
      </c>
      <c r="AQ148" s="9">
        <v>0.45</v>
      </c>
      <c r="AR148" s="9">
        <v>3</v>
      </c>
      <c r="AS148" s="9">
        <v>34</v>
      </c>
      <c r="AT148" s="9">
        <v>28</v>
      </c>
      <c r="AU148" s="9">
        <f>0.45+0.18+1.6+0.24+0.37+4.39+0.49+0.04+0.32+0.05+1.38</f>
        <v>9.5100000000000016</v>
      </c>
      <c r="AV148" s="9">
        <v>1</v>
      </c>
      <c r="BQ148" s="9">
        <v>0</v>
      </c>
      <c r="DB148" s="11">
        <v>1.65</v>
      </c>
      <c r="DC148" s="11">
        <v>1</v>
      </c>
      <c r="DD148" s="11">
        <v>1</v>
      </c>
      <c r="DE148" s="11"/>
      <c r="DF148" s="11">
        <f>0.18</f>
        <v>0.18</v>
      </c>
      <c r="DG148" s="11">
        <v>2</v>
      </c>
      <c r="DH148" s="11"/>
      <c r="DI148" s="11">
        <f>1.65+0.91+6.23+0.66</f>
        <v>9.4500000000000011</v>
      </c>
      <c r="DJ148" s="11"/>
      <c r="DK148" s="11"/>
      <c r="DL148" s="11"/>
      <c r="DM148" s="11">
        <v>20.65</v>
      </c>
      <c r="DN148" s="11">
        <v>33.56</v>
      </c>
      <c r="DO148" s="11"/>
      <c r="DP148" s="11"/>
      <c r="DQ148" s="11">
        <v>2.2400000000000002</v>
      </c>
      <c r="DR148" s="11">
        <v>0.45</v>
      </c>
      <c r="DS148" s="11">
        <v>0</v>
      </c>
      <c r="DT148" s="9">
        <v>0.45</v>
      </c>
    </row>
    <row r="149" spans="1:124" x14ac:dyDescent="0.2">
      <c r="A149" s="10">
        <v>42942</v>
      </c>
      <c r="B149" s="9" t="s">
        <v>198</v>
      </c>
      <c r="C149" s="9" t="s">
        <v>223</v>
      </c>
      <c r="D149" s="9" t="s">
        <v>226</v>
      </c>
      <c r="E149" s="9">
        <v>31.5</v>
      </c>
      <c r="F149" s="11">
        <v>79.900000000000006</v>
      </c>
      <c r="G149" s="11">
        <v>80.400000000000006</v>
      </c>
      <c r="H149" s="11">
        <v>17.8</v>
      </c>
      <c r="I149" s="9">
        <v>71.45</v>
      </c>
      <c r="J149" s="9">
        <v>9.43</v>
      </c>
      <c r="K149" s="9">
        <v>1.1200000000000001</v>
      </c>
      <c r="L149" s="9">
        <v>0</v>
      </c>
      <c r="M149" s="9">
        <v>18.010000000000002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8.44</v>
      </c>
      <c r="V149" s="9">
        <v>63.45</v>
      </c>
      <c r="W149" s="9">
        <v>0</v>
      </c>
      <c r="X149" s="9">
        <v>0</v>
      </c>
      <c r="Y149" s="9">
        <v>0</v>
      </c>
      <c r="Z149" s="9">
        <v>0</v>
      </c>
      <c r="AM149" s="9">
        <v>2</v>
      </c>
      <c r="AN149" s="9">
        <v>1</v>
      </c>
      <c r="AO149" s="9">
        <v>52</v>
      </c>
      <c r="AP149" s="9">
        <v>2</v>
      </c>
      <c r="AQ149" s="9">
        <f>0.9+0.02</f>
        <v>0.92</v>
      </c>
      <c r="AR149" s="9">
        <v>2</v>
      </c>
      <c r="BQ149" s="9">
        <v>1</v>
      </c>
      <c r="BR149" s="9">
        <v>50</v>
      </c>
      <c r="BS149" s="9">
        <v>9</v>
      </c>
      <c r="BT149" s="9">
        <f>19.9+3.13</f>
        <v>23.029999999999998</v>
      </c>
      <c r="BU149" s="9">
        <v>3</v>
      </c>
      <c r="DB149" s="11">
        <v>1.47</v>
      </c>
      <c r="DC149" s="11">
        <v>1</v>
      </c>
      <c r="DD149" s="11">
        <v>1</v>
      </c>
      <c r="DE149" s="11"/>
      <c r="DF149" s="11">
        <v>2.13</v>
      </c>
      <c r="DG149" s="11">
        <v>2</v>
      </c>
      <c r="DH149" s="11"/>
      <c r="DI149" s="11">
        <v>3.37</v>
      </c>
      <c r="DJ149" s="11"/>
      <c r="DK149" s="11"/>
      <c r="DL149" s="11"/>
      <c r="DM149" s="11">
        <v>5.55</v>
      </c>
      <c r="DN149" s="11">
        <v>6.42</v>
      </c>
      <c r="DO149" s="11"/>
      <c r="DP149" s="11"/>
      <c r="DQ149" s="11">
        <v>0</v>
      </c>
      <c r="DR149" s="11">
        <v>0</v>
      </c>
      <c r="DS149" s="11">
        <v>4.4800000000000004</v>
      </c>
      <c r="DT149" s="9">
        <v>0</v>
      </c>
    </row>
    <row r="150" spans="1:124" x14ac:dyDescent="0.2">
      <c r="A150" s="10">
        <v>42942</v>
      </c>
      <c r="B150" s="9" t="s">
        <v>198</v>
      </c>
      <c r="C150" s="9" t="s">
        <v>223</v>
      </c>
      <c r="D150" s="9" t="s">
        <v>227</v>
      </c>
      <c r="E150" s="9">
        <v>17</v>
      </c>
      <c r="F150" s="11">
        <v>87.8</v>
      </c>
      <c r="G150" s="11">
        <v>80.400000000000006</v>
      </c>
      <c r="H150" s="11">
        <v>11.6</v>
      </c>
      <c r="I150" s="9">
        <v>86.21</v>
      </c>
      <c r="J150" s="9">
        <v>1.64</v>
      </c>
      <c r="K150" s="9">
        <v>0.45</v>
      </c>
      <c r="L150" s="9">
        <v>0</v>
      </c>
      <c r="M150" s="9">
        <v>11.7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14.73</v>
      </c>
      <c r="V150" s="9">
        <v>7.98</v>
      </c>
      <c r="W150" s="9">
        <v>0</v>
      </c>
      <c r="X150" s="9">
        <v>0</v>
      </c>
      <c r="Y150" s="9">
        <v>0</v>
      </c>
      <c r="Z150" s="9">
        <v>0</v>
      </c>
      <c r="AM150" s="9">
        <v>0</v>
      </c>
      <c r="AN150" s="9">
        <v>0</v>
      </c>
      <c r="BQ150" s="9">
        <v>0</v>
      </c>
      <c r="DB150" s="11">
        <v>0</v>
      </c>
      <c r="DC150" s="11">
        <v>0</v>
      </c>
      <c r="DD150" s="11"/>
      <c r="DE150" s="11"/>
      <c r="DF150" s="11"/>
      <c r="DG150" s="11"/>
      <c r="DH150" s="11"/>
      <c r="DI150" s="11"/>
      <c r="DJ150" s="11"/>
      <c r="DK150" s="11"/>
      <c r="DL150" s="11"/>
      <c r="DM150" s="11">
        <v>5.22</v>
      </c>
      <c r="DN150" s="11">
        <v>5.37</v>
      </c>
      <c r="DO150" s="11"/>
      <c r="DP150" s="11"/>
      <c r="DQ150" s="11">
        <v>0</v>
      </c>
      <c r="DR150" s="11">
        <v>0</v>
      </c>
      <c r="DS150" s="11">
        <v>0.19</v>
      </c>
      <c r="DT150" s="9">
        <v>0</v>
      </c>
    </row>
    <row r="151" spans="1:124" x14ac:dyDescent="0.2">
      <c r="A151" s="10">
        <v>42942</v>
      </c>
      <c r="B151" s="9" t="s">
        <v>198</v>
      </c>
      <c r="C151" s="9" t="s">
        <v>223</v>
      </c>
      <c r="D151" s="9" t="s">
        <v>228</v>
      </c>
      <c r="E151" s="9">
        <v>17.5</v>
      </c>
      <c r="F151" s="11">
        <v>87.6</v>
      </c>
      <c r="G151" s="11">
        <v>80.400000000000006</v>
      </c>
      <c r="H151" s="11">
        <v>12</v>
      </c>
      <c r="I151" s="9">
        <v>84.96</v>
      </c>
      <c r="J151" s="9">
        <v>1.61</v>
      </c>
      <c r="K151" s="9">
        <v>0.45</v>
      </c>
      <c r="L151" s="9">
        <v>0</v>
      </c>
      <c r="M151" s="9">
        <v>12.98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15.99</v>
      </c>
      <c r="V151" s="9">
        <v>7.84</v>
      </c>
      <c r="W151" s="9">
        <v>0</v>
      </c>
      <c r="X151" s="9">
        <v>0</v>
      </c>
      <c r="Y151" s="9">
        <v>0</v>
      </c>
      <c r="Z151" s="9">
        <v>0</v>
      </c>
      <c r="AM151" s="9">
        <v>0</v>
      </c>
      <c r="AN151" s="9">
        <v>0</v>
      </c>
      <c r="BQ151" s="9">
        <v>0</v>
      </c>
      <c r="DB151" s="11">
        <v>0</v>
      </c>
      <c r="DC151" s="11">
        <v>0</v>
      </c>
      <c r="DD151" s="11"/>
      <c r="DE151" s="11"/>
      <c r="DF151" s="11"/>
      <c r="DG151" s="11"/>
      <c r="DH151" s="11"/>
      <c r="DI151" s="11"/>
      <c r="DJ151" s="11"/>
      <c r="DK151" s="11"/>
      <c r="DL151" s="11"/>
      <c r="DM151" s="11">
        <v>5.22</v>
      </c>
      <c r="DN151" s="11">
        <v>5.37</v>
      </c>
      <c r="DO151" s="11"/>
      <c r="DP151" s="11"/>
      <c r="DQ151" s="11">
        <v>0</v>
      </c>
      <c r="DR151" s="11">
        <v>0</v>
      </c>
      <c r="DS151" s="11">
        <v>0.19</v>
      </c>
      <c r="DT151" s="9">
        <v>0</v>
      </c>
    </row>
    <row r="152" spans="1:124" x14ac:dyDescent="0.2">
      <c r="A152" s="10">
        <v>42942</v>
      </c>
      <c r="B152" s="9" t="s">
        <v>198</v>
      </c>
      <c r="C152" s="9" t="s">
        <v>223</v>
      </c>
      <c r="D152" s="9" t="s">
        <v>229</v>
      </c>
      <c r="E152" s="9">
        <v>16.5</v>
      </c>
      <c r="F152" s="11">
        <v>73.2</v>
      </c>
      <c r="G152" s="11">
        <v>80.400000000000006</v>
      </c>
      <c r="H152" s="11">
        <v>10.199999999999999</v>
      </c>
      <c r="I152" s="9">
        <v>69.430000000000007</v>
      </c>
      <c r="J152" s="9">
        <v>29.45</v>
      </c>
      <c r="K152" s="9">
        <v>1.1200000000000001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29.3</v>
      </c>
      <c r="V152" s="9">
        <v>10.81</v>
      </c>
      <c r="W152" s="9">
        <v>0</v>
      </c>
      <c r="X152" s="9">
        <v>0</v>
      </c>
      <c r="Y152" s="9">
        <v>5.9</v>
      </c>
      <c r="Z152" s="9">
        <v>2</v>
      </c>
      <c r="AA152" s="9">
        <v>3</v>
      </c>
      <c r="AB152" s="9">
        <v>2.0099999999999998</v>
      </c>
      <c r="AG152" s="9">
        <v>3</v>
      </c>
      <c r="AH152" s="9">
        <v>2.0099999999999998</v>
      </c>
      <c r="AM152" s="9">
        <v>0</v>
      </c>
      <c r="AN152" s="9">
        <v>0</v>
      </c>
      <c r="BQ152" s="9">
        <v>0</v>
      </c>
      <c r="DB152" s="11">
        <v>0</v>
      </c>
      <c r="DC152" s="11">
        <v>0</v>
      </c>
      <c r="DD152" s="11"/>
      <c r="DE152" s="11"/>
      <c r="DF152" s="11"/>
      <c r="DG152" s="11"/>
      <c r="DH152" s="11"/>
      <c r="DI152" s="11"/>
      <c r="DJ152" s="11"/>
      <c r="DK152" s="11"/>
      <c r="DL152" s="11"/>
      <c r="DM152" s="11">
        <v>0</v>
      </c>
      <c r="DN152" s="11">
        <v>0</v>
      </c>
      <c r="DO152" s="11"/>
      <c r="DP152" s="11"/>
      <c r="DQ152" s="11">
        <v>0</v>
      </c>
      <c r="DR152" s="11">
        <v>0</v>
      </c>
      <c r="DS152" s="11">
        <v>0</v>
      </c>
      <c r="DT152" s="9">
        <v>0</v>
      </c>
    </row>
    <row r="153" spans="1:124" x14ac:dyDescent="0.2">
      <c r="A153" s="10">
        <v>42942</v>
      </c>
      <c r="B153" s="9" t="s">
        <v>198</v>
      </c>
      <c r="C153" s="9" t="s">
        <v>223</v>
      </c>
      <c r="D153" s="9" t="s">
        <v>230</v>
      </c>
      <c r="E153" s="9">
        <v>16.5</v>
      </c>
      <c r="F153" s="11">
        <v>66.900000000000006</v>
      </c>
      <c r="G153" s="11">
        <v>80.400000000000006</v>
      </c>
      <c r="H153" s="11">
        <v>10.199999999999999</v>
      </c>
      <c r="I153" s="9">
        <v>69.430000000000007</v>
      </c>
      <c r="J153" s="9">
        <v>29.45</v>
      </c>
      <c r="K153" s="9">
        <v>1.1200000000000001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29.3</v>
      </c>
      <c r="V153" s="9">
        <v>10.81</v>
      </c>
      <c r="W153" s="9">
        <v>0</v>
      </c>
      <c r="X153" s="9">
        <v>0</v>
      </c>
      <c r="Y153" s="9">
        <v>5.9</v>
      </c>
      <c r="Z153" s="9">
        <v>2</v>
      </c>
      <c r="AA153" s="9">
        <v>3</v>
      </c>
      <c r="AB153" s="9">
        <v>2.0099999999999998</v>
      </c>
      <c r="AG153" s="9">
        <v>3</v>
      </c>
      <c r="AH153" s="9">
        <v>2.0099999999999998</v>
      </c>
      <c r="AM153" s="9">
        <v>0</v>
      </c>
      <c r="AN153" s="9">
        <v>0</v>
      </c>
      <c r="BQ153" s="9">
        <v>0</v>
      </c>
      <c r="DB153" s="11">
        <v>0</v>
      </c>
      <c r="DC153" s="11">
        <v>0</v>
      </c>
      <c r="DD153" s="11"/>
      <c r="DE153" s="11"/>
      <c r="DF153" s="11"/>
      <c r="DG153" s="11"/>
      <c r="DH153" s="11"/>
      <c r="DI153" s="11"/>
      <c r="DJ153" s="11"/>
      <c r="DK153" s="11"/>
      <c r="DL153" s="11"/>
      <c r="DM153" s="11">
        <v>0</v>
      </c>
      <c r="DN153" s="11">
        <v>0</v>
      </c>
      <c r="DO153" s="11"/>
      <c r="DP153" s="11"/>
      <c r="DQ153" s="11">
        <v>0</v>
      </c>
      <c r="DR153" s="11">
        <v>0</v>
      </c>
      <c r="DS153" s="11">
        <v>0</v>
      </c>
      <c r="DT153" s="9">
        <v>0</v>
      </c>
    </row>
    <row r="154" spans="1:124" x14ac:dyDescent="0.2">
      <c r="A154" s="10">
        <v>42942</v>
      </c>
      <c r="B154" s="9" t="s">
        <v>198</v>
      </c>
      <c r="C154" s="9" t="s">
        <v>223</v>
      </c>
      <c r="D154" s="9" t="s">
        <v>231</v>
      </c>
      <c r="E154" s="9">
        <v>20</v>
      </c>
      <c r="F154" s="11">
        <v>67.400000000000006</v>
      </c>
      <c r="G154" s="11">
        <v>80.400000000000006</v>
      </c>
      <c r="H154" s="11">
        <v>14.6</v>
      </c>
      <c r="I154" s="9">
        <v>69.8</v>
      </c>
      <c r="J154" s="9">
        <v>26.12</v>
      </c>
      <c r="K154" s="9">
        <v>4.07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46.54</v>
      </c>
      <c r="W154" s="9">
        <v>6.31</v>
      </c>
      <c r="X154" s="9">
        <v>0</v>
      </c>
      <c r="Y154" s="9">
        <v>0</v>
      </c>
      <c r="Z154" s="9">
        <v>0</v>
      </c>
      <c r="AM154" s="9">
        <v>0</v>
      </c>
      <c r="AN154" s="9">
        <v>0</v>
      </c>
      <c r="BQ154" s="9">
        <v>0</v>
      </c>
      <c r="DB154" s="11">
        <v>0</v>
      </c>
      <c r="DC154" s="11">
        <v>0</v>
      </c>
      <c r="DD154" s="11"/>
      <c r="DE154" s="11"/>
      <c r="DF154" s="11"/>
      <c r="DG154" s="11"/>
      <c r="DH154" s="11"/>
      <c r="DI154" s="11"/>
      <c r="DJ154" s="11"/>
      <c r="DK154" s="11"/>
      <c r="DL154" s="11"/>
      <c r="DM154" s="11">
        <v>5.27</v>
      </c>
      <c r="DN154" s="11">
        <v>8.3699999999999992</v>
      </c>
      <c r="DO154" s="11"/>
      <c r="DP154" s="11"/>
      <c r="DQ154" s="11">
        <v>0</v>
      </c>
      <c r="DR154" s="11">
        <v>0</v>
      </c>
      <c r="DS154" s="11">
        <v>0</v>
      </c>
      <c r="DT154" s="9">
        <v>0</v>
      </c>
    </row>
    <row r="155" spans="1:124" x14ac:dyDescent="0.2">
      <c r="A155" s="10">
        <v>42942</v>
      </c>
      <c r="B155" s="9" t="s">
        <v>198</v>
      </c>
      <c r="C155" s="9" t="s">
        <v>233</v>
      </c>
      <c r="D155" s="9" t="s">
        <v>232</v>
      </c>
      <c r="E155" s="9">
        <v>19.5</v>
      </c>
      <c r="F155" s="11">
        <v>74.3</v>
      </c>
      <c r="G155" s="11">
        <v>80.400000000000006</v>
      </c>
      <c r="H155" s="11">
        <v>7.8</v>
      </c>
      <c r="I155" s="9">
        <v>89.52</v>
      </c>
      <c r="J155" s="9">
        <v>8.69</v>
      </c>
      <c r="K155" s="9">
        <v>1.79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18.73</v>
      </c>
      <c r="V155" s="9">
        <v>9.35</v>
      </c>
      <c r="W155" s="9">
        <v>0</v>
      </c>
      <c r="X155" s="9">
        <v>0</v>
      </c>
      <c r="Y155" s="9">
        <v>0</v>
      </c>
      <c r="AM155" s="9">
        <v>3.92</v>
      </c>
      <c r="AN155" s="9">
        <v>1</v>
      </c>
      <c r="AO155" s="9">
        <v>52</v>
      </c>
      <c r="AP155" s="9">
        <v>4</v>
      </c>
      <c r="AQ155" s="9">
        <f>1.01*2+0.56+0.9</f>
        <v>3.48</v>
      </c>
      <c r="AR155" s="9">
        <v>2</v>
      </c>
      <c r="BQ155" s="9">
        <v>1</v>
      </c>
      <c r="BR155" s="9">
        <v>50</v>
      </c>
      <c r="BS155" s="9">
        <v>1</v>
      </c>
      <c r="BT155" s="9">
        <v>1.9</v>
      </c>
      <c r="BU155" s="9">
        <v>3</v>
      </c>
      <c r="DB155" s="11">
        <v>2.2400000000000002</v>
      </c>
      <c r="DC155" s="11">
        <v>1</v>
      </c>
      <c r="DD155" s="11">
        <v>2</v>
      </c>
      <c r="DE155" s="11"/>
      <c r="DF155" s="11">
        <f>1.87*2</f>
        <v>3.74</v>
      </c>
      <c r="DG155" s="11"/>
      <c r="DH155" s="11"/>
      <c r="DI155" s="11"/>
      <c r="DJ155" s="11"/>
      <c r="DK155" s="11"/>
      <c r="DL155" s="11"/>
      <c r="DM155" s="11">
        <v>5.49</v>
      </c>
      <c r="DN155" s="11">
        <f>1.01*2+0.56+1.87*2+0.9</f>
        <v>7.2200000000000006</v>
      </c>
      <c r="DO155" s="11"/>
      <c r="DP155" s="11"/>
      <c r="DQ155" s="11">
        <v>0</v>
      </c>
      <c r="DR155" s="11">
        <v>0</v>
      </c>
      <c r="DS155" s="11">
        <v>0</v>
      </c>
      <c r="DT155" s="9">
        <v>0</v>
      </c>
    </row>
    <row r="156" spans="1:124" x14ac:dyDescent="0.2">
      <c r="A156" s="10">
        <v>42942</v>
      </c>
      <c r="B156" s="9" t="s">
        <v>198</v>
      </c>
      <c r="C156" s="9" t="s">
        <v>233</v>
      </c>
      <c r="D156" s="9" t="s">
        <v>234</v>
      </c>
      <c r="E156" s="9">
        <v>19.5</v>
      </c>
      <c r="F156" s="11">
        <v>74.599999999999994</v>
      </c>
      <c r="G156" s="11">
        <v>80.400000000000006</v>
      </c>
      <c r="H156" s="11">
        <v>7.8</v>
      </c>
      <c r="I156" s="9">
        <v>89.29</v>
      </c>
      <c r="J156" s="9">
        <v>8.92</v>
      </c>
      <c r="K156" s="9">
        <v>1.79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18.95</v>
      </c>
      <c r="V156" s="9">
        <v>9.35</v>
      </c>
      <c r="W156" s="9">
        <v>0</v>
      </c>
      <c r="X156" s="9">
        <v>0</v>
      </c>
      <c r="Y156" s="9">
        <v>0</v>
      </c>
      <c r="AM156" s="9">
        <v>3.9</v>
      </c>
      <c r="AN156" s="9">
        <v>1</v>
      </c>
      <c r="AO156" s="9">
        <v>52</v>
      </c>
      <c r="AP156" s="9">
        <v>4</v>
      </c>
      <c r="AQ156" s="9">
        <f>1.01*2+0.56+0.9</f>
        <v>3.48</v>
      </c>
      <c r="AR156" s="9">
        <v>3</v>
      </c>
      <c r="BQ156" s="9">
        <v>1</v>
      </c>
      <c r="BR156" s="9">
        <v>50</v>
      </c>
      <c r="BS156" s="9">
        <v>1</v>
      </c>
      <c r="BT156" s="9">
        <v>1.9</v>
      </c>
      <c r="BU156" s="9">
        <v>3</v>
      </c>
      <c r="DB156" s="11">
        <v>2.2400000000000002</v>
      </c>
      <c r="DC156" s="11">
        <v>1</v>
      </c>
      <c r="DD156" s="11">
        <v>2</v>
      </c>
      <c r="DE156" s="11"/>
      <c r="DF156" s="11">
        <f>1.87*2</f>
        <v>3.74</v>
      </c>
      <c r="DG156" s="11"/>
      <c r="DH156" s="11"/>
      <c r="DI156" s="11"/>
      <c r="DJ156" s="11"/>
      <c r="DK156" s="11"/>
      <c r="DL156" s="11"/>
      <c r="DM156" s="11">
        <v>6.49</v>
      </c>
      <c r="DN156" s="11">
        <f>1.01*2+0.56+1.87*2+0.9</f>
        <v>7.2200000000000006</v>
      </c>
      <c r="DO156" s="11"/>
      <c r="DP156" s="11"/>
      <c r="DQ156" s="11">
        <v>0</v>
      </c>
      <c r="DR156" s="11">
        <v>0</v>
      </c>
      <c r="DS156" s="11">
        <v>0</v>
      </c>
      <c r="DT156" s="9">
        <v>0</v>
      </c>
    </row>
    <row r="157" spans="1:124" x14ac:dyDescent="0.2">
      <c r="A157" s="10">
        <v>42942</v>
      </c>
      <c r="B157" s="9" t="s">
        <v>198</v>
      </c>
      <c r="C157" s="9" t="s">
        <v>233</v>
      </c>
      <c r="D157" s="9" t="s">
        <v>235</v>
      </c>
      <c r="E157" s="9">
        <v>22.5</v>
      </c>
      <c r="F157" s="11">
        <v>73.400000000000006</v>
      </c>
      <c r="G157" s="11">
        <v>80.400000000000006</v>
      </c>
      <c r="H157" s="11">
        <v>10.4</v>
      </c>
      <c r="I157" s="9">
        <v>88.12</v>
      </c>
      <c r="J157" s="9">
        <v>6.29</v>
      </c>
      <c r="K157" s="9">
        <v>4.25</v>
      </c>
      <c r="L157" s="9">
        <v>0</v>
      </c>
      <c r="M157" s="9">
        <v>1.34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2.46</v>
      </c>
      <c r="V157" s="9">
        <v>13.2</v>
      </c>
      <c r="W157" s="9">
        <v>0</v>
      </c>
      <c r="X157" s="9">
        <v>0</v>
      </c>
      <c r="Y157" s="9">
        <v>0</v>
      </c>
      <c r="AM157" s="9">
        <v>0</v>
      </c>
      <c r="DB157" s="11">
        <v>2.2400000000000002</v>
      </c>
      <c r="DC157" s="11">
        <v>1</v>
      </c>
      <c r="DD157" s="11">
        <v>2</v>
      </c>
      <c r="DE157" s="11">
        <v>3.73</v>
      </c>
      <c r="DF157" s="11"/>
      <c r="DG157" s="11"/>
      <c r="DH157" s="11"/>
      <c r="DI157" s="11"/>
      <c r="DJ157" s="11"/>
      <c r="DK157" s="11"/>
      <c r="DL157" s="11"/>
      <c r="DM157" s="11">
        <v>9.68</v>
      </c>
      <c r="DN157" s="11">
        <f>2.01+1.34+2.69+3.73+0.81</f>
        <v>10.58</v>
      </c>
      <c r="DO157" s="11"/>
      <c r="DP157" s="11"/>
      <c r="DQ157" s="11">
        <v>0</v>
      </c>
      <c r="DR157" s="11">
        <v>0</v>
      </c>
      <c r="DS157" s="11">
        <v>0.16</v>
      </c>
      <c r="DT157" s="9">
        <v>0</v>
      </c>
    </row>
    <row r="158" spans="1:124" x14ac:dyDescent="0.2">
      <c r="A158" s="10">
        <v>42942</v>
      </c>
      <c r="B158" s="9" t="s">
        <v>198</v>
      </c>
      <c r="C158" s="9" t="s">
        <v>233</v>
      </c>
      <c r="D158" s="9" t="s">
        <v>236</v>
      </c>
      <c r="E158" s="9">
        <v>29.5</v>
      </c>
      <c r="F158" s="11">
        <v>53.8</v>
      </c>
      <c r="G158" s="11">
        <v>80.400000000000006</v>
      </c>
      <c r="H158" s="11">
        <v>12.1</v>
      </c>
      <c r="I158" s="9">
        <v>86.6</v>
      </c>
      <c r="J158" s="9">
        <v>8.48</v>
      </c>
      <c r="K158" s="9">
        <v>4.93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2.02</v>
      </c>
      <c r="V158" s="9">
        <v>19.559999999999999</v>
      </c>
      <c r="W158" s="9">
        <v>0.25</v>
      </c>
      <c r="X158" s="9">
        <v>0</v>
      </c>
      <c r="Y158" s="9">
        <v>0</v>
      </c>
      <c r="Z158" s="9">
        <v>0</v>
      </c>
      <c r="AA158" s="9">
        <v>0</v>
      </c>
      <c r="AG158" s="9">
        <v>0</v>
      </c>
      <c r="AM158" s="9">
        <v>0</v>
      </c>
      <c r="AN158" s="9">
        <v>0</v>
      </c>
      <c r="BQ158" s="9">
        <v>0</v>
      </c>
      <c r="DB158" s="11">
        <v>6.72</v>
      </c>
      <c r="DC158" s="11">
        <v>1</v>
      </c>
      <c r="DD158" s="11">
        <v>2</v>
      </c>
      <c r="DE158" s="11"/>
      <c r="DF158" s="11">
        <f>3.73*3</f>
        <v>11.19</v>
      </c>
      <c r="DG158" s="11"/>
      <c r="DH158" s="11"/>
      <c r="DI158" s="11"/>
      <c r="DJ158" s="11"/>
      <c r="DK158" s="11"/>
      <c r="DL158" s="11"/>
      <c r="DM158" s="11">
        <v>10.6</v>
      </c>
      <c r="DN158" s="11">
        <v>12.44</v>
      </c>
      <c r="DO158" s="11"/>
      <c r="DP158" s="11"/>
      <c r="DQ158" s="11">
        <v>0</v>
      </c>
      <c r="DR158" s="11">
        <v>0</v>
      </c>
      <c r="DS158" s="11">
        <v>0</v>
      </c>
      <c r="DT158" s="9">
        <v>0</v>
      </c>
    </row>
    <row r="159" spans="1:124" x14ac:dyDescent="0.2">
      <c r="A159" s="10">
        <v>42942</v>
      </c>
      <c r="B159" s="9" t="s">
        <v>198</v>
      </c>
      <c r="C159" s="9" t="s">
        <v>233</v>
      </c>
      <c r="D159" s="9" t="s">
        <v>237</v>
      </c>
      <c r="E159" s="9">
        <v>51.5</v>
      </c>
      <c r="F159" s="11">
        <v>63.4</v>
      </c>
      <c r="G159" s="11">
        <v>80.400000000000006</v>
      </c>
      <c r="H159" s="11">
        <v>18.100000000000001</v>
      </c>
      <c r="I159" s="9">
        <v>83.5</v>
      </c>
      <c r="J159" s="9">
        <v>5.36</v>
      </c>
      <c r="K159" s="9">
        <v>8.4600000000000009</v>
      </c>
      <c r="L159" s="9">
        <v>0</v>
      </c>
      <c r="M159" s="9">
        <v>2.69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0.99</v>
      </c>
      <c r="V159" s="9">
        <v>13.55</v>
      </c>
      <c r="W159" s="9">
        <v>16.2</v>
      </c>
      <c r="X159" s="9">
        <v>0</v>
      </c>
      <c r="Y159" s="9">
        <v>0</v>
      </c>
      <c r="Z159" s="9">
        <v>0</v>
      </c>
      <c r="AM159" s="9">
        <v>18.399999999999999</v>
      </c>
      <c r="AN159" s="9">
        <v>1</v>
      </c>
      <c r="AO159" s="9">
        <v>47</v>
      </c>
      <c r="AP159" s="9">
        <v>1</v>
      </c>
      <c r="AQ159" s="9">
        <v>0.9</v>
      </c>
      <c r="AR159" s="9">
        <v>3</v>
      </c>
      <c r="AS159" s="9">
        <v>35</v>
      </c>
      <c r="AT159" s="9">
        <v>3</v>
      </c>
      <c r="AU159" s="9">
        <f>0.94</f>
        <v>0.94</v>
      </c>
      <c r="AV159" s="9">
        <v>3</v>
      </c>
      <c r="AW159" s="9">
        <v>68</v>
      </c>
      <c r="AX159" s="9">
        <v>1</v>
      </c>
      <c r="AY159" s="12">
        <v>6.22</v>
      </c>
      <c r="AZ159" s="9">
        <v>1</v>
      </c>
      <c r="BQ159" s="9">
        <v>0</v>
      </c>
      <c r="DB159" s="11">
        <v>3.75</v>
      </c>
      <c r="DC159" s="11">
        <v>1</v>
      </c>
      <c r="DD159" s="11">
        <v>1</v>
      </c>
      <c r="DE159" s="11"/>
      <c r="DF159" s="11">
        <f>2.49+0.05+0.03</f>
        <v>2.57</v>
      </c>
      <c r="DG159" s="11">
        <v>2</v>
      </c>
      <c r="DH159" s="11"/>
      <c r="DI159" s="11">
        <v>2.4900000000000002</v>
      </c>
      <c r="DJ159" s="11"/>
      <c r="DK159" s="11"/>
      <c r="DL159" s="11"/>
      <c r="DM159" s="11">
        <v>11.1</v>
      </c>
      <c r="DN159" s="11">
        <v>18.47</v>
      </c>
      <c r="DO159" s="11"/>
      <c r="DP159" s="11"/>
      <c r="DQ159" s="11">
        <v>0</v>
      </c>
      <c r="DR159" s="11">
        <v>0</v>
      </c>
      <c r="DS159" s="11">
        <v>0</v>
      </c>
      <c r="DT159" s="9">
        <v>0</v>
      </c>
    </row>
    <row r="160" spans="1:124" x14ac:dyDescent="0.2">
      <c r="A160" s="10">
        <v>42942</v>
      </c>
      <c r="B160" s="9" t="s">
        <v>198</v>
      </c>
      <c r="C160" s="9" t="s">
        <v>233</v>
      </c>
      <c r="D160" s="9" t="s">
        <v>238</v>
      </c>
      <c r="E160" s="9">
        <v>33.5</v>
      </c>
      <c r="F160" s="11">
        <v>54</v>
      </c>
      <c r="G160" s="11">
        <v>80.400000000000006</v>
      </c>
      <c r="H160" s="11">
        <v>9.6</v>
      </c>
      <c r="I160" s="9">
        <v>86.69</v>
      </c>
      <c r="J160" s="9">
        <v>8.34</v>
      </c>
      <c r="K160" s="9">
        <v>4.97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12.83</v>
      </c>
      <c r="V160" s="9">
        <v>6.09</v>
      </c>
      <c r="W160" s="9">
        <v>0</v>
      </c>
      <c r="X160" s="9">
        <v>0</v>
      </c>
      <c r="Y160" s="9">
        <v>0</v>
      </c>
      <c r="Z160" s="9">
        <v>0</v>
      </c>
      <c r="AM160" s="9">
        <v>11.3</v>
      </c>
      <c r="AN160" s="9">
        <v>1</v>
      </c>
      <c r="AO160" s="9">
        <v>47</v>
      </c>
      <c r="AP160" s="9">
        <v>1</v>
      </c>
      <c r="AQ160" s="9">
        <v>0.9</v>
      </c>
      <c r="AR160" s="9">
        <v>3</v>
      </c>
      <c r="AS160" s="9">
        <v>35</v>
      </c>
      <c r="AT160" s="9">
        <v>2</v>
      </c>
      <c r="AU160" s="9">
        <v>0.92</v>
      </c>
      <c r="AV160" s="9">
        <v>3</v>
      </c>
      <c r="BQ160" s="9">
        <v>0</v>
      </c>
      <c r="DB160" s="11">
        <v>3.75</v>
      </c>
      <c r="DC160" s="11">
        <v>1</v>
      </c>
      <c r="DD160" s="11">
        <v>1</v>
      </c>
      <c r="DE160" s="11"/>
      <c r="DF160" s="11">
        <f>2.49+0.05+0.03</f>
        <v>2.57</v>
      </c>
      <c r="DG160" s="11">
        <v>2</v>
      </c>
      <c r="DH160" s="11"/>
      <c r="DI160" s="11">
        <v>2.4900000000000002</v>
      </c>
      <c r="DJ160" s="11"/>
      <c r="DK160" s="11"/>
      <c r="DL160" s="11"/>
      <c r="DM160" s="11">
        <v>8.81</v>
      </c>
      <c r="DN160" s="11">
        <v>6.01</v>
      </c>
      <c r="DO160" s="11"/>
      <c r="DP160" s="11"/>
      <c r="DQ160" s="11">
        <v>0</v>
      </c>
      <c r="DR160" s="11">
        <v>0</v>
      </c>
      <c r="DS160" s="11">
        <v>0</v>
      </c>
      <c r="DT160" s="9">
        <v>0</v>
      </c>
    </row>
    <row r="161" spans="1:124" x14ac:dyDescent="0.2">
      <c r="A161" s="10">
        <v>42942</v>
      </c>
      <c r="B161" s="9" t="s">
        <v>198</v>
      </c>
      <c r="C161" s="9" t="s">
        <v>233</v>
      </c>
      <c r="D161" s="9" t="s">
        <v>239</v>
      </c>
      <c r="E161" s="9">
        <v>79</v>
      </c>
      <c r="F161" s="11">
        <v>63.9</v>
      </c>
      <c r="G161" s="11">
        <v>80.400000000000006</v>
      </c>
      <c r="H161" s="11">
        <v>11.2</v>
      </c>
      <c r="I161" s="9">
        <v>77.430000000000007</v>
      </c>
      <c r="J161" s="9">
        <v>22.57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45.87</v>
      </c>
      <c r="W161" s="9">
        <v>0</v>
      </c>
      <c r="X161" s="9">
        <v>0</v>
      </c>
      <c r="Y161" s="9">
        <v>0</v>
      </c>
      <c r="Z161" s="9">
        <v>0</v>
      </c>
      <c r="AM161" s="9">
        <v>56.3</v>
      </c>
      <c r="AN161" s="9">
        <v>1</v>
      </c>
      <c r="AO161" s="9">
        <v>47</v>
      </c>
      <c r="AP161" s="9">
        <v>18</v>
      </c>
      <c r="AQ161" s="9">
        <f>13.43+9.14</f>
        <v>22.57</v>
      </c>
      <c r="AR161" s="9">
        <v>3</v>
      </c>
      <c r="BQ161" s="9">
        <v>0</v>
      </c>
      <c r="DB161" s="11">
        <v>0</v>
      </c>
      <c r="DC161" s="11">
        <v>0</v>
      </c>
      <c r="DD161" s="11"/>
      <c r="DE161" s="11"/>
      <c r="DF161" s="11"/>
      <c r="DG161" s="11"/>
      <c r="DH161" s="11"/>
      <c r="DI161" s="11"/>
      <c r="DJ161" s="11"/>
      <c r="DK161" s="11"/>
      <c r="DL161" s="11"/>
      <c r="DM161" s="11">
        <v>11.54</v>
      </c>
      <c r="DN161" s="11">
        <v>22.57</v>
      </c>
      <c r="DO161" s="11"/>
      <c r="DP161" s="11"/>
      <c r="DQ161" s="11">
        <v>0</v>
      </c>
      <c r="DR161" s="11">
        <v>0</v>
      </c>
      <c r="DS161" s="11">
        <v>0</v>
      </c>
      <c r="DT161" s="9">
        <v>0</v>
      </c>
    </row>
    <row r="162" spans="1:124" x14ac:dyDescent="0.2">
      <c r="A162" s="10">
        <v>42942</v>
      </c>
      <c r="B162" s="9" t="s">
        <v>198</v>
      </c>
      <c r="C162" s="9" t="s">
        <v>233</v>
      </c>
      <c r="D162" s="9" t="s">
        <v>240</v>
      </c>
      <c r="E162" s="9">
        <v>42.5</v>
      </c>
      <c r="F162" s="11">
        <v>76.400000000000006</v>
      </c>
      <c r="G162" s="11">
        <v>80.400000000000006</v>
      </c>
      <c r="H162" s="11">
        <v>15.3</v>
      </c>
      <c r="I162" s="9">
        <v>73.599999999999994</v>
      </c>
      <c r="J162" s="9">
        <v>20.420000000000002</v>
      </c>
      <c r="K162" s="9">
        <v>3.69</v>
      </c>
      <c r="L162" s="9">
        <v>0</v>
      </c>
      <c r="M162" s="9">
        <v>2.2799999999999998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35.36</v>
      </c>
      <c r="W162" s="9">
        <v>16.37</v>
      </c>
      <c r="X162" s="9">
        <v>0</v>
      </c>
      <c r="Y162" s="9">
        <v>4.4000000000000004</v>
      </c>
      <c r="Z162" s="9">
        <v>2</v>
      </c>
      <c r="AA162" s="9">
        <v>10</v>
      </c>
      <c r="AB162" s="9">
        <v>0.9</v>
      </c>
      <c r="AG162" s="9">
        <v>10</v>
      </c>
      <c r="AH162" s="9">
        <v>0.9</v>
      </c>
      <c r="AM162" s="9">
        <v>9.6999999999999993</v>
      </c>
      <c r="AN162" s="9">
        <v>1</v>
      </c>
      <c r="AO162" s="9">
        <v>68</v>
      </c>
      <c r="AP162" s="9">
        <v>2</v>
      </c>
      <c r="AQ162" s="9">
        <f>3.34+5.29</f>
        <v>8.629999999999999</v>
      </c>
      <c r="AR162" s="9">
        <v>1</v>
      </c>
      <c r="AS162" s="9">
        <v>34</v>
      </c>
      <c r="AT162" s="9">
        <v>86</v>
      </c>
      <c r="AU162" s="9">
        <f>0.8+0.6</f>
        <v>1.4</v>
      </c>
      <c r="AV162" s="9">
        <v>1</v>
      </c>
      <c r="AW162" s="9">
        <v>47</v>
      </c>
      <c r="AX162" s="9">
        <v>1</v>
      </c>
      <c r="AY162" s="12">
        <v>1.52</v>
      </c>
      <c r="AZ162" s="9">
        <v>3</v>
      </c>
      <c r="BQ162" s="9">
        <v>0</v>
      </c>
      <c r="DB162" s="11">
        <v>0.75</v>
      </c>
      <c r="DC162" s="11">
        <v>1</v>
      </c>
      <c r="DD162" s="11">
        <v>1</v>
      </c>
      <c r="DE162" s="11"/>
      <c r="DF162" s="11">
        <v>12.44</v>
      </c>
      <c r="DG162" s="11"/>
      <c r="DH162" s="11"/>
      <c r="DI162" s="11"/>
      <c r="DJ162" s="11"/>
      <c r="DK162" s="11"/>
      <c r="DL162" s="11"/>
      <c r="DM162" s="11">
        <v>12.35</v>
      </c>
      <c r="DN162" s="11">
        <v>20.34</v>
      </c>
      <c r="DO162" s="11"/>
      <c r="DP162" s="11"/>
      <c r="DQ162" s="11">
        <v>0</v>
      </c>
      <c r="DR162" s="11">
        <v>0</v>
      </c>
      <c r="DS162" s="11">
        <v>0</v>
      </c>
      <c r="DT162" s="9">
        <v>0</v>
      </c>
    </row>
    <row r="163" spans="1:124" x14ac:dyDescent="0.2">
      <c r="A163" s="10">
        <v>42942</v>
      </c>
      <c r="B163" s="9" t="s">
        <v>198</v>
      </c>
      <c r="C163" s="9" t="s">
        <v>233</v>
      </c>
      <c r="D163" s="9" t="s">
        <v>241</v>
      </c>
      <c r="E163" s="9">
        <v>36</v>
      </c>
      <c r="F163" s="11">
        <v>92</v>
      </c>
      <c r="G163" s="11">
        <v>80.400000000000006</v>
      </c>
      <c r="H163" s="11">
        <v>15</v>
      </c>
      <c r="I163" s="9">
        <v>63.9</v>
      </c>
      <c r="J163" s="9">
        <v>34.31</v>
      </c>
      <c r="K163" s="9">
        <v>1.79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9.26</v>
      </c>
      <c r="V163" s="9">
        <v>44.78</v>
      </c>
      <c r="W163" s="9">
        <v>13.76</v>
      </c>
      <c r="X163" s="9">
        <v>0</v>
      </c>
      <c r="Y163" s="9">
        <v>0</v>
      </c>
      <c r="Z163" s="9">
        <v>0</v>
      </c>
      <c r="AM163" s="9">
        <v>6.1</v>
      </c>
      <c r="AN163" s="9">
        <v>1</v>
      </c>
      <c r="AO163" s="9">
        <v>34</v>
      </c>
      <c r="AP163" s="9">
        <v>84</v>
      </c>
      <c r="AQ163" s="9">
        <v>2.96</v>
      </c>
      <c r="AR163" s="9">
        <v>1</v>
      </c>
      <c r="AS163" s="9">
        <v>68</v>
      </c>
      <c r="AT163" s="9">
        <v>1</v>
      </c>
      <c r="AU163" s="9">
        <v>12.5</v>
      </c>
      <c r="AV163" s="9">
        <v>1</v>
      </c>
      <c r="AW163" s="9">
        <v>47</v>
      </c>
      <c r="AX163" s="9">
        <v>4</v>
      </c>
      <c r="AY163" s="12">
        <v>7.16</v>
      </c>
      <c r="AZ163" s="9">
        <v>3</v>
      </c>
      <c r="BA163" s="9">
        <v>35</v>
      </c>
      <c r="BB163" s="9">
        <v>8</v>
      </c>
      <c r="BC163" s="9">
        <f>2.24+0.4</f>
        <v>2.64</v>
      </c>
      <c r="BD163" s="9">
        <v>3</v>
      </c>
      <c r="BQ163" s="9">
        <v>0</v>
      </c>
      <c r="DB163" s="11">
        <v>0.75</v>
      </c>
      <c r="DC163" s="11">
        <v>1</v>
      </c>
      <c r="DD163" s="11">
        <v>1</v>
      </c>
      <c r="DE163" s="11"/>
      <c r="DF163" s="11">
        <v>12.44</v>
      </c>
      <c r="DG163" s="11"/>
      <c r="DH163" s="11"/>
      <c r="DI163" s="11"/>
      <c r="DJ163" s="11"/>
      <c r="DK163" s="11"/>
      <c r="DL163" s="11"/>
      <c r="DM163" s="11">
        <v>14.19</v>
      </c>
      <c r="DN163" s="11">
        <v>27</v>
      </c>
      <c r="DO163" s="11"/>
      <c r="DP163" s="11"/>
      <c r="DQ163" s="11">
        <v>0</v>
      </c>
      <c r="DR163" s="11">
        <v>0</v>
      </c>
      <c r="DS163" s="11">
        <v>0</v>
      </c>
      <c r="DT163" s="9">
        <v>0</v>
      </c>
    </row>
    <row r="164" spans="1:124" x14ac:dyDescent="0.2">
      <c r="A164" s="10">
        <v>42942</v>
      </c>
      <c r="B164" s="9" t="s">
        <v>198</v>
      </c>
      <c r="C164" s="9" t="s">
        <v>233</v>
      </c>
      <c r="D164" s="9" t="s">
        <v>242</v>
      </c>
      <c r="E164" s="9">
        <v>35</v>
      </c>
      <c r="F164" s="11">
        <v>61.4</v>
      </c>
      <c r="G164" s="11">
        <v>80.400000000000006</v>
      </c>
      <c r="H164" s="11">
        <v>17.3</v>
      </c>
      <c r="I164" s="9">
        <v>75.88</v>
      </c>
      <c r="J164" s="9">
        <v>22.33</v>
      </c>
      <c r="K164" s="9">
        <v>1.79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6.29</v>
      </c>
      <c r="U164" s="9">
        <v>0</v>
      </c>
      <c r="V164" s="9">
        <v>6.58</v>
      </c>
      <c r="W164" s="9">
        <v>39.270000000000003</v>
      </c>
      <c r="X164" s="9">
        <v>0</v>
      </c>
      <c r="Y164" s="9">
        <v>0</v>
      </c>
      <c r="Z164" s="9">
        <v>0</v>
      </c>
      <c r="AM164" s="9">
        <v>4.8</v>
      </c>
      <c r="AN164" s="9">
        <v>1</v>
      </c>
      <c r="AO164" s="9">
        <v>47</v>
      </c>
      <c r="AP164" s="9">
        <v>4</v>
      </c>
      <c r="AQ164" s="9">
        <f>0.06+0.43</f>
        <v>0.49</v>
      </c>
      <c r="AR164" s="9">
        <v>3</v>
      </c>
      <c r="AS164" s="9">
        <v>68</v>
      </c>
      <c r="AT164" s="9">
        <v>1</v>
      </c>
      <c r="AU164" s="9">
        <v>0.01</v>
      </c>
      <c r="AV164" s="9">
        <v>1</v>
      </c>
      <c r="AW164" s="9">
        <v>103</v>
      </c>
      <c r="AX164" s="9">
        <v>2</v>
      </c>
      <c r="AY164" s="12">
        <f>0.06+0.12</f>
        <v>0.18</v>
      </c>
      <c r="AZ164" s="9">
        <v>1</v>
      </c>
      <c r="BQ164" s="9">
        <v>0</v>
      </c>
      <c r="DB164" s="11">
        <v>2.0499999999999998</v>
      </c>
      <c r="DC164" s="11">
        <v>1</v>
      </c>
      <c r="DD164" s="11">
        <v>2</v>
      </c>
      <c r="DE164" s="11"/>
      <c r="DF164" s="11">
        <f>0.26+1.78+1.56</f>
        <v>3.6</v>
      </c>
      <c r="DG164" s="11"/>
      <c r="DH164" s="11"/>
      <c r="DI164" s="11"/>
      <c r="DJ164" s="11"/>
      <c r="DK164" s="11"/>
      <c r="DL164" s="11"/>
      <c r="DM164" s="11">
        <v>10.6</v>
      </c>
      <c r="DN164" s="11">
        <v>19.010000000000002</v>
      </c>
      <c r="DO164" s="11"/>
      <c r="DP164" s="11"/>
      <c r="DQ164" s="11">
        <v>0</v>
      </c>
      <c r="DR164" s="11">
        <v>0</v>
      </c>
      <c r="DS164" s="11">
        <v>0</v>
      </c>
      <c r="DT164" s="9">
        <v>0</v>
      </c>
    </row>
    <row r="165" spans="1:124" x14ac:dyDescent="0.2">
      <c r="A165" s="10">
        <v>42942</v>
      </c>
      <c r="B165" s="9" t="s">
        <v>198</v>
      </c>
      <c r="C165" s="9" t="s">
        <v>233</v>
      </c>
      <c r="D165" s="9" t="s">
        <v>243</v>
      </c>
      <c r="E165" s="9">
        <v>35.5</v>
      </c>
      <c r="F165" s="11">
        <v>72.3</v>
      </c>
      <c r="G165" s="11">
        <v>80.400000000000006</v>
      </c>
      <c r="H165" s="11">
        <v>9.3000000000000007</v>
      </c>
      <c r="I165" s="9">
        <v>95.13</v>
      </c>
      <c r="J165" s="9">
        <v>3.64</v>
      </c>
      <c r="K165" s="9">
        <v>1.23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0.06</v>
      </c>
      <c r="V165" s="9">
        <v>25.99</v>
      </c>
      <c r="W165" s="9">
        <v>0</v>
      </c>
      <c r="X165" s="9">
        <v>0</v>
      </c>
      <c r="Y165" s="9">
        <v>14.2</v>
      </c>
      <c r="Z165" s="9">
        <v>1</v>
      </c>
      <c r="AA165" s="9">
        <v>1</v>
      </c>
      <c r="AC165" s="9">
        <v>2</v>
      </c>
      <c r="AG165" s="9">
        <v>1</v>
      </c>
      <c r="AI165" s="9">
        <v>2</v>
      </c>
      <c r="AM165" s="9">
        <v>0</v>
      </c>
      <c r="AN165" s="9">
        <v>0</v>
      </c>
      <c r="BQ165" s="9">
        <v>1</v>
      </c>
      <c r="BR165" s="9">
        <v>40</v>
      </c>
      <c r="BS165" s="9">
        <v>2</v>
      </c>
      <c r="BT165" s="9">
        <v>0.02</v>
      </c>
      <c r="BU165" s="9">
        <v>1</v>
      </c>
      <c r="DB165" s="11">
        <v>3.36</v>
      </c>
      <c r="DC165" s="11">
        <v>1</v>
      </c>
      <c r="DD165" s="11">
        <v>2</v>
      </c>
      <c r="DE165" s="11"/>
      <c r="DF165" s="11">
        <f>5.6*2+1.24</f>
        <v>12.44</v>
      </c>
      <c r="DG165" s="11"/>
      <c r="DH165" s="11"/>
      <c r="DI165" s="11"/>
      <c r="DJ165" s="11"/>
      <c r="DK165" s="11"/>
      <c r="DL165" s="11"/>
      <c r="DM165" s="11">
        <v>8.36</v>
      </c>
      <c r="DN165" s="11">
        <v>16.079999999999998</v>
      </c>
      <c r="DO165" s="11"/>
      <c r="DP165" s="11"/>
      <c r="DQ165" s="11">
        <v>0</v>
      </c>
      <c r="DR165" s="11">
        <v>0</v>
      </c>
      <c r="DS165" s="11">
        <v>0</v>
      </c>
      <c r="DT165" s="9">
        <v>0</v>
      </c>
    </row>
    <row r="166" spans="1:124" x14ac:dyDescent="0.2">
      <c r="A166" s="10">
        <v>42942</v>
      </c>
      <c r="B166" s="9" t="s">
        <v>244</v>
      </c>
      <c r="C166" s="9" t="s">
        <v>245</v>
      </c>
      <c r="D166" s="9">
        <v>57</v>
      </c>
      <c r="E166" s="9">
        <v>24.5</v>
      </c>
      <c r="F166" s="11">
        <v>70</v>
      </c>
      <c r="G166" s="11">
        <v>80.400000000000006</v>
      </c>
      <c r="H166" s="11">
        <v>15.5</v>
      </c>
      <c r="I166" s="9">
        <v>85.6</v>
      </c>
      <c r="J166" s="9">
        <v>0</v>
      </c>
      <c r="K166" s="9">
        <v>0</v>
      </c>
      <c r="L166" s="9">
        <v>0</v>
      </c>
      <c r="M166" s="9">
        <v>14.4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6.46</v>
      </c>
      <c r="V166" s="9">
        <v>24.97</v>
      </c>
      <c r="W166" s="9">
        <v>15</v>
      </c>
      <c r="X166" s="9">
        <v>0</v>
      </c>
      <c r="Y166" s="9">
        <v>0</v>
      </c>
      <c r="Z166" s="9">
        <v>0</v>
      </c>
      <c r="AM166" s="9">
        <v>3.6</v>
      </c>
      <c r="AN166" s="9">
        <v>1</v>
      </c>
      <c r="AO166" s="9">
        <v>35</v>
      </c>
      <c r="AP166" s="9">
        <v>1</v>
      </c>
      <c r="AQ166" s="9">
        <v>0.76</v>
      </c>
      <c r="AR166" s="9">
        <v>3</v>
      </c>
      <c r="BQ166" s="9">
        <v>1</v>
      </c>
      <c r="BR166" s="9">
        <v>60</v>
      </c>
      <c r="BS166" s="9">
        <v>5</v>
      </c>
      <c r="BT166" s="9">
        <f>2.04+0.14</f>
        <v>2.1800000000000002</v>
      </c>
      <c r="BU166" s="9">
        <v>3</v>
      </c>
      <c r="DB166" s="11">
        <v>0.63</v>
      </c>
      <c r="DC166" s="11">
        <v>1</v>
      </c>
      <c r="DD166" s="11">
        <v>1</v>
      </c>
      <c r="DE166" s="11"/>
      <c r="DF166" s="11">
        <v>4.2300000000000004</v>
      </c>
      <c r="DG166" s="11"/>
      <c r="DH166" s="11"/>
      <c r="DI166" s="11"/>
      <c r="DJ166" s="11"/>
      <c r="DK166" s="11"/>
      <c r="DL166" s="11"/>
      <c r="DM166" s="11">
        <v>3.25</v>
      </c>
      <c r="DN166" s="11">
        <v>3.26</v>
      </c>
      <c r="DO166" s="11"/>
      <c r="DP166" s="11"/>
      <c r="DQ166" s="11">
        <v>0</v>
      </c>
      <c r="DR166" s="11">
        <v>0</v>
      </c>
      <c r="DS166" s="11">
        <v>0</v>
      </c>
      <c r="DT166" s="9">
        <v>0</v>
      </c>
    </row>
    <row r="167" spans="1:124" x14ac:dyDescent="0.2">
      <c r="A167" s="10">
        <v>42942</v>
      </c>
      <c r="B167" s="9" t="s">
        <v>244</v>
      </c>
      <c r="C167" s="9" t="s">
        <v>245</v>
      </c>
      <c r="D167" s="9" t="s">
        <v>246</v>
      </c>
      <c r="E167" s="9">
        <v>48.5</v>
      </c>
      <c r="F167" s="11">
        <v>90.8</v>
      </c>
      <c r="G167" s="11">
        <v>80.400000000000006</v>
      </c>
      <c r="H167" s="11">
        <v>27.5</v>
      </c>
      <c r="I167" s="9">
        <v>74.34</v>
      </c>
      <c r="J167" s="9">
        <v>0</v>
      </c>
      <c r="K167" s="9">
        <v>12.29</v>
      </c>
      <c r="L167" s="9">
        <v>0</v>
      </c>
      <c r="M167" s="9">
        <v>13.37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14.01</v>
      </c>
      <c r="W167" s="9">
        <v>63.09</v>
      </c>
      <c r="X167" s="9">
        <v>0</v>
      </c>
      <c r="Y167" s="9">
        <v>0</v>
      </c>
      <c r="Z167" s="9">
        <v>0</v>
      </c>
      <c r="AM167" s="9">
        <v>13</v>
      </c>
      <c r="AN167" s="9">
        <v>1</v>
      </c>
      <c r="AO167" s="9">
        <v>34</v>
      </c>
      <c r="AP167" s="9">
        <v>11</v>
      </c>
      <c r="AQ167" s="9">
        <f>11.42+1.34</f>
        <v>12.76</v>
      </c>
      <c r="AR167" s="9">
        <v>1</v>
      </c>
      <c r="AS167" s="9">
        <v>68</v>
      </c>
      <c r="AT167" s="9">
        <v>15</v>
      </c>
      <c r="AU167" s="9">
        <v>2.8</v>
      </c>
      <c r="AV167" s="9">
        <v>1</v>
      </c>
      <c r="BQ167" s="9">
        <v>1</v>
      </c>
      <c r="BR167" s="9">
        <v>60</v>
      </c>
      <c r="BS167" s="9">
        <v>20</v>
      </c>
      <c r="BT167" s="9">
        <v>15.23</v>
      </c>
      <c r="BU167" s="9">
        <v>3</v>
      </c>
      <c r="DB167" s="11">
        <v>0</v>
      </c>
      <c r="DC167" s="11">
        <v>0</v>
      </c>
      <c r="DD167" s="11"/>
      <c r="DE167" s="11"/>
      <c r="DF167" s="11"/>
      <c r="DG167" s="11"/>
      <c r="DH167" s="11"/>
      <c r="DI167" s="11"/>
      <c r="DJ167" s="11"/>
      <c r="DK167" s="11"/>
      <c r="DL167" s="11"/>
      <c r="DM167" s="11">
        <v>0</v>
      </c>
      <c r="DN167" s="11">
        <v>0</v>
      </c>
      <c r="DO167" s="11"/>
      <c r="DP167" s="11"/>
      <c r="DQ167" s="11">
        <v>7.46</v>
      </c>
      <c r="DR167" s="11">
        <v>0</v>
      </c>
      <c r="DS167" s="11">
        <v>0</v>
      </c>
      <c r="DT167" s="9">
        <v>1</v>
      </c>
    </row>
    <row r="168" spans="1:124" x14ac:dyDescent="0.2">
      <c r="A168" s="10">
        <v>42942</v>
      </c>
      <c r="B168" s="9" t="s">
        <v>244</v>
      </c>
      <c r="C168" s="9" t="s">
        <v>245</v>
      </c>
      <c r="D168" s="9" t="s">
        <v>247</v>
      </c>
      <c r="E168" s="9">
        <v>47</v>
      </c>
      <c r="F168" s="11">
        <v>90.2</v>
      </c>
      <c r="G168" s="11">
        <v>80.400000000000006</v>
      </c>
      <c r="H168" s="11">
        <v>15.2</v>
      </c>
      <c r="I168" s="9">
        <v>86.39</v>
      </c>
      <c r="J168" s="9">
        <v>0</v>
      </c>
      <c r="K168" s="9">
        <v>0</v>
      </c>
      <c r="L168" s="9">
        <v>0</v>
      </c>
      <c r="M168" s="9">
        <v>13.61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16.36</v>
      </c>
      <c r="V168" s="9">
        <v>23.57</v>
      </c>
      <c r="W168" s="9">
        <v>29.14</v>
      </c>
      <c r="X168" s="9">
        <v>0</v>
      </c>
      <c r="Y168" s="9">
        <v>0</v>
      </c>
      <c r="Z168" s="9">
        <v>0</v>
      </c>
      <c r="AM168" s="9">
        <v>23.6</v>
      </c>
      <c r="AN168" s="9">
        <v>1</v>
      </c>
      <c r="AO168" s="9">
        <v>68</v>
      </c>
      <c r="AP168" s="9">
        <v>8</v>
      </c>
      <c r="AQ168" s="9">
        <f>0.76+0.03+0.27+0.05+0.03</f>
        <v>1.1400000000000001</v>
      </c>
      <c r="AR168" s="9">
        <v>1</v>
      </c>
      <c r="AS168" s="9">
        <v>35</v>
      </c>
      <c r="AT168" s="9">
        <v>4</v>
      </c>
      <c r="AU168" s="9">
        <f>1.52+0.27</f>
        <v>1.79</v>
      </c>
      <c r="AV168" s="9">
        <v>3</v>
      </c>
      <c r="AW168" s="9">
        <v>103</v>
      </c>
      <c r="AX168" s="9">
        <v>3</v>
      </c>
      <c r="AY168" s="12">
        <v>2.02</v>
      </c>
      <c r="AZ168" s="9">
        <v>3</v>
      </c>
      <c r="BQ168" s="9">
        <v>1</v>
      </c>
      <c r="BR168" s="9">
        <v>80</v>
      </c>
      <c r="BS168" s="9">
        <v>3</v>
      </c>
      <c r="BT168" s="9">
        <f>0.04*2+0.45</f>
        <v>0.53</v>
      </c>
      <c r="BU168" s="9">
        <v>3</v>
      </c>
      <c r="DB168" s="11">
        <v>0.4</v>
      </c>
      <c r="DC168" s="11">
        <v>1</v>
      </c>
      <c r="DD168" s="11">
        <v>1</v>
      </c>
      <c r="DE168" s="11"/>
      <c r="DF168" s="11">
        <f>1.25+0.1</f>
        <v>1.35</v>
      </c>
      <c r="DG168" s="11"/>
      <c r="DH168" s="11"/>
      <c r="DI168" s="11"/>
      <c r="DJ168" s="11"/>
      <c r="DK168" s="11"/>
      <c r="DL168" s="11"/>
      <c r="DM168" s="11">
        <v>4.96</v>
      </c>
      <c r="DN168" s="11">
        <v>2.6</v>
      </c>
      <c r="DO168" s="11"/>
      <c r="DP168" s="11"/>
      <c r="DQ168" s="11">
        <v>0</v>
      </c>
      <c r="DR168" s="11">
        <v>0</v>
      </c>
      <c r="DS168" s="11">
        <v>0</v>
      </c>
      <c r="DT168" s="9">
        <v>0</v>
      </c>
    </row>
    <row r="169" spans="1:124" x14ac:dyDescent="0.2">
      <c r="A169" s="10">
        <v>42942</v>
      </c>
      <c r="B169" s="9" t="s">
        <v>244</v>
      </c>
      <c r="C169" s="9" t="s">
        <v>245</v>
      </c>
      <c r="D169" s="9" t="s">
        <v>248</v>
      </c>
      <c r="E169" s="9">
        <v>46.5</v>
      </c>
      <c r="F169" s="11">
        <v>82.8</v>
      </c>
      <c r="G169" s="11">
        <v>80.400000000000006</v>
      </c>
      <c r="H169" s="11">
        <v>14.9</v>
      </c>
      <c r="I169" s="9">
        <v>82.52</v>
      </c>
      <c r="J169" s="9">
        <v>0</v>
      </c>
      <c r="K169" s="9">
        <v>0</v>
      </c>
      <c r="L169" s="9">
        <v>0</v>
      </c>
      <c r="M169" s="9">
        <v>17.48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37.299999999999997</v>
      </c>
      <c r="V169" s="9">
        <v>16.79</v>
      </c>
      <c r="W169" s="9">
        <v>15.04</v>
      </c>
      <c r="X169" s="9">
        <v>0</v>
      </c>
      <c r="Y169" s="9">
        <v>0</v>
      </c>
      <c r="Z169" s="9">
        <v>0</v>
      </c>
      <c r="AM169" s="9">
        <v>18.899999999999999</v>
      </c>
      <c r="AN169" s="9">
        <v>1</v>
      </c>
      <c r="AO169" s="9">
        <v>68</v>
      </c>
      <c r="AP169" s="9">
        <v>1</v>
      </c>
      <c r="AQ169" s="9">
        <v>0.13</v>
      </c>
      <c r="AR169" s="9">
        <v>1</v>
      </c>
      <c r="AS169" s="9">
        <v>35</v>
      </c>
      <c r="AT169" s="9">
        <v>3</v>
      </c>
      <c r="AU169" s="9">
        <v>2.25</v>
      </c>
      <c r="AV169" s="9">
        <v>3</v>
      </c>
      <c r="AW169" s="9">
        <v>47</v>
      </c>
      <c r="AX169" s="9">
        <v>10</v>
      </c>
      <c r="AY169" s="12">
        <f>0.27+0.08+0.08+0.11+0.61+0.04</f>
        <v>1.19</v>
      </c>
      <c r="AZ169" s="9">
        <v>3</v>
      </c>
      <c r="BQ169" s="9">
        <v>1</v>
      </c>
      <c r="BR169" s="9">
        <v>80</v>
      </c>
      <c r="BS169" s="9">
        <v>1</v>
      </c>
      <c r="BT169" s="9">
        <v>0.13</v>
      </c>
      <c r="BU169" s="9">
        <v>3</v>
      </c>
      <c r="DB169" s="11">
        <v>1.1499999999999999</v>
      </c>
      <c r="DC169" s="11">
        <v>1</v>
      </c>
      <c r="DD169" s="11">
        <v>3</v>
      </c>
      <c r="DE169" s="11"/>
      <c r="DF169" s="11">
        <f>1.06+0.37*2</f>
        <v>1.8</v>
      </c>
      <c r="DG169" s="11"/>
      <c r="DH169" s="11"/>
      <c r="DI169" s="11"/>
      <c r="DJ169" s="11"/>
      <c r="DK169" s="11"/>
      <c r="DL169" s="11"/>
      <c r="DM169" s="11">
        <v>9.75</v>
      </c>
      <c r="DN169" s="11">
        <v>11.26</v>
      </c>
      <c r="DO169" s="11"/>
      <c r="DP169" s="11"/>
      <c r="DQ169" s="11">
        <v>0</v>
      </c>
      <c r="DR169" s="11">
        <v>0</v>
      </c>
      <c r="DS169" s="11">
        <v>0</v>
      </c>
      <c r="DT169" s="9">
        <v>0</v>
      </c>
    </row>
    <row r="170" spans="1:124" x14ac:dyDescent="0.2">
      <c r="A170" s="10">
        <v>42942</v>
      </c>
      <c r="B170" s="9" t="s">
        <v>244</v>
      </c>
      <c r="C170" s="9" t="s">
        <v>245</v>
      </c>
      <c r="D170" s="9" t="s">
        <v>249</v>
      </c>
      <c r="E170" s="9">
        <v>79.5</v>
      </c>
      <c r="F170" s="11">
        <v>92.6</v>
      </c>
      <c r="G170" s="11">
        <v>80.400000000000006</v>
      </c>
      <c r="H170" s="11">
        <v>25.3</v>
      </c>
      <c r="I170" s="9">
        <v>77.91</v>
      </c>
      <c r="J170" s="9">
        <v>0</v>
      </c>
      <c r="K170" s="9">
        <v>0.76</v>
      </c>
      <c r="L170" s="9">
        <v>0</v>
      </c>
      <c r="M170" s="9">
        <v>21.33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4.99</v>
      </c>
      <c r="U170" s="9">
        <v>0</v>
      </c>
      <c r="V170" s="9">
        <v>5.93</v>
      </c>
      <c r="W170" s="9">
        <v>41.31</v>
      </c>
      <c r="X170" s="9">
        <v>0</v>
      </c>
      <c r="Y170" s="9">
        <v>10.6</v>
      </c>
      <c r="Z170" s="9">
        <v>2</v>
      </c>
      <c r="AA170" s="9">
        <v>3</v>
      </c>
      <c r="AB170" s="9">
        <v>6.39</v>
      </c>
      <c r="AG170" s="9">
        <v>3</v>
      </c>
      <c r="AH170" s="9">
        <v>6.39</v>
      </c>
      <c r="AM170" s="9">
        <v>19.899999999999999</v>
      </c>
      <c r="AN170" s="9">
        <v>1</v>
      </c>
      <c r="AO170" s="9">
        <v>52</v>
      </c>
      <c r="AP170" s="9">
        <v>2</v>
      </c>
      <c r="AQ170" s="9">
        <f>0.05+0.08</f>
        <v>0.13</v>
      </c>
      <c r="AR170" s="9">
        <v>2</v>
      </c>
      <c r="AS170" s="9">
        <v>47</v>
      </c>
      <c r="AT170" s="9">
        <v>12</v>
      </c>
      <c r="AU170" s="9">
        <f>1.52+0.11+0.27+0.07+0.1+0.16+0.13+0.13</f>
        <v>2.4900000000000002</v>
      </c>
      <c r="AV170" s="9">
        <v>3</v>
      </c>
      <c r="BQ170" s="9">
        <v>0</v>
      </c>
      <c r="DB170" s="11">
        <v>6.39</v>
      </c>
      <c r="DC170" s="11">
        <v>1</v>
      </c>
      <c r="DD170" s="11">
        <v>2</v>
      </c>
      <c r="DE170" s="11"/>
      <c r="DF170" s="11">
        <f>2.11+1.52+2.11+0.3+0.22*2</f>
        <v>6.48</v>
      </c>
      <c r="DG170" s="11"/>
      <c r="DH170" s="11"/>
      <c r="DI170" s="11"/>
      <c r="DJ170" s="11"/>
      <c r="DK170" s="11"/>
      <c r="DL170" s="11"/>
      <c r="DM170" s="11">
        <v>14.55</v>
      </c>
      <c r="DN170" s="11">
        <v>28.78</v>
      </c>
      <c r="DO170" s="11"/>
      <c r="DP170" s="11"/>
      <c r="DQ170" s="11">
        <v>0</v>
      </c>
      <c r="DR170" s="11">
        <v>0</v>
      </c>
      <c r="DS170" s="11">
        <v>0</v>
      </c>
      <c r="DT170" s="9">
        <v>0</v>
      </c>
    </row>
    <row r="171" spans="1:124" x14ac:dyDescent="0.2">
      <c r="A171" s="10">
        <v>42942</v>
      </c>
      <c r="B171" s="9" t="s">
        <v>244</v>
      </c>
      <c r="C171" s="9" t="s">
        <v>245</v>
      </c>
      <c r="D171" s="9" t="s">
        <v>250</v>
      </c>
      <c r="E171" s="9">
        <v>33.5</v>
      </c>
      <c r="F171" s="11">
        <v>82.2</v>
      </c>
      <c r="G171" s="11">
        <v>80.400000000000006</v>
      </c>
      <c r="H171" s="11">
        <v>19.5</v>
      </c>
      <c r="I171" s="9">
        <v>80.12</v>
      </c>
      <c r="J171" s="9">
        <v>0</v>
      </c>
      <c r="K171" s="9">
        <v>0</v>
      </c>
      <c r="L171" s="9">
        <v>0</v>
      </c>
      <c r="M171" s="9">
        <v>19.88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16.82</v>
      </c>
      <c r="W171" s="9">
        <v>20.29</v>
      </c>
      <c r="X171" s="9">
        <v>0</v>
      </c>
      <c r="Y171" s="9">
        <v>0</v>
      </c>
      <c r="Z171" s="9">
        <v>0</v>
      </c>
      <c r="AM171" s="9">
        <v>0</v>
      </c>
      <c r="AN171" s="9">
        <v>0</v>
      </c>
      <c r="BQ171" s="9">
        <v>0</v>
      </c>
      <c r="DB171" s="11">
        <v>2.4300000000000002</v>
      </c>
      <c r="DC171" s="11">
        <v>1</v>
      </c>
      <c r="DD171" s="11">
        <v>2</v>
      </c>
      <c r="DE171" s="11"/>
      <c r="DF171" s="11">
        <f>8.46+0.21+0.37</f>
        <v>9.0400000000000009</v>
      </c>
      <c r="DG171" s="11"/>
      <c r="DH171" s="11"/>
      <c r="DI171" s="11"/>
      <c r="DJ171" s="11"/>
      <c r="DK171" s="11"/>
      <c r="DL171" s="11"/>
      <c r="DM171" s="11">
        <v>9.41</v>
      </c>
      <c r="DN171" s="11">
        <v>22.76</v>
      </c>
      <c r="DO171" s="11"/>
      <c r="DP171" s="11"/>
      <c r="DQ171" s="11">
        <v>0</v>
      </c>
      <c r="DR171" s="11">
        <v>0</v>
      </c>
      <c r="DS171" s="11">
        <v>0</v>
      </c>
      <c r="DT171" s="9">
        <v>0</v>
      </c>
    </row>
    <row r="172" spans="1:124" x14ac:dyDescent="0.2">
      <c r="A172" s="10">
        <v>42942</v>
      </c>
      <c r="B172" s="9" t="s">
        <v>244</v>
      </c>
      <c r="C172" s="9" t="s">
        <v>245</v>
      </c>
      <c r="D172" s="9" t="s">
        <v>448</v>
      </c>
      <c r="E172" s="9">
        <v>21</v>
      </c>
      <c r="F172" s="11">
        <v>68.8</v>
      </c>
      <c r="G172" s="11">
        <v>80.400000000000006</v>
      </c>
      <c r="H172" s="11">
        <v>11.1</v>
      </c>
      <c r="I172" s="9">
        <v>92.71</v>
      </c>
      <c r="J172" s="9">
        <v>0</v>
      </c>
      <c r="K172" s="9">
        <v>0</v>
      </c>
      <c r="L172" s="9">
        <v>0</v>
      </c>
      <c r="M172" s="9">
        <v>7.29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2.4300000000000002</v>
      </c>
      <c r="W172" s="9">
        <v>9.89</v>
      </c>
      <c r="X172" s="9">
        <v>0</v>
      </c>
      <c r="Y172" s="9">
        <v>0</v>
      </c>
      <c r="Z172" s="9">
        <v>0</v>
      </c>
      <c r="AM172" s="9">
        <v>1</v>
      </c>
      <c r="AN172" s="9">
        <v>1</v>
      </c>
      <c r="AO172" s="9">
        <v>68</v>
      </c>
      <c r="AP172" s="9">
        <v>7</v>
      </c>
      <c r="AQ172" s="9">
        <f>0.05+0.03+0.27+0.03</f>
        <v>0.38</v>
      </c>
      <c r="AR172" s="9">
        <v>1</v>
      </c>
      <c r="BQ172" s="9">
        <v>0</v>
      </c>
      <c r="DB172" s="11">
        <v>0.67</v>
      </c>
      <c r="DC172" s="11">
        <v>1</v>
      </c>
      <c r="DD172" s="11">
        <v>2</v>
      </c>
      <c r="DE172" s="11"/>
      <c r="DF172" s="11">
        <f>0.28*2</f>
        <v>0.56000000000000005</v>
      </c>
      <c r="DG172" s="11"/>
      <c r="DH172" s="11"/>
      <c r="DI172" s="11"/>
      <c r="DJ172" s="11"/>
      <c r="DK172" s="11"/>
      <c r="DL172" s="11"/>
      <c r="DM172" s="11">
        <v>7.38</v>
      </c>
      <c r="DN172" s="11">
        <v>10.32</v>
      </c>
      <c r="DO172" s="11"/>
      <c r="DP172" s="11"/>
      <c r="DQ172" s="11">
        <v>0</v>
      </c>
      <c r="DR172" s="11">
        <v>0</v>
      </c>
      <c r="DS172" s="11">
        <v>0</v>
      </c>
      <c r="DT172" s="9">
        <v>0</v>
      </c>
    </row>
    <row r="173" spans="1:124" x14ac:dyDescent="0.2">
      <c r="A173" s="10">
        <v>42942</v>
      </c>
      <c r="B173" s="9" t="s">
        <v>244</v>
      </c>
      <c r="C173" s="9" t="s">
        <v>245</v>
      </c>
      <c r="D173" s="9" t="s">
        <v>251</v>
      </c>
      <c r="E173" s="9">
        <v>48.5</v>
      </c>
      <c r="F173" s="11">
        <v>83.8</v>
      </c>
      <c r="G173" s="11">
        <v>80.400000000000006</v>
      </c>
      <c r="H173" s="11">
        <v>34.299999999999997</v>
      </c>
      <c r="I173" s="9">
        <v>70.08</v>
      </c>
      <c r="J173" s="9">
        <v>0</v>
      </c>
      <c r="K173" s="9">
        <v>18.239999999999998</v>
      </c>
      <c r="L173" s="9">
        <v>1.05</v>
      </c>
      <c r="M173" s="9">
        <v>1.1399999999999999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19.39</v>
      </c>
      <c r="U173" s="9">
        <v>3.64</v>
      </c>
      <c r="V173" s="9">
        <v>13.61</v>
      </c>
      <c r="W173" s="9">
        <v>5.23</v>
      </c>
      <c r="X173" s="9">
        <v>9.49</v>
      </c>
      <c r="Y173" s="9">
        <v>2.6</v>
      </c>
      <c r="Z173" s="9">
        <v>2</v>
      </c>
      <c r="AA173" s="9">
        <v>3</v>
      </c>
      <c r="AB173" s="9">
        <v>1.01</v>
      </c>
      <c r="AG173" s="9">
        <v>3</v>
      </c>
      <c r="AH173" s="9">
        <v>1.01</v>
      </c>
      <c r="AM173" s="9">
        <v>1.7</v>
      </c>
      <c r="AN173" s="9">
        <v>0</v>
      </c>
      <c r="BQ173" s="9">
        <v>1</v>
      </c>
      <c r="BR173" s="9">
        <v>60</v>
      </c>
      <c r="BS173" s="9">
        <v>1</v>
      </c>
      <c r="BT173" s="9">
        <v>1.05</v>
      </c>
      <c r="BU173" s="9">
        <v>1</v>
      </c>
      <c r="DB173" s="11">
        <v>3.52</v>
      </c>
      <c r="DC173" s="11">
        <v>1</v>
      </c>
      <c r="DD173" s="11">
        <v>2</v>
      </c>
      <c r="DE173" s="11"/>
      <c r="DF173" s="11">
        <f>4.23+0.13</f>
        <v>4.3600000000000003</v>
      </c>
      <c r="DG173" s="11"/>
      <c r="DH173" s="11"/>
      <c r="DI173" s="11"/>
      <c r="DJ173" s="11"/>
      <c r="DK173" s="11"/>
      <c r="DL173" s="11"/>
      <c r="DM173" s="11">
        <v>0</v>
      </c>
      <c r="DN173" s="11">
        <v>0</v>
      </c>
      <c r="DO173" s="11"/>
      <c r="DP173" s="11"/>
      <c r="DQ173" s="11">
        <v>5.97</v>
      </c>
      <c r="DR173" s="11">
        <v>0</v>
      </c>
      <c r="DS173" s="11">
        <v>0</v>
      </c>
      <c r="DT173" s="9">
        <v>1</v>
      </c>
    </row>
    <row r="174" spans="1:124" x14ac:dyDescent="0.2">
      <c r="A174" s="10">
        <v>42942</v>
      </c>
      <c r="B174" s="9" t="s">
        <v>244</v>
      </c>
      <c r="C174" s="9" t="s">
        <v>245</v>
      </c>
      <c r="D174" s="9" t="s">
        <v>252</v>
      </c>
      <c r="E174" s="9">
        <v>48</v>
      </c>
      <c r="F174" s="11">
        <v>86.2</v>
      </c>
      <c r="G174" s="11">
        <v>80.400000000000006</v>
      </c>
      <c r="H174" s="11">
        <v>34.299999999999997</v>
      </c>
      <c r="I174" s="9">
        <v>70.08</v>
      </c>
      <c r="J174" s="9">
        <v>0</v>
      </c>
      <c r="K174" s="9">
        <v>18.239999999999998</v>
      </c>
      <c r="L174" s="9">
        <v>1.05</v>
      </c>
      <c r="M174" s="9">
        <v>1.1399999999999999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19.39</v>
      </c>
      <c r="U174" s="9">
        <v>3.64</v>
      </c>
      <c r="V174" s="9">
        <v>13.61</v>
      </c>
      <c r="W174" s="9">
        <v>5.23</v>
      </c>
      <c r="X174" s="9">
        <v>9.49</v>
      </c>
      <c r="Y174" s="9">
        <v>2.6</v>
      </c>
      <c r="Z174" s="9">
        <v>2</v>
      </c>
      <c r="AA174" s="9">
        <v>3</v>
      </c>
      <c r="AB174" s="9">
        <v>1.01</v>
      </c>
      <c r="AG174" s="9">
        <v>3</v>
      </c>
      <c r="AH174" s="9">
        <v>1.01</v>
      </c>
      <c r="AM174" s="9">
        <v>1.7</v>
      </c>
      <c r="AN174" s="9">
        <v>0</v>
      </c>
      <c r="BQ174" s="9">
        <v>1</v>
      </c>
      <c r="BR174" s="9">
        <v>60</v>
      </c>
      <c r="BS174" s="9">
        <v>1</v>
      </c>
      <c r="BT174" s="9">
        <v>1.05</v>
      </c>
      <c r="BU174" s="9">
        <v>1</v>
      </c>
      <c r="DB174" s="11">
        <v>3.52</v>
      </c>
      <c r="DC174" s="11">
        <v>1</v>
      </c>
      <c r="DD174" s="11">
        <v>2</v>
      </c>
      <c r="DE174" s="11"/>
      <c r="DF174" s="11">
        <f>4.23+0.13</f>
        <v>4.3600000000000003</v>
      </c>
      <c r="DG174" s="11"/>
      <c r="DH174" s="11"/>
      <c r="DI174" s="11"/>
      <c r="DJ174" s="11"/>
      <c r="DK174" s="11"/>
      <c r="DL174" s="11"/>
      <c r="DM174" s="11">
        <v>0</v>
      </c>
      <c r="DN174" s="11">
        <v>0</v>
      </c>
      <c r="DO174" s="11"/>
      <c r="DP174" s="11"/>
      <c r="DQ174" s="11">
        <v>5.97</v>
      </c>
      <c r="DR174" s="11">
        <v>0</v>
      </c>
      <c r="DS174" s="11">
        <v>0</v>
      </c>
      <c r="DT174" s="9">
        <v>0</v>
      </c>
    </row>
    <row r="175" spans="1:124" x14ac:dyDescent="0.2">
      <c r="A175" s="10">
        <v>42943</v>
      </c>
      <c r="B175" s="9" t="s">
        <v>244</v>
      </c>
      <c r="C175" s="9" t="s">
        <v>245</v>
      </c>
      <c r="D175" s="9" t="s">
        <v>447</v>
      </c>
      <c r="E175" s="9">
        <v>37</v>
      </c>
      <c r="F175" s="11">
        <v>76.599999999999994</v>
      </c>
      <c r="G175" s="11">
        <v>80.400000000000006</v>
      </c>
      <c r="H175" s="11">
        <v>11</v>
      </c>
      <c r="I175" s="9">
        <v>100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8.99</v>
      </c>
      <c r="W175" s="9">
        <v>26.1</v>
      </c>
      <c r="X175" s="9">
        <v>0</v>
      </c>
      <c r="Y175" s="9">
        <v>0</v>
      </c>
      <c r="Z175" s="9">
        <v>0</v>
      </c>
      <c r="AM175" s="9">
        <v>8</v>
      </c>
      <c r="AN175" s="9">
        <v>1</v>
      </c>
      <c r="AO175" s="9">
        <v>68</v>
      </c>
      <c r="AP175" s="9">
        <v>12</v>
      </c>
      <c r="AQ175" s="9">
        <f>0.34+0.19+0.76+0.03+0.03+0.03</f>
        <v>1.3800000000000001</v>
      </c>
      <c r="AR175" s="9">
        <v>1</v>
      </c>
      <c r="AS175" s="9">
        <v>47</v>
      </c>
      <c r="AT175" s="9">
        <v>3</v>
      </c>
      <c r="AU175" s="9">
        <f>0.1+0.03+0.03</f>
        <v>0.16</v>
      </c>
      <c r="AV175" s="9">
        <v>3</v>
      </c>
      <c r="BQ175" s="9">
        <v>0</v>
      </c>
      <c r="DB175" s="11">
        <v>0</v>
      </c>
      <c r="DC175" s="11">
        <v>0</v>
      </c>
      <c r="DD175" s="11"/>
      <c r="DE175" s="11"/>
      <c r="DF175" s="11"/>
      <c r="DG175" s="11"/>
      <c r="DH175" s="11"/>
      <c r="DI175" s="11"/>
      <c r="DJ175" s="11"/>
      <c r="DK175" s="11"/>
      <c r="DL175" s="11"/>
      <c r="DM175" s="11">
        <v>15.3</v>
      </c>
      <c r="DN175" s="11">
        <f>0.34+2.02*2+1.35+2.02+0.67+1.35+0.22+0.67+0.45+0.68+0.45+0.19+0.76+2.09+1.14+0.76*2+0.67+0.45+2.24+0.22+0.03+0.16*2+0.11+0.16+0.05+0.1+0+0.03+0.05*2+0.03+0.04+0.03*2+0.04+0.02*4+0.03</f>
        <v>22.7</v>
      </c>
      <c r="DO175" s="11"/>
      <c r="DP175" s="11"/>
      <c r="DQ175" s="11">
        <v>0</v>
      </c>
      <c r="DR175" s="11">
        <v>0</v>
      </c>
      <c r="DS175" s="11">
        <v>0</v>
      </c>
      <c r="DT175" s="9">
        <v>0</v>
      </c>
    </row>
    <row r="176" spans="1:124" x14ac:dyDescent="0.2">
      <c r="A176" s="10">
        <v>42942</v>
      </c>
      <c r="B176" s="9" t="s">
        <v>244</v>
      </c>
      <c r="C176" s="9" t="s">
        <v>245</v>
      </c>
      <c r="D176" s="9" t="s">
        <v>253</v>
      </c>
      <c r="E176" s="9">
        <v>37.5</v>
      </c>
      <c r="F176" s="11">
        <v>79.400000000000006</v>
      </c>
      <c r="G176" s="11">
        <v>80.400000000000006</v>
      </c>
      <c r="H176" s="11">
        <v>10.9</v>
      </c>
      <c r="I176" s="9">
        <v>97.51</v>
      </c>
      <c r="J176" s="9">
        <v>0</v>
      </c>
      <c r="K176" s="9">
        <v>2.4900000000000002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7.79</v>
      </c>
      <c r="V176" s="9">
        <v>20.079999999999998</v>
      </c>
      <c r="W176" s="9">
        <v>23.98</v>
      </c>
      <c r="X176" s="9">
        <v>0</v>
      </c>
      <c r="Y176" s="9">
        <v>0</v>
      </c>
      <c r="Z176" s="9">
        <v>0</v>
      </c>
      <c r="AM176" s="9">
        <v>5.0999999999999996</v>
      </c>
      <c r="AN176" s="9">
        <v>1</v>
      </c>
      <c r="AO176" s="9">
        <v>52</v>
      </c>
      <c r="AP176" s="9">
        <v>3</v>
      </c>
      <c r="AQ176" s="9">
        <v>0.14000000000000001</v>
      </c>
      <c r="AR176" s="9">
        <v>2</v>
      </c>
      <c r="AS176" s="9">
        <v>47</v>
      </c>
      <c r="AT176" s="9">
        <v>7</v>
      </c>
      <c r="AU176" s="9">
        <f>0.13+0.27+0.04+0.04+0.13+0.13</f>
        <v>0.74</v>
      </c>
      <c r="AV176" s="9">
        <v>3</v>
      </c>
      <c r="BQ176" s="9">
        <v>0</v>
      </c>
      <c r="DB176" s="11">
        <v>4.4800000000000004</v>
      </c>
      <c r="DC176" s="11">
        <v>1</v>
      </c>
      <c r="DD176" s="11">
        <v>2</v>
      </c>
      <c r="DE176" s="11"/>
      <c r="DF176" s="11">
        <f>3.17+6.34+0.56+1.12</f>
        <v>11.190000000000001</v>
      </c>
      <c r="DG176" s="11"/>
      <c r="DH176" s="11"/>
      <c r="DI176" s="11"/>
      <c r="DJ176" s="11"/>
      <c r="DK176" s="11"/>
      <c r="DL176" s="11"/>
      <c r="DM176" s="11">
        <v>13.79</v>
      </c>
      <c r="DN176" s="11">
        <v>38.270000000000003</v>
      </c>
      <c r="DO176" s="11"/>
      <c r="DP176" s="11"/>
      <c r="DQ176" s="11">
        <v>0</v>
      </c>
      <c r="DR176" s="11">
        <v>0</v>
      </c>
      <c r="DS176" s="11">
        <v>0</v>
      </c>
      <c r="DT176" s="9">
        <v>0</v>
      </c>
    </row>
    <row r="177" spans="1:124" s="26" customFormat="1" x14ac:dyDescent="0.2">
      <c r="A177" s="25">
        <v>42942</v>
      </c>
      <c r="B177" s="26" t="s">
        <v>244</v>
      </c>
      <c r="C177" s="26" t="s">
        <v>254</v>
      </c>
      <c r="D177" s="26" t="s">
        <v>449</v>
      </c>
      <c r="E177" s="26">
        <v>36.5</v>
      </c>
      <c r="F177" s="27">
        <v>88.3</v>
      </c>
      <c r="G177" s="27">
        <v>80.400000000000006</v>
      </c>
      <c r="H177" s="27">
        <v>28.2</v>
      </c>
      <c r="I177" s="26">
        <v>73.819999999999993</v>
      </c>
      <c r="J177" s="26">
        <v>0</v>
      </c>
      <c r="K177" s="26">
        <v>25.61</v>
      </c>
      <c r="L177" s="26">
        <v>0</v>
      </c>
      <c r="M177" s="26">
        <v>0.56999999999999995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1.17</v>
      </c>
      <c r="U177" s="26">
        <v>31.76</v>
      </c>
      <c r="V177" s="26">
        <v>23.3</v>
      </c>
      <c r="W177" s="26">
        <v>26.08</v>
      </c>
      <c r="X177" s="26">
        <v>0</v>
      </c>
      <c r="Y177" s="26">
        <v>0</v>
      </c>
      <c r="Z177" s="26">
        <v>0</v>
      </c>
      <c r="AM177" s="26">
        <v>2.1</v>
      </c>
      <c r="AN177" s="26">
        <v>1</v>
      </c>
      <c r="AO177" s="26">
        <v>47</v>
      </c>
      <c r="AP177" s="26">
        <v>2</v>
      </c>
      <c r="AQ177" s="26">
        <v>0.27</v>
      </c>
      <c r="AR177" s="26">
        <v>3</v>
      </c>
      <c r="AY177" s="28"/>
      <c r="BQ177" s="26">
        <v>0</v>
      </c>
      <c r="DB177" s="27">
        <v>1.9</v>
      </c>
      <c r="DC177" s="27">
        <v>1</v>
      </c>
      <c r="DD177" s="27">
        <v>1</v>
      </c>
      <c r="DE177" s="27"/>
      <c r="DF177" s="27">
        <f>5.29*3</f>
        <v>15.870000000000001</v>
      </c>
      <c r="DG177" s="27"/>
      <c r="DH177" s="27"/>
      <c r="DI177" s="27"/>
      <c r="DJ177" s="27"/>
      <c r="DK177" s="27"/>
      <c r="DL177" s="27"/>
      <c r="DM177" s="27">
        <v>0.56999999999999995</v>
      </c>
      <c r="DN177" s="27">
        <v>0.56000000000000005</v>
      </c>
      <c r="DO177" s="27"/>
      <c r="DP177" s="27"/>
      <c r="DQ177" s="27">
        <v>0</v>
      </c>
      <c r="DR177" s="27">
        <v>0</v>
      </c>
      <c r="DS177" s="27">
        <v>0</v>
      </c>
      <c r="DT177" s="26">
        <v>0</v>
      </c>
    </row>
    <row r="178" spans="1:124" s="26" customFormat="1" x14ac:dyDescent="0.2">
      <c r="A178" s="25">
        <v>42942</v>
      </c>
      <c r="B178" s="26" t="s">
        <v>244</v>
      </c>
      <c r="C178" s="26" t="s">
        <v>254</v>
      </c>
      <c r="D178" s="26" t="s">
        <v>255</v>
      </c>
      <c r="E178" s="26">
        <v>38</v>
      </c>
      <c r="F178" s="27">
        <v>87.8</v>
      </c>
      <c r="G178" s="27">
        <v>80.400000000000006</v>
      </c>
      <c r="H178" s="27">
        <v>29.1</v>
      </c>
      <c r="I178" s="26">
        <v>71.17</v>
      </c>
      <c r="J178" s="26">
        <v>0</v>
      </c>
      <c r="K178" s="26">
        <v>25.61</v>
      </c>
      <c r="L178" s="26">
        <v>0</v>
      </c>
      <c r="M178" s="26">
        <v>3.22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1.08</v>
      </c>
      <c r="U178" s="26">
        <v>31.76</v>
      </c>
      <c r="V178" s="26">
        <v>22.19</v>
      </c>
      <c r="W178" s="26">
        <v>26.38</v>
      </c>
      <c r="X178" s="26">
        <v>0</v>
      </c>
      <c r="Y178" s="26">
        <v>0</v>
      </c>
      <c r="Z178" s="26">
        <v>0</v>
      </c>
      <c r="AM178" s="26">
        <v>2.1</v>
      </c>
      <c r="AN178" s="26">
        <v>1</v>
      </c>
      <c r="AO178" s="26">
        <v>47</v>
      </c>
      <c r="AP178" s="26">
        <v>2</v>
      </c>
      <c r="AQ178" s="26">
        <v>0.27</v>
      </c>
      <c r="AR178" s="26">
        <v>3</v>
      </c>
      <c r="AY178" s="28"/>
      <c r="BQ178" s="26">
        <v>0</v>
      </c>
      <c r="DB178" s="27">
        <v>1.9</v>
      </c>
      <c r="DC178" s="27">
        <v>1</v>
      </c>
      <c r="DD178" s="27">
        <v>1</v>
      </c>
      <c r="DE178" s="27"/>
      <c r="DF178" s="27">
        <f>5.29*3</f>
        <v>15.870000000000001</v>
      </c>
      <c r="DG178" s="27"/>
      <c r="DH178" s="27"/>
      <c r="DI178" s="27"/>
      <c r="DJ178" s="27"/>
      <c r="DK178" s="27"/>
      <c r="DL178" s="27"/>
      <c r="DM178" s="27">
        <v>1.1200000000000001</v>
      </c>
      <c r="DN178" s="27">
        <v>0.27</v>
      </c>
      <c r="DO178" s="27"/>
      <c r="DP178" s="27"/>
      <c r="DQ178" s="27">
        <v>0</v>
      </c>
      <c r="DR178" s="27">
        <v>0</v>
      </c>
      <c r="DS178" s="27">
        <v>0</v>
      </c>
      <c r="DT178" s="26">
        <v>0</v>
      </c>
    </row>
    <row r="179" spans="1:124" s="26" customFormat="1" x14ac:dyDescent="0.2">
      <c r="A179" s="25">
        <v>42942</v>
      </c>
      <c r="B179" s="26" t="s">
        <v>244</v>
      </c>
      <c r="C179" s="26" t="s">
        <v>254</v>
      </c>
      <c r="D179" s="26" t="s">
        <v>256</v>
      </c>
      <c r="E179" s="26">
        <v>24.5</v>
      </c>
      <c r="F179" s="27">
        <v>84.2</v>
      </c>
      <c r="G179" s="27">
        <v>80.400000000000006</v>
      </c>
      <c r="H179" s="27">
        <v>11.9</v>
      </c>
      <c r="I179" s="26">
        <v>97.51</v>
      </c>
      <c r="J179" s="26">
        <v>0</v>
      </c>
      <c r="K179" s="26">
        <v>2.4900000000000002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3.13</v>
      </c>
      <c r="V179" s="26">
        <v>26.34</v>
      </c>
      <c r="W179" s="26">
        <v>45.74</v>
      </c>
      <c r="X179" s="26">
        <v>0</v>
      </c>
      <c r="Y179" s="26">
        <v>0</v>
      </c>
      <c r="Z179" s="26">
        <v>0</v>
      </c>
      <c r="AM179" s="26">
        <v>0</v>
      </c>
      <c r="AN179" s="26">
        <v>0</v>
      </c>
      <c r="AY179" s="28"/>
      <c r="BQ179" s="26">
        <v>0</v>
      </c>
      <c r="DB179" s="27">
        <v>6.4</v>
      </c>
      <c r="DC179" s="27">
        <v>1</v>
      </c>
      <c r="DD179" s="27">
        <v>2</v>
      </c>
      <c r="DE179" s="27"/>
      <c r="DF179" s="27">
        <f>1.24*2</f>
        <v>2.48</v>
      </c>
      <c r="DG179" s="27">
        <v>1</v>
      </c>
      <c r="DH179" s="27"/>
      <c r="DI179" s="27">
        <f>1.24*3+0.62+0.93+3.18+1.59+3.73+7.46</f>
        <v>21.23</v>
      </c>
      <c r="DJ179" s="27"/>
      <c r="DK179" s="27"/>
      <c r="DL179" s="27"/>
      <c r="DM179" s="27">
        <v>1.61</v>
      </c>
      <c r="DN179" s="27">
        <v>1.46</v>
      </c>
      <c r="DO179" s="27"/>
      <c r="DP179" s="27"/>
      <c r="DQ179" s="27">
        <v>0</v>
      </c>
      <c r="DR179" s="27">
        <v>0</v>
      </c>
      <c r="DS179" s="27">
        <v>0</v>
      </c>
      <c r="DT179" s="26">
        <v>0</v>
      </c>
    </row>
    <row r="180" spans="1:124" s="26" customFormat="1" x14ac:dyDescent="0.2">
      <c r="A180" s="25">
        <v>42942</v>
      </c>
      <c r="B180" s="26" t="s">
        <v>244</v>
      </c>
      <c r="C180" s="26" t="s">
        <v>254</v>
      </c>
      <c r="D180" s="26" t="s">
        <v>257</v>
      </c>
      <c r="E180" s="26">
        <v>19.5</v>
      </c>
      <c r="F180" s="27">
        <v>76</v>
      </c>
      <c r="G180" s="27">
        <v>80.400000000000006</v>
      </c>
      <c r="H180" s="27">
        <v>10.9</v>
      </c>
      <c r="I180" s="26">
        <v>99.87</v>
      </c>
      <c r="J180" s="26">
        <v>0</v>
      </c>
      <c r="K180" s="26">
        <v>0</v>
      </c>
      <c r="L180" s="26">
        <v>0</v>
      </c>
      <c r="M180" s="26">
        <v>0.13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0.1</v>
      </c>
      <c r="U180" s="26">
        <v>0</v>
      </c>
      <c r="V180" s="26">
        <v>17.25</v>
      </c>
      <c r="W180" s="26">
        <v>40.01</v>
      </c>
      <c r="X180" s="26">
        <v>0</v>
      </c>
      <c r="Y180" s="26">
        <v>0</v>
      </c>
      <c r="Z180" s="26">
        <v>0</v>
      </c>
      <c r="AM180" s="26">
        <v>4.5</v>
      </c>
      <c r="AN180" s="26">
        <v>1</v>
      </c>
      <c r="AO180" s="26">
        <v>34</v>
      </c>
      <c r="AP180" s="26">
        <v>2</v>
      </c>
      <c r="AQ180" s="26">
        <v>0.13</v>
      </c>
      <c r="AR180" s="26">
        <v>1</v>
      </c>
      <c r="AS180" s="26">
        <v>52</v>
      </c>
      <c r="AT180" s="26">
        <v>2</v>
      </c>
      <c r="AU180" s="26">
        <v>1.52</v>
      </c>
      <c r="AV180" s="26">
        <v>2</v>
      </c>
      <c r="AY180" s="28"/>
      <c r="BQ180" s="26">
        <v>1</v>
      </c>
      <c r="BR180" s="26">
        <v>70</v>
      </c>
      <c r="BS180" s="26">
        <v>7</v>
      </c>
      <c r="BT180" s="26">
        <v>0.7</v>
      </c>
      <c r="BU180" s="26">
        <v>3</v>
      </c>
      <c r="DB180" s="27">
        <v>0.72</v>
      </c>
      <c r="DC180" s="27">
        <v>1</v>
      </c>
      <c r="DD180" s="27">
        <v>1</v>
      </c>
      <c r="DE180" s="27"/>
      <c r="DF180" s="27">
        <f>1.15+0.56+0.29</f>
        <v>2</v>
      </c>
      <c r="DG180" s="27"/>
      <c r="DH180" s="27"/>
      <c r="DI180" s="27"/>
      <c r="DJ180" s="27"/>
      <c r="DK180" s="27"/>
      <c r="DL180" s="27"/>
      <c r="DM180" s="27">
        <v>0.17</v>
      </c>
      <c r="DN180" s="27">
        <v>0.17</v>
      </c>
      <c r="DO180" s="27"/>
      <c r="DP180" s="27"/>
      <c r="DQ180" s="27">
        <v>0</v>
      </c>
      <c r="DR180" s="27">
        <v>0</v>
      </c>
      <c r="DS180" s="27">
        <v>0</v>
      </c>
      <c r="DT180" s="26">
        <v>0</v>
      </c>
    </row>
    <row r="181" spans="1:124" s="26" customFormat="1" x14ac:dyDescent="0.2">
      <c r="A181" s="25">
        <v>42942</v>
      </c>
      <c r="B181" s="26" t="s">
        <v>244</v>
      </c>
      <c r="C181" s="26" t="s">
        <v>254</v>
      </c>
      <c r="D181" s="26" t="s">
        <v>258</v>
      </c>
      <c r="E181" s="26">
        <v>27</v>
      </c>
      <c r="F181" s="27">
        <v>72</v>
      </c>
      <c r="G181" s="27">
        <v>80.400000000000006</v>
      </c>
      <c r="H181" s="27">
        <v>19.2</v>
      </c>
      <c r="I181" s="26">
        <v>86.83</v>
      </c>
      <c r="J181" s="26">
        <v>0</v>
      </c>
      <c r="K181" s="26">
        <v>0</v>
      </c>
      <c r="L181" s="26">
        <v>0</v>
      </c>
      <c r="M181" s="26">
        <v>13.17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18.28</v>
      </c>
      <c r="U181" s="26">
        <v>16.809999999999999</v>
      </c>
      <c r="V181" s="26">
        <v>9.64</v>
      </c>
      <c r="W181" s="26">
        <v>19.739999999999998</v>
      </c>
      <c r="X181" s="26">
        <v>0</v>
      </c>
      <c r="Y181" s="26">
        <v>0</v>
      </c>
      <c r="Z181" s="26">
        <v>0</v>
      </c>
      <c r="AM181" s="26">
        <v>0</v>
      </c>
      <c r="AN181" s="26">
        <v>0</v>
      </c>
      <c r="AY181" s="28"/>
      <c r="BQ181" s="26">
        <v>0</v>
      </c>
      <c r="DB181" s="27">
        <v>1.43</v>
      </c>
      <c r="DC181" s="27">
        <v>1</v>
      </c>
      <c r="DD181" s="27">
        <v>1</v>
      </c>
      <c r="DE181" s="27"/>
      <c r="DF181" s="27">
        <f>6.34+2.11+0.08+0.37</f>
        <v>8.8999999999999986</v>
      </c>
      <c r="DG181" s="27"/>
      <c r="DH181" s="27"/>
      <c r="DI181" s="27"/>
      <c r="DJ181" s="27"/>
      <c r="DK181" s="27"/>
      <c r="DL181" s="27"/>
      <c r="DM181" s="27">
        <v>3.5</v>
      </c>
      <c r="DN181" s="27">
        <v>3.5</v>
      </c>
      <c r="DO181" s="27"/>
      <c r="DP181" s="27"/>
      <c r="DQ181" s="27">
        <v>0</v>
      </c>
      <c r="DR181" s="27">
        <v>0</v>
      </c>
      <c r="DS181" s="27">
        <v>0</v>
      </c>
      <c r="DT181" s="26">
        <v>0</v>
      </c>
    </row>
    <row r="182" spans="1:124" s="26" customFormat="1" x14ac:dyDescent="0.2">
      <c r="A182" s="25">
        <v>42943</v>
      </c>
      <c r="B182" s="26" t="s">
        <v>244</v>
      </c>
      <c r="C182" s="26" t="s">
        <v>254</v>
      </c>
      <c r="D182" s="26" t="s">
        <v>450</v>
      </c>
      <c r="E182" s="26">
        <v>37</v>
      </c>
      <c r="F182" s="27">
        <v>79.2</v>
      </c>
      <c r="G182" s="27">
        <v>80.400000000000006</v>
      </c>
      <c r="H182" s="27">
        <v>12.1</v>
      </c>
      <c r="I182" s="26">
        <v>96.75</v>
      </c>
      <c r="J182" s="26">
        <v>0</v>
      </c>
      <c r="K182" s="26">
        <v>0</v>
      </c>
      <c r="L182" s="26">
        <v>0</v>
      </c>
      <c r="M182" s="26">
        <v>3.25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9.06</v>
      </c>
      <c r="U182" s="26">
        <v>18.149999999999999</v>
      </c>
      <c r="V182" s="26">
        <v>25.66</v>
      </c>
      <c r="W182" s="26">
        <v>15.61</v>
      </c>
      <c r="X182" s="26">
        <v>0</v>
      </c>
      <c r="Y182" s="26">
        <v>0</v>
      </c>
      <c r="Z182" s="26">
        <v>0</v>
      </c>
      <c r="AM182" s="26">
        <v>17.8</v>
      </c>
      <c r="AN182" s="26">
        <v>1</v>
      </c>
      <c r="AO182" s="26">
        <v>47</v>
      </c>
      <c r="AP182" s="26">
        <v>3</v>
      </c>
      <c r="AQ182" s="26">
        <v>2.2799999999999998</v>
      </c>
      <c r="AR182" s="26">
        <v>3</v>
      </c>
      <c r="AS182" s="26">
        <v>26</v>
      </c>
      <c r="AT182" s="26">
        <v>1</v>
      </c>
      <c r="AU182" s="26">
        <v>0.76</v>
      </c>
      <c r="AV182" s="26">
        <v>2</v>
      </c>
      <c r="AY182" s="28"/>
      <c r="BQ182" s="26">
        <v>0</v>
      </c>
      <c r="DB182" s="27">
        <v>1.27</v>
      </c>
      <c r="DC182" s="27">
        <v>1</v>
      </c>
      <c r="DD182" s="27">
        <v>1</v>
      </c>
      <c r="DE182" s="27"/>
      <c r="DF182" s="27">
        <f>6.34+1.06</f>
        <v>7.4</v>
      </c>
      <c r="DG182" s="27"/>
      <c r="DH182" s="27"/>
      <c r="DI182" s="27"/>
      <c r="DJ182" s="27"/>
      <c r="DK182" s="27"/>
      <c r="DL182" s="27"/>
      <c r="DM182" s="27">
        <v>2.86</v>
      </c>
      <c r="DN182" s="27">
        <v>2.86</v>
      </c>
      <c r="DO182" s="27"/>
      <c r="DP182" s="27"/>
      <c r="DQ182" s="27">
        <v>0</v>
      </c>
      <c r="DR182" s="27">
        <v>0</v>
      </c>
      <c r="DS182" s="27">
        <v>0</v>
      </c>
      <c r="DT182" s="26">
        <v>0</v>
      </c>
    </row>
    <row r="183" spans="1:124" s="26" customFormat="1" x14ac:dyDescent="0.2">
      <c r="A183" s="25">
        <v>42943</v>
      </c>
      <c r="B183" s="26" t="s">
        <v>244</v>
      </c>
      <c r="C183" s="26" t="s">
        <v>254</v>
      </c>
      <c r="D183" s="26" t="s">
        <v>259</v>
      </c>
      <c r="E183" s="26">
        <v>33</v>
      </c>
      <c r="F183" s="27">
        <v>122.1</v>
      </c>
      <c r="G183" s="27">
        <v>80.400000000000006</v>
      </c>
      <c r="H183" s="27">
        <v>14.1</v>
      </c>
      <c r="I183" s="26">
        <v>91.87</v>
      </c>
      <c r="J183" s="26">
        <v>0</v>
      </c>
      <c r="K183" s="26">
        <v>5.85</v>
      </c>
      <c r="L183" s="26">
        <v>0</v>
      </c>
      <c r="M183" s="26">
        <v>2.2799999999999998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23.39</v>
      </c>
      <c r="V183" s="26">
        <v>10.3</v>
      </c>
      <c r="W183" s="26">
        <v>49.9</v>
      </c>
      <c r="X183" s="26">
        <v>0</v>
      </c>
      <c r="Y183" s="26">
        <v>0</v>
      </c>
      <c r="Z183" s="26">
        <v>0</v>
      </c>
      <c r="AM183" s="26">
        <v>0</v>
      </c>
      <c r="AN183" s="26">
        <v>1</v>
      </c>
      <c r="AO183" s="26">
        <v>34</v>
      </c>
      <c r="AP183" s="26">
        <v>1</v>
      </c>
      <c r="AQ183" s="26">
        <v>1.1399999999999999</v>
      </c>
      <c r="AR183" s="26">
        <v>1</v>
      </c>
      <c r="AY183" s="28"/>
      <c r="BQ183" s="26">
        <v>0</v>
      </c>
      <c r="DB183" s="27">
        <v>4.78</v>
      </c>
      <c r="DC183" s="27">
        <v>1</v>
      </c>
      <c r="DD183" s="27">
        <v>1</v>
      </c>
      <c r="DE183" s="27"/>
      <c r="DF183" s="27">
        <v>4.2300000000000004</v>
      </c>
      <c r="DG183" s="27">
        <v>2</v>
      </c>
      <c r="DH183" s="27"/>
      <c r="DI183" s="27">
        <f>1.14+9.52+1.68</f>
        <v>12.34</v>
      </c>
      <c r="DJ183" s="27"/>
      <c r="DK183" s="27"/>
      <c r="DL183" s="27"/>
      <c r="DM183" s="27">
        <v>10.43</v>
      </c>
      <c r="DN183" s="27">
        <v>22.43</v>
      </c>
      <c r="DO183" s="27"/>
      <c r="DP183" s="27"/>
      <c r="DQ183" s="27">
        <v>0</v>
      </c>
      <c r="DR183" s="27">
        <v>0</v>
      </c>
      <c r="DS183" s="27">
        <v>0</v>
      </c>
      <c r="DT183" s="26">
        <v>0</v>
      </c>
    </row>
    <row r="184" spans="1:124" s="26" customFormat="1" x14ac:dyDescent="0.2">
      <c r="A184" s="25">
        <v>42943</v>
      </c>
      <c r="B184" s="26" t="s">
        <v>244</v>
      </c>
      <c r="C184" s="26" t="s">
        <v>254</v>
      </c>
      <c r="D184" s="26" t="s">
        <v>260</v>
      </c>
      <c r="E184" s="26">
        <v>25</v>
      </c>
      <c r="F184" s="27">
        <v>87.3</v>
      </c>
      <c r="G184" s="27">
        <v>80.400000000000006</v>
      </c>
      <c r="H184" s="27">
        <v>8.8000000000000007</v>
      </c>
      <c r="I184" s="26">
        <v>100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11.94</v>
      </c>
      <c r="V184" s="26">
        <v>34.17</v>
      </c>
      <c r="W184" s="26">
        <v>24.72</v>
      </c>
      <c r="X184" s="26">
        <v>0</v>
      </c>
      <c r="Y184" s="26">
        <v>6.9</v>
      </c>
      <c r="Z184" s="26">
        <v>3</v>
      </c>
      <c r="AA184" s="26">
        <v>50</v>
      </c>
      <c r="AC184" s="26">
        <v>2</v>
      </c>
      <c r="AG184" s="26">
        <v>50</v>
      </c>
      <c r="AI184" s="26">
        <v>2</v>
      </c>
      <c r="AM184" s="26">
        <v>0</v>
      </c>
      <c r="AN184" s="26">
        <v>0</v>
      </c>
      <c r="AY184" s="28"/>
      <c r="BQ184" s="26">
        <v>1</v>
      </c>
      <c r="BR184" s="26">
        <v>50</v>
      </c>
      <c r="BS184" s="26">
        <v>1</v>
      </c>
      <c r="BT184" s="26">
        <v>1.86</v>
      </c>
      <c r="BU184" s="26">
        <v>3</v>
      </c>
      <c r="DB184" s="27">
        <v>0.75</v>
      </c>
      <c r="DC184" s="27">
        <v>1</v>
      </c>
      <c r="DD184" s="27">
        <v>1</v>
      </c>
      <c r="DE184" s="27"/>
      <c r="DF184" s="27">
        <f>12.69+1.68</f>
        <v>14.37</v>
      </c>
      <c r="DG184" s="27"/>
      <c r="DH184" s="27"/>
      <c r="DI184" s="27"/>
      <c r="DJ184" s="27"/>
      <c r="DK184" s="27"/>
      <c r="DL184" s="27"/>
      <c r="DM184" s="27">
        <v>5.16</v>
      </c>
      <c r="DN184" s="27">
        <v>2.2799999999999998</v>
      </c>
      <c r="DO184" s="27"/>
      <c r="DP184" s="27"/>
      <c r="DQ184" s="27">
        <v>0</v>
      </c>
      <c r="DR184" s="27">
        <v>0</v>
      </c>
      <c r="DS184" s="27">
        <v>0</v>
      </c>
      <c r="DT184" s="26">
        <v>0</v>
      </c>
    </row>
    <row r="185" spans="1:124" s="26" customFormat="1" x14ac:dyDescent="0.2">
      <c r="A185" s="25">
        <v>42943</v>
      </c>
      <c r="B185" s="26" t="s">
        <v>244</v>
      </c>
      <c r="C185" s="26" t="s">
        <v>254</v>
      </c>
      <c r="D185" s="26" t="s">
        <v>261</v>
      </c>
      <c r="E185" s="26">
        <v>31.5</v>
      </c>
      <c r="F185" s="27">
        <v>78.3</v>
      </c>
      <c r="G185" s="27">
        <v>80.400000000000006</v>
      </c>
      <c r="H185" s="27">
        <v>15.4</v>
      </c>
      <c r="I185" s="26">
        <v>93.39</v>
      </c>
      <c r="J185" s="26">
        <v>0.76</v>
      </c>
      <c r="K185" s="26">
        <v>5.85</v>
      </c>
      <c r="L185" s="26">
        <v>0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18.87</v>
      </c>
      <c r="W185" s="26">
        <v>44.71</v>
      </c>
      <c r="X185" s="26">
        <v>0</v>
      </c>
      <c r="Y185" s="26">
        <v>0</v>
      </c>
      <c r="Z185" s="26">
        <v>0</v>
      </c>
      <c r="AM185" s="26">
        <v>0</v>
      </c>
      <c r="AN185" s="26">
        <v>0</v>
      </c>
      <c r="AY185" s="28"/>
      <c r="BQ185" s="26">
        <v>0</v>
      </c>
      <c r="DB185" s="27">
        <v>4.4800000000000004</v>
      </c>
      <c r="DC185" s="27">
        <v>1</v>
      </c>
      <c r="DD185" s="27">
        <v>2</v>
      </c>
      <c r="DE185" s="27"/>
      <c r="DF185" s="27">
        <f>6.34+1.12</f>
        <v>7.46</v>
      </c>
      <c r="DG185" s="27"/>
      <c r="DH185" s="27"/>
      <c r="DI185" s="27"/>
      <c r="DJ185" s="27"/>
      <c r="DK185" s="27"/>
      <c r="DL185" s="27"/>
      <c r="DM185" s="27">
        <v>8.48</v>
      </c>
      <c r="DN185" s="27">
        <v>26.48</v>
      </c>
      <c r="DO185" s="27"/>
      <c r="DP185" s="27"/>
      <c r="DQ185" s="27">
        <v>0</v>
      </c>
      <c r="DR185" s="27">
        <v>0</v>
      </c>
      <c r="DS185" s="27">
        <v>0</v>
      </c>
      <c r="DT185" s="26">
        <v>0</v>
      </c>
    </row>
    <row r="186" spans="1:124" s="26" customFormat="1" x14ac:dyDescent="0.2">
      <c r="A186" s="25">
        <v>42943</v>
      </c>
      <c r="B186" s="26" t="s">
        <v>244</v>
      </c>
      <c r="C186" s="26" t="s">
        <v>254</v>
      </c>
      <c r="D186" s="26" t="s">
        <v>262</v>
      </c>
      <c r="E186" s="26">
        <v>38</v>
      </c>
      <c r="F186" s="27">
        <v>88.8</v>
      </c>
      <c r="G186" s="27">
        <v>80.400000000000006</v>
      </c>
      <c r="H186" s="27">
        <v>9.1999999999999993</v>
      </c>
      <c r="I186" s="26">
        <v>98.76</v>
      </c>
      <c r="J186" s="26">
        <v>0</v>
      </c>
      <c r="K186" s="26">
        <v>0.56999999999999995</v>
      </c>
      <c r="L186" s="26">
        <v>0.67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7.89</v>
      </c>
      <c r="V186" s="26">
        <v>42.56</v>
      </c>
      <c r="W186" s="26">
        <v>9.85</v>
      </c>
      <c r="X186" s="26">
        <v>0</v>
      </c>
      <c r="Y186" s="26">
        <v>15.8</v>
      </c>
      <c r="Z186" s="26">
        <v>1</v>
      </c>
      <c r="AA186" s="26">
        <v>3</v>
      </c>
      <c r="AC186" s="26">
        <v>1</v>
      </c>
      <c r="AG186" s="26">
        <v>3</v>
      </c>
      <c r="AI186" s="26">
        <v>1</v>
      </c>
      <c r="AM186" s="26">
        <v>0.6</v>
      </c>
      <c r="AN186" s="26">
        <v>1</v>
      </c>
      <c r="AO186" s="26">
        <v>23</v>
      </c>
      <c r="AP186" s="26">
        <v>1</v>
      </c>
      <c r="AQ186" s="26">
        <v>0.05</v>
      </c>
      <c r="AR186" s="26">
        <v>3</v>
      </c>
      <c r="AS186" s="26">
        <v>35</v>
      </c>
      <c r="AT186" s="26">
        <v>2</v>
      </c>
      <c r="AU186" s="26">
        <v>0.18</v>
      </c>
      <c r="AV186" s="26">
        <v>3</v>
      </c>
      <c r="AY186" s="28"/>
      <c r="BQ186" s="26">
        <v>0</v>
      </c>
      <c r="DB186" s="27">
        <v>2.69</v>
      </c>
      <c r="DC186" s="27">
        <v>1</v>
      </c>
      <c r="DD186" s="27">
        <v>1</v>
      </c>
      <c r="DE186" s="27"/>
      <c r="DF186" s="27">
        <f>2.11*4+1.86</f>
        <v>10.299999999999999</v>
      </c>
      <c r="DG186" s="27"/>
      <c r="DH186" s="27"/>
      <c r="DI186" s="27"/>
      <c r="DJ186" s="27"/>
      <c r="DK186" s="27"/>
      <c r="DL186" s="27"/>
      <c r="DM186" s="27">
        <v>6.26</v>
      </c>
      <c r="DN186" s="27">
        <v>17.05</v>
      </c>
      <c r="DO186" s="27"/>
      <c r="DP186" s="27"/>
      <c r="DQ186" s="27">
        <v>0</v>
      </c>
      <c r="DR186" s="27">
        <v>0</v>
      </c>
      <c r="DS186" s="27">
        <v>0</v>
      </c>
      <c r="DT186" s="26">
        <v>0</v>
      </c>
    </row>
    <row r="187" spans="1:124" s="26" customFormat="1" x14ac:dyDescent="0.2">
      <c r="A187" s="25">
        <v>42943</v>
      </c>
      <c r="B187" s="26" t="s">
        <v>244</v>
      </c>
      <c r="C187" s="26" t="s">
        <v>254</v>
      </c>
      <c r="D187" s="26" t="s">
        <v>263</v>
      </c>
      <c r="E187" s="26">
        <v>38.5</v>
      </c>
      <c r="F187" s="27">
        <v>82.7</v>
      </c>
      <c r="G187" s="27">
        <v>80.400000000000006</v>
      </c>
      <c r="H187" s="27">
        <v>9.6999999999999993</v>
      </c>
      <c r="I187" s="26">
        <v>98.84</v>
      </c>
      <c r="J187" s="26">
        <v>0</v>
      </c>
      <c r="K187" s="26">
        <v>0.56999999999999995</v>
      </c>
      <c r="L187" s="26">
        <v>0.57999999999999996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1.21</v>
      </c>
      <c r="V187" s="26">
        <v>39.049999999999997</v>
      </c>
      <c r="W187" s="26">
        <v>9.85</v>
      </c>
      <c r="X187" s="26">
        <v>0</v>
      </c>
      <c r="Y187" s="26">
        <v>15.8</v>
      </c>
      <c r="Z187" s="26">
        <v>1</v>
      </c>
      <c r="AA187" s="26">
        <v>3</v>
      </c>
      <c r="AC187" s="26">
        <v>1</v>
      </c>
      <c r="AG187" s="26">
        <v>3</v>
      </c>
      <c r="AI187" s="26">
        <v>1</v>
      </c>
      <c r="AM187" s="26">
        <v>0.9</v>
      </c>
      <c r="AN187" s="26">
        <v>1</v>
      </c>
      <c r="AO187" s="26">
        <v>23</v>
      </c>
      <c r="AP187" s="26">
        <v>1</v>
      </c>
      <c r="AQ187" s="26">
        <v>0.05</v>
      </c>
      <c r="AR187" s="26">
        <v>3</v>
      </c>
      <c r="AS187" s="26">
        <v>35</v>
      </c>
      <c r="AT187" s="26">
        <v>2</v>
      </c>
      <c r="AU187" s="26">
        <v>0.18</v>
      </c>
      <c r="AV187" s="26">
        <v>3</v>
      </c>
      <c r="AY187" s="28"/>
      <c r="BQ187" s="26">
        <v>0</v>
      </c>
      <c r="DB187" s="27">
        <v>2.1800000000000002</v>
      </c>
      <c r="DC187" s="27">
        <v>1</v>
      </c>
      <c r="DD187" s="27">
        <v>1</v>
      </c>
      <c r="DE187" s="27"/>
      <c r="DF187" s="27">
        <f>2.11*3+1.86</f>
        <v>8.19</v>
      </c>
      <c r="DG187" s="27"/>
      <c r="DH187" s="27"/>
      <c r="DI187" s="27"/>
      <c r="DJ187" s="27"/>
      <c r="DK187" s="27"/>
      <c r="DL187" s="27"/>
      <c r="DM187" s="27">
        <v>6.26</v>
      </c>
      <c r="DN187" s="27">
        <v>17.05</v>
      </c>
      <c r="DO187" s="27"/>
      <c r="DP187" s="27"/>
      <c r="DQ187" s="27">
        <v>0</v>
      </c>
      <c r="DR187" s="27">
        <v>0</v>
      </c>
      <c r="DS187" s="27">
        <v>0</v>
      </c>
      <c r="DT187" s="26">
        <v>0</v>
      </c>
    </row>
    <row r="188" spans="1:124" s="26" customFormat="1" x14ac:dyDescent="0.2">
      <c r="A188" s="25">
        <v>42943</v>
      </c>
      <c r="B188" s="26" t="s">
        <v>244</v>
      </c>
      <c r="C188" s="26" t="s">
        <v>254</v>
      </c>
      <c r="D188" s="26" t="s">
        <v>264</v>
      </c>
      <c r="E188" s="26">
        <v>37.5</v>
      </c>
      <c r="F188" s="27">
        <v>88.7</v>
      </c>
      <c r="G188" s="27">
        <v>80.400000000000006</v>
      </c>
      <c r="H188" s="27">
        <v>11.3</v>
      </c>
      <c r="I188" s="26">
        <v>16.12</v>
      </c>
      <c r="J188" s="26">
        <v>0</v>
      </c>
      <c r="K188" s="26">
        <v>0</v>
      </c>
      <c r="L188" s="26">
        <v>0</v>
      </c>
      <c r="M188" s="26">
        <v>0</v>
      </c>
      <c r="N188" s="26">
        <v>0</v>
      </c>
      <c r="O188" s="26">
        <v>83.88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43.66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M188" s="26">
        <v>14</v>
      </c>
      <c r="AN188" s="26">
        <v>1</v>
      </c>
      <c r="AO188" s="26">
        <v>70</v>
      </c>
      <c r="AP188" s="26">
        <v>2</v>
      </c>
      <c r="AQ188" s="26">
        <v>1.34</v>
      </c>
      <c r="AR188" s="26">
        <v>3</v>
      </c>
      <c r="AY188" s="28"/>
      <c r="BQ188" s="26">
        <v>0</v>
      </c>
      <c r="DB188" s="27">
        <v>5.5</v>
      </c>
      <c r="DC188" s="27">
        <v>1</v>
      </c>
      <c r="DD188" s="27">
        <v>1</v>
      </c>
      <c r="DE188" s="27"/>
      <c r="DF188" s="27">
        <f>1.14+1.9+1.14+0.67+0.2+0.2</f>
        <v>5.25</v>
      </c>
      <c r="DG188" s="27">
        <v>2</v>
      </c>
      <c r="DH188" s="27"/>
      <c r="DI188" s="27">
        <v>2.13</v>
      </c>
      <c r="DJ188" s="27"/>
      <c r="DK188" s="27"/>
      <c r="DL188" s="27"/>
      <c r="DM188" s="27">
        <v>5.64</v>
      </c>
      <c r="DN188" s="27">
        <v>11.15</v>
      </c>
      <c r="DO188" s="27"/>
      <c r="DP188" s="27"/>
      <c r="DQ188" s="27">
        <v>0</v>
      </c>
      <c r="DR188" s="27">
        <v>0</v>
      </c>
      <c r="DS188" s="27">
        <v>0.57999999999999996</v>
      </c>
      <c r="DT188" s="26">
        <v>0</v>
      </c>
    </row>
    <row r="189" spans="1:124" s="26" customFormat="1" x14ac:dyDescent="0.2">
      <c r="A189" s="25">
        <v>42943</v>
      </c>
      <c r="B189" s="26" t="s">
        <v>244</v>
      </c>
      <c r="C189" s="26" t="s">
        <v>254</v>
      </c>
      <c r="D189" s="26" t="s">
        <v>265</v>
      </c>
      <c r="E189" s="26">
        <v>41.5</v>
      </c>
      <c r="F189" s="27">
        <v>84.1</v>
      </c>
      <c r="G189" s="27">
        <v>80.400000000000006</v>
      </c>
      <c r="H189" s="27">
        <v>11.2</v>
      </c>
      <c r="I189" s="26">
        <v>13.46</v>
      </c>
      <c r="J189" s="26">
        <v>0</v>
      </c>
      <c r="K189" s="26">
        <v>0</v>
      </c>
      <c r="L189" s="26">
        <v>0</v>
      </c>
      <c r="M189" s="26">
        <v>0</v>
      </c>
      <c r="N189" s="26">
        <v>0</v>
      </c>
      <c r="O189" s="26">
        <v>86.54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39.200000000000003</v>
      </c>
      <c r="W189" s="26">
        <v>0</v>
      </c>
      <c r="X189" s="26">
        <v>0</v>
      </c>
      <c r="Y189" s="26">
        <v>0</v>
      </c>
      <c r="Z189" s="26">
        <v>0</v>
      </c>
      <c r="AM189" s="26">
        <v>18.899999999999999</v>
      </c>
      <c r="AN189" s="26">
        <v>1</v>
      </c>
      <c r="AO189" s="26">
        <v>70</v>
      </c>
      <c r="AP189" s="26">
        <v>3</v>
      </c>
      <c r="AQ189" s="26">
        <f>1.14+0.47+0.2</f>
        <v>1.8099999999999998</v>
      </c>
      <c r="AR189" s="26">
        <v>3</v>
      </c>
      <c r="AY189" s="28"/>
      <c r="BQ189" s="26">
        <v>0</v>
      </c>
      <c r="DB189" s="27">
        <v>5.5</v>
      </c>
      <c r="DC189" s="27">
        <v>1</v>
      </c>
      <c r="DD189" s="27">
        <v>1</v>
      </c>
      <c r="DE189" s="27"/>
      <c r="DF189" s="27">
        <f>1.14*2+1.9+0.67+0.27+0.13</f>
        <v>5.2499999999999991</v>
      </c>
      <c r="DG189" s="27">
        <v>2</v>
      </c>
      <c r="DH189" s="27"/>
      <c r="DI189" s="27">
        <v>2.13</v>
      </c>
      <c r="DJ189" s="27"/>
      <c r="DK189" s="27"/>
      <c r="DL189" s="27"/>
      <c r="DM189" s="27">
        <v>5.09</v>
      </c>
      <c r="DN189" s="27">
        <v>5.83</v>
      </c>
      <c r="DO189" s="27"/>
      <c r="DP189" s="27"/>
      <c r="DQ189" s="27">
        <v>0</v>
      </c>
      <c r="DR189" s="27">
        <v>0</v>
      </c>
      <c r="DS189" s="27">
        <v>0.45</v>
      </c>
      <c r="DT189" s="26">
        <v>0</v>
      </c>
    </row>
    <row r="190" spans="1:124" x14ac:dyDescent="0.2">
      <c r="A190" s="10">
        <v>42943</v>
      </c>
      <c r="B190" s="9" t="s">
        <v>244</v>
      </c>
      <c r="C190" s="9" t="s">
        <v>266</v>
      </c>
      <c r="D190" s="9" t="s">
        <v>267</v>
      </c>
      <c r="E190" s="9">
        <v>64</v>
      </c>
      <c r="F190" s="11">
        <v>74.3</v>
      </c>
      <c r="G190" s="11">
        <v>81</v>
      </c>
      <c r="H190" s="11">
        <v>58.5</v>
      </c>
      <c r="I190" s="9">
        <v>49.17</v>
      </c>
      <c r="J190" s="9">
        <v>0</v>
      </c>
      <c r="K190" s="9">
        <v>34.450000000000003</v>
      </c>
      <c r="L190" s="9">
        <v>16.22</v>
      </c>
      <c r="M190" s="9">
        <v>0.16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2.52</v>
      </c>
      <c r="W190" s="9">
        <v>9.18</v>
      </c>
      <c r="X190" s="9">
        <v>0</v>
      </c>
      <c r="Y190" s="9">
        <v>0</v>
      </c>
      <c r="Z190" s="9">
        <v>0</v>
      </c>
      <c r="AM190" s="9">
        <v>0.3</v>
      </c>
      <c r="AN190" s="9">
        <v>1</v>
      </c>
      <c r="AO190" s="9">
        <v>34</v>
      </c>
      <c r="AP190" s="9">
        <v>8</v>
      </c>
      <c r="AQ190" s="9">
        <v>0.43</v>
      </c>
      <c r="AR190" s="9">
        <v>1</v>
      </c>
      <c r="AS190" s="9">
        <v>47</v>
      </c>
      <c r="AT190" s="9">
        <v>1</v>
      </c>
      <c r="AU190" s="9">
        <v>0.04</v>
      </c>
      <c r="AV190" s="9">
        <v>3</v>
      </c>
      <c r="BQ190" s="9">
        <v>0</v>
      </c>
      <c r="DB190" s="11">
        <v>2.89</v>
      </c>
      <c r="DC190" s="11">
        <v>1</v>
      </c>
      <c r="DD190" s="11">
        <v>1</v>
      </c>
      <c r="DE190" s="11"/>
      <c r="DF190" s="11">
        <v>7.35</v>
      </c>
      <c r="DG190" s="11"/>
      <c r="DH190" s="11"/>
      <c r="DI190" s="11"/>
      <c r="DJ190" s="11"/>
      <c r="DK190" s="11"/>
      <c r="DL190" s="11"/>
      <c r="DM190" s="11">
        <v>0</v>
      </c>
      <c r="DN190" s="11">
        <v>0</v>
      </c>
      <c r="DO190" s="11"/>
      <c r="DP190" s="11"/>
      <c r="DQ190" s="11">
        <v>0</v>
      </c>
      <c r="DR190" s="11">
        <v>0</v>
      </c>
      <c r="DS190" s="11">
        <v>0</v>
      </c>
      <c r="DT190" s="9">
        <v>0</v>
      </c>
    </row>
    <row r="191" spans="1:124" x14ac:dyDescent="0.2">
      <c r="A191" s="10">
        <v>42943</v>
      </c>
      <c r="B191" s="9" t="s">
        <v>244</v>
      </c>
      <c r="C191" s="9" t="s">
        <v>266</v>
      </c>
      <c r="D191" s="9" t="s">
        <v>268</v>
      </c>
      <c r="E191" s="9">
        <v>64.5</v>
      </c>
      <c r="F191" s="11">
        <v>77.8</v>
      </c>
      <c r="G191" s="11">
        <v>81</v>
      </c>
      <c r="H191" s="11">
        <v>52.5</v>
      </c>
      <c r="I191" s="9">
        <v>50.19</v>
      </c>
      <c r="J191" s="9">
        <v>0</v>
      </c>
      <c r="K191" s="9">
        <v>26.36</v>
      </c>
      <c r="L191" s="9">
        <v>23.45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1.91</v>
      </c>
      <c r="V191" s="9">
        <v>2.12</v>
      </c>
      <c r="W191" s="9">
        <v>0</v>
      </c>
      <c r="X191" s="9">
        <v>0</v>
      </c>
      <c r="Y191" s="9">
        <v>0</v>
      </c>
      <c r="Z191" s="9">
        <v>0</v>
      </c>
      <c r="AM191" s="9">
        <v>5.4</v>
      </c>
      <c r="AN191" s="9">
        <v>1</v>
      </c>
      <c r="AO191" s="9">
        <v>68</v>
      </c>
      <c r="AP191" s="9">
        <v>8</v>
      </c>
      <c r="AQ191" s="9">
        <f>1.4*2+0.13</f>
        <v>2.9299999999999997</v>
      </c>
      <c r="AR191" s="9">
        <v>1</v>
      </c>
      <c r="AS191" s="9">
        <v>34</v>
      </c>
      <c r="AT191" s="9">
        <v>1</v>
      </c>
      <c r="AU191" s="9">
        <v>0.13</v>
      </c>
      <c r="AV191" s="9">
        <v>1</v>
      </c>
      <c r="BQ191" s="9">
        <v>1</v>
      </c>
      <c r="BR191" s="9">
        <v>60</v>
      </c>
      <c r="BS191" s="9">
        <v>1</v>
      </c>
      <c r="BT191" s="9">
        <v>0.22</v>
      </c>
      <c r="BU191" s="9">
        <v>3</v>
      </c>
      <c r="DB191" s="11">
        <v>3.48</v>
      </c>
      <c r="DC191" s="11">
        <v>1</v>
      </c>
      <c r="DD191" s="11">
        <v>1</v>
      </c>
      <c r="DE191" s="11"/>
      <c r="DF191" s="11">
        <f>7.35+1.4*2+0.62+0.74+0.03+0.7+0.18+0.03+0.05+0.01</f>
        <v>12.509999999999996</v>
      </c>
      <c r="DG191" s="11"/>
      <c r="DH191" s="11"/>
      <c r="DI191" s="11"/>
      <c r="DJ191" s="11"/>
      <c r="DK191" s="11"/>
      <c r="DL191" s="11"/>
      <c r="DM191" s="11">
        <v>0.13</v>
      </c>
      <c r="DN191" s="11">
        <v>0.13</v>
      </c>
      <c r="DO191" s="11"/>
      <c r="DP191" s="11"/>
      <c r="DQ191" s="11">
        <v>0</v>
      </c>
      <c r="DR191" s="11">
        <v>0</v>
      </c>
      <c r="DS191" s="11">
        <v>0</v>
      </c>
      <c r="DT191" s="9">
        <v>0</v>
      </c>
    </row>
    <row r="192" spans="1:124" x14ac:dyDescent="0.2">
      <c r="A192" s="10">
        <v>42943</v>
      </c>
      <c r="B192" s="9" t="s">
        <v>244</v>
      </c>
      <c r="C192" s="9" t="s">
        <v>266</v>
      </c>
      <c r="D192" s="9" t="s">
        <v>269</v>
      </c>
      <c r="E192" s="9">
        <v>40</v>
      </c>
      <c r="F192" s="11">
        <v>84.9</v>
      </c>
      <c r="G192" s="11">
        <v>81</v>
      </c>
      <c r="H192" s="11">
        <v>13.2</v>
      </c>
      <c r="I192" s="9">
        <v>93.04</v>
      </c>
      <c r="J192" s="9">
        <v>0</v>
      </c>
      <c r="K192" s="9">
        <v>0</v>
      </c>
      <c r="L192" s="9">
        <v>3.59</v>
      </c>
      <c r="M192" s="9">
        <v>3.38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1.7</v>
      </c>
      <c r="U192" s="9">
        <v>3.97</v>
      </c>
      <c r="V192" s="9">
        <v>39.76</v>
      </c>
      <c r="W192" s="9">
        <v>0.13</v>
      </c>
      <c r="X192" s="9">
        <v>0</v>
      </c>
      <c r="Y192" s="9">
        <v>0</v>
      </c>
      <c r="Z192" s="9">
        <v>0</v>
      </c>
      <c r="AM192" s="9">
        <v>15.9</v>
      </c>
      <c r="AN192" s="9">
        <v>1</v>
      </c>
      <c r="AO192" s="9">
        <v>47</v>
      </c>
      <c r="AP192" s="9">
        <v>2</v>
      </c>
      <c r="AQ192" s="9">
        <v>1.51</v>
      </c>
      <c r="AR192" s="9">
        <v>3</v>
      </c>
      <c r="BQ192" s="9">
        <v>1</v>
      </c>
      <c r="BR192" s="9">
        <v>40</v>
      </c>
      <c r="BS192" s="9">
        <v>7</v>
      </c>
      <c r="BT192" s="9">
        <f>2.27+3.02</f>
        <v>5.29</v>
      </c>
      <c r="BU192" s="9">
        <v>3</v>
      </c>
      <c r="DB192" s="11">
        <v>1.48</v>
      </c>
      <c r="DC192" s="11">
        <v>1</v>
      </c>
      <c r="DD192" s="11">
        <v>1</v>
      </c>
      <c r="DE192" s="11"/>
      <c r="DF192" s="11">
        <f>2.1+1.7+0.37+0.74</f>
        <v>4.91</v>
      </c>
      <c r="DG192" s="11"/>
      <c r="DH192" s="11"/>
      <c r="DI192" s="11"/>
      <c r="DJ192" s="11"/>
      <c r="DK192" s="11"/>
      <c r="DL192" s="11"/>
      <c r="DM192" s="11">
        <v>7.34</v>
      </c>
      <c r="DN192" s="11">
        <v>5.01</v>
      </c>
      <c r="DO192" s="11"/>
      <c r="DP192" s="11"/>
      <c r="DQ192" s="11">
        <v>0</v>
      </c>
      <c r="DR192" s="11">
        <v>0</v>
      </c>
      <c r="DS192" s="11">
        <v>0</v>
      </c>
      <c r="DT192" s="9">
        <v>0</v>
      </c>
    </row>
    <row r="193" spans="1:124" x14ac:dyDescent="0.2">
      <c r="A193" s="10">
        <v>42943</v>
      </c>
      <c r="B193" s="9" t="s">
        <v>244</v>
      </c>
      <c r="C193" s="9" t="s">
        <v>266</v>
      </c>
      <c r="D193" s="9" t="s">
        <v>270</v>
      </c>
      <c r="E193" s="9">
        <v>39.5</v>
      </c>
      <c r="F193" s="11">
        <v>85</v>
      </c>
      <c r="G193" s="11">
        <v>81</v>
      </c>
      <c r="H193" s="11">
        <v>12.7</v>
      </c>
      <c r="I193" s="9">
        <v>93.14</v>
      </c>
      <c r="J193" s="9">
        <v>0</v>
      </c>
      <c r="K193" s="9">
        <v>1.57</v>
      </c>
      <c r="L193" s="9">
        <v>2.08</v>
      </c>
      <c r="M193" s="9">
        <v>3.21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1.7</v>
      </c>
      <c r="U193" s="9">
        <v>6.54</v>
      </c>
      <c r="V193" s="9">
        <v>37.880000000000003</v>
      </c>
      <c r="W193" s="9">
        <v>3</v>
      </c>
      <c r="X193" s="9">
        <v>0</v>
      </c>
      <c r="Y193" s="9">
        <v>0</v>
      </c>
      <c r="Z193" s="9">
        <v>0</v>
      </c>
      <c r="AM193" s="9">
        <v>15.7</v>
      </c>
      <c r="AN193" s="9">
        <v>1</v>
      </c>
      <c r="AO193" s="9">
        <v>47</v>
      </c>
      <c r="AP193" s="9">
        <v>2</v>
      </c>
      <c r="AQ193" s="9">
        <v>1.51</v>
      </c>
      <c r="AR193" s="9">
        <v>3</v>
      </c>
      <c r="BQ193" s="9">
        <v>1</v>
      </c>
      <c r="BR193" s="9">
        <v>50</v>
      </c>
      <c r="BS193" s="9">
        <v>3</v>
      </c>
      <c r="BT193" s="9">
        <v>0.4</v>
      </c>
      <c r="BU193" s="9">
        <v>3</v>
      </c>
      <c r="BV193" s="9">
        <v>40</v>
      </c>
      <c r="BW193" s="9">
        <v>7</v>
      </c>
      <c r="BX193" s="9">
        <f>2.27+3.02</f>
        <v>5.29</v>
      </c>
      <c r="BY193" s="9">
        <v>3</v>
      </c>
      <c r="DB193" s="11">
        <v>1.76</v>
      </c>
      <c r="DC193" s="11">
        <v>1</v>
      </c>
      <c r="DD193" s="11">
        <v>1</v>
      </c>
      <c r="DE193" s="11"/>
      <c r="DF193" s="11">
        <f>2.1+1.7+0.4+0.37+0.74</f>
        <v>5.3100000000000005</v>
      </c>
      <c r="DG193" s="11"/>
      <c r="DH193" s="11"/>
      <c r="DI193" s="11"/>
      <c r="DJ193" s="11"/>
      <c r="DK193" s="11"/>
      <c r="DL193" s="11"/>
      <c r="DM193" s="11">
        <v>7.31</v>
      </c>
      <c r="DN193" s="11">
        <v>6.99</v>
      </c>
      <c r="DO193" s="11"/>
      <c r="DP193" s="11"/>
      <c r="DQ193" s="11">
        <v>0</v>
      </c>
      <c r="DR193" s="11">
        <v>0</v>
      </c>
      <c r="DS193" s="11">
        <v>0</v>
      </c>
      <c r="DT193" s="9">
        <v>0</v>
      </c>
    </row>
    <row r="194" spans="1:124" x14ac:dyDescent="0.2">
      <c r="A194" s="10">
        <v>42943</v>
      </c>
      <c r="B194" s="9" t="s">
        <v>244</v>
      </c>
      <c r="C194" s="9" t="s">
        <v>266</v>
      </c>
      <c r="D194" s="9" t="s">
        <v>271</v>
      </c>
      <c r="E194" s="9">
        <v>22.5</v>
      </c>
      <c r="F194" s="11">
        <v>60.3</v>
      </c>
      <c r="G194" s="11">
        <v>81</v>
      </c>
      <c r="H194" s="11">
        <v>13.3</v>
      </c>
      <c r="I194" s="9">
        <v>92.98</v>
      </c>
      <c r="J194" s="9">
        <v>0</v>
      </c>
      <c r="K194" s="9">
        <v>0</v>
      </c>
      <c r="L194" s="9">
        <v>0</v>
      </c>
      <c r="M194" s="9">
        <v>7.02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0.72</v>
      </c>
      <c r="V194" s="9">
        <v>23.12</v>
      </c>
      <c r="W194" s="9">
        <v>24.81</v>
      </c>
      <c r="X194" s="9">
        <v>0</v>
      </c>
      <c r="Y194" s="9">
        <v>0</v>
      </c>
      <c r="Z194" s="9">
        <v>0</v>
      </c>
      <c r="AM194" s="9">
        <v>0</v>
      </c>
      <c r="AN194" s="9">
        <v>1</v>
      </c>
      <c r="AO194" s="9">
        <v>23</v>
      </c>
      <c r="AP194" s="9">
        <v>1</v>
      </c>
      <c r="AQ194" s="9">
        <v>0.3</v>
      </c>
      <c r="AR194" s="9">
        <v>3</v>
      </c>
      <c r="BQ194" s="9">
        <v>0</v>
      </c>
      <c r="DB194" s="11">
        <v>1.26</v>
      </c>
      <c r="DC194" s="11">
        <v>1</v>
      </c>
      <c r="DD194" s="11">
        <v>1</v>
      </c>
      <c r="DE194" s="11"/>
      <c r="DF194" s="11">
        <f>2.1+1.7+0.4+0.37+0.74</f>
        <v>5.3100000000000005</v>
      </c>
      <c r="DG194" s="11"/>
      <c r="DH194" s="11"/>
      <c r="DI194" s="11"/>
      <c r="DJ194" s="11"/>
      <c r="DK194" s="11"/>
      <c r="DL194" s="11"/>
      <c r="DM194" s="11">
        <v>6.24</v>
      </c>
      <c r="DN194" s="11">
        <v>6.99</v>
      </c>
      <c r="DO194" s="11"/>
      <c r="DP194" s="11"/>
      <c r="DQ194" s="11">
        <v>0</v>
      </c>
      <c r="DR194" s="11">
        <v>0</v>
      </c>
      <c r="DS194" s="11">
        <v>0</v>
      </c>
      <c r="DT194" s="9">
        <v>0</v>
      </c>
    </row>
    <row r="195" spans="1:124" x14ac:dyDescent="0.2">
      <c r="A195" s="10">
        <v>42943</v>
      </c>
      <c r="B195" s="9" t="s">
        <v>244</v>
      </c>
      <c r="C195" s="9" t="s">
        <v>266</v>
      </c>
      <c r="D195" s="9" t="s">
        <v>272</v>
      </c>
      <c r="E195" s="9">
        <v>37</v>
      </c>
      <c r="F195" s="11">
        <v>81.900000000000006</v>
      </c>
      <c r="G195" s="11">
        <v>81</v>
      </c>
      <c r="H195" s="11">
        <v>26.3</v>
      </c>
      <c r="I195" s="9">
        <v>68.540000000000006</v>
      </c>
      <c r="J195" s="9">
        <v>0</v>
      </c>
      <c r="K195" s="9">
        <v>0</v>
      </c>
      <c r="L195" s="9">
        <v>0</v>
      </c>
      <c r="M195" s="9">
        <v>31.46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5.42</v>
      </c>
      <c r="V195" s="9">
        <v>17.37</v>
      </c>
      <c r="W195" s="9">
        <v>41.85</v>
      </c>
      <c r="X195" s="9">
        <v>0</v>
      </c>
      <c r="Y195" s="9">
        <v>0</v>
      </c>
      <c r="Z195" s="9">
        <v>0</v>
      </c>
      <c r="AM195" s="9">
        <v>0</v>
      </c>
      <c r="AN195" s="9">
        <v>1</v>
      </c>
      <c r="AO195" s="9">
        <v>23</v>
      </c>
      <c r="AP195" s="9">
        <v>2</v>
      </c>
      <c r="AQ195" s="9">
        <v>2.11</v>
      </c>
      <c r="AR195" s="9">
        <v>3</v>
      </c>
      <c r="BQ195" s="9">
        <v>0</v>
      </c>
      <c r="DB195" s="11">
        <v>2.64</v>
      </c>
      <c r="DC195" s="11">
        <v>1</v>
      </c>
      <c r="DD195" s="11">
        <v>1</v>
      </c>
      <c r="DE195" s="11"/>
      <c r="DF195" s="11">
        <f>4.2*2+1.7+5.1+0.37+0.74</f>
        <v>16.309999999999999</v>
      </c>
      <c r="DG195" s="11"/>
      <c r="DH195" s="11"/>
      <c r="DI195" s="11"/>
      <c r="DJ195" s="11"/>
      <c r="DK195" s="11"/>
      <c r="DL195" s="11"/>
      <c r="DM195" s="11">
        <v>5.32</v>
      </c>
      <c r="DN195" s="11">
        <v>8.0399999999999991</v>
      </c>
      <c r="DO195" s="11"/>
      <c r="DP195" s="11"/>
      <c r="DQ195" s="11">
        <v>0</v>
      </c>
      <c r="DR195" s="11">
        <v>0</v>
      </c>
      <c r="DS195" s="11">
        <v>0</v>
      </c>
      <c r="DT195" s="9">
        <v>0</v>
      </c>
    </row>
    <row r="196" spans="1:124" x14ac:dyDescent="0.2">
      <c r="A196" s="10">
        <v>42943</v>
      </c>
      <c r="B196" s="9" t="s">
        <v>244</v>
      </c>
      <c r="C196" s="9" t="s">
        <v>266</v>
      </c>
      <c r="D196" s="9" t="s">
        <v>273</v>
      </c>
      <c r="E196" s="9">
        <v>51</v>
      </c>
      <c r="F196" s="11">
        <v>93.4</v>
      </c>
      <c r="G196" s="11">
        <v>81</v>
      </c>
      <c r="H196" s="11">
        <v>29.5</v>
      </c>
      <c r="I196" s="9">
        <v>55.24</v>
      </c>
      <c r="J196" s="9">
        <v>0</v>
      </c>
      <c r="K196" s="9">
        <v>0</v>
      </c>
      <c r="L196" s="9">
        <v>0</v>
      </c>
      <c r="M196" s="9">
        <v>44.76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0.67</v>
      </c>
      <c r="U196" s="9">
        <v>5.0999999999999996</v>
      </c>
      <c r="V196" s="9">
        <v>47.22</v>
      </c>
      <c r="W196" s="9">
        <v>18.3</v>
      </c>
      <c r="X196" s="9">
        <v>0</v>
      </c>
      <c r="Y196" s="9">
        <v>7.5</v>
      </c>
      <c r="Z196" s="9">
        <v>1</v>
      </c>
      <c r="AA196" s="9">
        <v>3.6</v>
      </c>
      <c r="AC196" s="9">
        <v>1</v>
      </c>
      <c r="AG196" s="9">
        <v>3.6</v>
      </c>
      <c r="AI196" s="9">
        <v>1</v>
      </c>
      <c r="AM196" s="9">
        <v>0</v>
      </c>
      <c r="AN196" s="9">
        <v>0</v>
      </c>
      <c r="BQ196" s="9">
        <v>0</v>
      </c>
      <c r="DB196" s="11">
        <v>1.95</v>
      </c>
      <c r="DC196" s="11">
        <v>1</v>
      </c>
      <c r="DD196" s="11">
        <v>1</v>
      </c>
      <c r="DE196" s="11"/>
      <c r="DF196" s="11">
        <f>2.42+1.67+5+0.22+0.66+0.22</f>
        <v>10.190000000000001</v>
      </c>
      <c r="DG196" s="11"/>
      <c r="DH196" s="11"/>
      <c r="DI196" s="11"/>
      <c r="DJ196" s="11"/>
      <c r="DK196" s="11"/>
      <c r="DL196" s="11"/>
      <c r="DM196" s="11">
        <v>5.63</v>
      </c>
      <c r="DN196" s="11">
        <v>11.04</v>
      </c>
      <c r="DO196" s="11"/>
      <c r="DP196" s="11"/>
      <c r="DQ196" s="11">
        <v>0</v>
      </c>
      <c r="DR196" s="11">
        <v>0</v>
      </c>
      <c r="DS196" s="11">
        <v>0</v>
      </c>
      <c r="DT196" s="9">
        <v>0</v>
      </c>
    </row>
    <row r="197" spans="1:124" x14ac:dyDescent="0.2">
      <c r="A197" s="10">
        <v>42943</v>
      </c>
      <c r="B197" s="9" t="s">
        <v>244</v>
      </c>
      <c r="C197" s="9" t="s">
        <v>266</v>
      </c>
      <c r="D197" s="9" t="s">
        <v>274</v>
      </c>
      <c r="E197" s="9">
        <v>46</v>
      </c>
      <c r="F197" s="11">
        <v>92.7</v>
      </c>
      <c r="G197" s="11">
        <v>81</v>
      </c>
      <c r="H197" s="11">
        <v>20.8</v>
      </c>
      <c r="I197" s="9">
        <v>76.44</v>
      </c>
      <c r="J197" s="9">
        <v>0</v>
      </c>
      <c r="K197" s="9">
        <v>0</v>
      </c>
      <c r="L197" s="9">
        <v>0</v>
      </c>
      <c r="M197" s="9">
        <v>23.56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0.23</v>
      </c>
      <c r="U197" s="9">
        <v>0.51</v>
      </c>
      <c r="V197" s="9">
        <v>26.55</v>
      </c>
      <c r="W197" s="9">
        <v>36.69</v>
      </c>
      <c r="X197" s="9">
        <v>0</v>
      </c>
      <c r="Y197" s="9">
        <v>10.6</v>
      </c>
      <c r="Z197" s="9">
        <v>1</v>
      </c>
      <c r="AA197" s="9">
        <v>6</v>
      </c>
      <c r="AC197" s="9">
        <v>1</v>
      </c>
      <c r="AG197" s="9">
        <v>6</v>
      </c>
      <c r="AI197" s="9">
        <v>1</v>
      </c>
      <c r="AM197" s="9">
        <v>7.1</v>
      </c>
      <c r="AN197" s="9">
        <v>1</v>
      </c>
      <c r="AO197" s="9">
        <v>35</v>
      </c>
      <c r="AP197" s="9">
        <v>2</v>
      </c>
      <c r="AQ197" s="9">
        <f>0.76*2</f>
        <v>1.52</v>
      </c>
      <c r="AR197" s="9">
        <v>3</v>
      </c>
      <c r="BQ197" s="9">
        <v>0</v>
      </c>
      <c r="DB197" s="11">
        <v>2.41</v>
      </c>
      <c r="DC197" s="11">
        <v>1</v>
      </c>
      <c r="DD197" s="11">
        <v>1</v>
      </c>
      <c r="DE197" s="11"/>
      <c r="DF197" s="11">
        <f>0.41+1.67+5+0.33+0.45+0.15</f>
        <v>8.01</v>
      </c>
      <c r="DG197" s="11"/>
      <c r="DH197" s="11"/>
      <c r="DI197" s="11"/>
      <c r="DJ197" s="11"/>
      <c r="DK197" s="11"/>
      <c r="DL197" s="11"/>
      <c r="DM197" s="11">
        <v>0.33</v>
      </c>
      <c r="DN197" s="11">
        <v>0.33</v>
      </c>
      <c r="DO197" s="11"/>
      <c r="DP197" s="11"/>
      <c r="DQ197" s="11">
        <v>0</v>
      </c>
      <c r="DR197" s="11">
        <v>0</v>
      </c>
      <c r="DS197" s="11">
        <v>0</v>
      </c>
      <c r="DT197" s="9">
        <v>0</v>
      </c>
    </row>
    <row r="198" spans="1:124" x14ac:dyDescent="0.2">
      <c r="A198" s="10">
        <v>42943</v>
      </c>
      <c r="B198" s="9" t="s">
        <v>244</v>
      </c>
      <c r="C198" s="9" t="s">
        <v>266</v>
      </c>
      <c r="D198" s="9" t="s">
        <v>275</v>
      </c>
      <c r="E198" s="9">
        <v>38</v>
      </c>
      <c r="F198" s="11">
        <v>84.5</v>
      </c>
      <c r="G198" s="11">
        <v>81</v>
      </c>
      <c r="H198" s="11">
        <v>11.8</v>
      </c>
      <c r="I198" s="9">
        <v>99.78</v>
      </c>
      <c r="J198" s="9">
        <v>0</v>
      </c>
      <c r="K198" s="9">
        <v>0</v>
      </c>
      <c r="L198" s="9">
        <v>0</v>
      </c>
      <c r="M198" s="9">
        <v>0.22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7.31</v>
      </c>
      <c r="U198" s="9">
        <v>0</v>
      </c>
      <c r="V198" s="9">
        <v>30.29</v>
      </c>
      <c r="W198" s="9">
        <v>31.72</v>
      </c>
      <c r="X198" s="9">
        <v>0</v>
      </c>
      <c r="Y198" s="9">
        <v>0</v>
      </c>
      <c r="Z198" s="9">
        <v>0</v>
      </c>
      <c r="AM198" s="9">
        <v>14</v>
      </c>
      <c r="AN198" s="9">
        <v>1</v>
      </c>
      <c r="AO198" s="9">
        <v>52</v>
      </c>
      <c r="AP198" s="9">
        <v>6</v>
      </c>
      <c r="AQ198" s="9">
        <v>4.53</v>
      </c>
      <c r="AR198" s="9">
        <v>2</v>
      </c>
      <c r="BQ198" s="9">
        <v>1</v>
      </c>
      <c r="BR198" s="9">
        <v>50</v>
      </c>
      <c r="BS198" s="9">
        <v>3</v>
      </c>
      <c r="BT198" s="9">
        <v>0.4</v>
      </c>
      <c r="BU198" s="9">
        <v>6</v>
      </c>
      <c r="DB198" s="11">
        <v>3.9</v>
      </c>
      <c r="DC198" s="11">
        <v>1</v>
      </c>
      <c r="DD198" s="11">
        <v>1</v>
      </c>
      <c r="DE198" s="11"/>
      <c r="DF198" s="11">
        <f>1.7*3+4.53+2.64*2+0.6</f>
        <v>15.51</v>
      </c>
      <c r="DG198" s="11"/>
      <c r="DH198" s="11"/>
      <c r="DI198" s="11"/>
      <c r="DJ198" s="11"/>
      <c r="DK198" s="11"/>
      <c r="DL198" s="11"/>
      <c r="DM198" s="11">
        <v>8.14</v>
      </c>
      <c r="DN198" s="11">
        <v>15.87</v>
      </c>
      <c r="DO198" s="11"/>
      <c r="DP198" s="11"/>
      <c r="DQ198" s="11">
        <v>0</v>
      </c>
      <c r="DR198" s="11">
        <v>0</v>
      </c>
      <c r="DS198" s="11">
        <v>0</v>
      </c>
      <c r="DT198" s="9">
        <v>0</v>
      </c>
    </row>
    <row r="199" spans="1:124" x14ac:dyDescent="0.2">
      <c r="A199" s="10">
        <v>42943</v>
      </c>
      <c r="B199" s="9" t="s">
        <v>244</v>
      </c>
      <c r="C199" s="9" t="s">
        <v>266</v>
      </c>
      <c r="D199" s="9" t="s">
        <v>276</v>
      </c>
      <c r="E199" s="9">
        <v>21.5</v>
      </c>
      <c r="F199" s="11">
        <v>79.7</v>
      </c>
      <c r="G199" s="11">
        <v>81</v>
      </c>
      <c r="H199" s="11">
        <v>7.9</v>
      </c>
      <c r="I199" s="9">
        <v>99.71</v>
      </c>
      <c r="J199" s="9">
        <v>0</v>
      </c>
      <c r="K199" s="9">
        <v>0</v>
      </c>
      <c r="L199" s="9">
        <v>0</v>
      </c>
      <c r="M199" s="9">
        <v>0.28999999999999998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11.15</v>
      </c>
      <c r="V199" s="9">
        <v>33.119999999999997</v>
      </c>
      <c r="W199" s="9">
        <v>8.7200000000000006</v>
      </c>
      <c r="X199" s="9">
        <v>0</v>
      </c>
      <c r="Y199" s="9">
        <v>0</v>
      </c>
      <c r="Z199" s="9">
        <v>0</v>
      </c>
      <c r="AM199" s="9">
        <v>0</v>
      </c>
      <c r="AN199" s="9">
        <v>1</v>
      </c>
      <c r="AO199" s="9">
        <v>23</v>
      </c>
      <c r="AP199" s="9">
        <v>1</v>
      </c>
      <c r="AQ199" s="9">
        <v>2.27</v>
      </c>
      <c r="AR199" s="9">
        <v>3</v>
      </c>
      <c r="BQ199" s="9">
        <v>1</v>
      </c>
      <c r="BR199" s="9">
        <v>50</v>
      </c>
      <c r="BS199" s="9">
        <v>9</v>
      </c>
      <c r="BT199" s="9">
        <v>4.93</v>
      </c>
      <c r="BU199" s="9">
        <v>3</v>
      </c>
      <c r="DB199" s="11">
        <v>2</v>
      </c>
      <c r="DC199" s="11">
        <v>1</v>
      </c>
      <c r="DD199" s="11">
        <v>1</v>
      </c>
      <c r="DE199" s="11"/>
      <c r="DF199" s="11">
        <f>1.7+2.1*2+0.6</f>
        <v>6.5</v>
      </c>
      <c r="DG199" s="11"/>
      <c r="DH199" s="11"/>
      <c r="DI199" s="11"/>
      <c r="DJ199" s="11"/>
      <c r="DK199" s="11"/>
      <c r="DL199" s="11"/>
      <c r="DM199" s="11">
        <v>11.21</v>
      </c>
      <c r="DN199" s="11">
        <v>16.21</v>
      </c>
      <c r="DO199" s="11"/>
      <c r="DP199" s="11"/>
      <c r="DQ199" s="11">
        <v>0</v>
      </c>
      <c r="DR199" s="11">
        <v>0</v>
      </c>
      <c r="DS199" s="11">
        <v>0</v>
      </c>
      <c r="DT199" s="9">
        <v>0</v>
      </c>
    </row>
    <row r="200" spans="1:124" x14ac:dyDescent="0.2">
      <c r="A200" s="10">
        <v>42943</v>
      </c>
      <c r="B200" s="9" t="s">
        <v>244</v>
      </c>
      <c r="C200" s="9" t="s">
        <v>266</v>
      </c>
      <c r="D200" s="9" t="s">
        <v>277</v>
      </c>
      <c r="E200" s="9">
        <v>47.5</v>
      </c>
      <c r="F200" s="11">
        <v>85.1</v>
      </c>
      <c r="G200" s="11">
        <v>81</v>
      </c>
      <c r="H200" s="11">
        <v>33.200000000000003</v>
      </c>
      <c r="I200" s="9">
        <v>52.89</v>
      </c>
      <c r="J200" s="9">
        <v>0</v>
      </c>
      <c r="K200" s="9">
        <v>0</v>
      </c>
      <c r="L200" s="9">
        <v>0</v>
      </c>
      <c r="M200" s="9">
        <v>47.11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3.65</v>
      </c>
      <c r="U200" s="9">
        <v>0</v>
      </c>
      <c r="V200" s="9">
        <v>19.66</v>
      </c>
      <c r="W200" s="9">
        <v>48.22</v>
      </c>
      <c r="X200" s="9">
        <v>0</v>
      </c>
      <c r="Y200" s="9">
        <v>5.3</v>
      </c>
      <c r="Z200" s="9">
        <v>1</v>
      </c>
      <c r="AA200" s="9">
        <v>5</v>
      </c>
      <c r="AC200" s="9">
        <v>1</v>
      </c>
      <c r="AG200" s="9">
        <v>5</v>
      </c>
      <c r="AI200" s="9">
        <v>1</v>
      </c>
      <c r="AM200" s="9">
        <v>1.5</v>
      </c>
      <c r="AN200" s="9">
        <v>0</v>
      </c>
      <c r="BQ200" s="9">
        <v>1</v>
      </c>
      <c r="BR200" s="9">
        <v>60</v>
      </c>
      <c r="BS200" s="9">
        <v>1</v>
      </c>
      <c r="BT200" s="9">
        <v>3.97</v>
      </c>
      <c r="BU200" s="9">
        <v>4</v>
      </c>
      <c r="BV200" s="9">
        <v>60</v>
      </c>
      <c r="BW200" s="9">
        <v>1</v>
      </c>
      <c r="BX200" s="9">
        <v>0.2</v>
      </c>
      <c r="BY200" s="9">
        <v>3</v>
      </c>
      <c r="DB200" s="11">
        <v>1.3</v>
      </c>
      <c r="DC200" s="11">
        <v>1</v>
      </c>
      <c r="DD200" s="11">
        <v>1</v>
      </c>
      <c r="DE200" s="11"/>
      <c r="DF200" s="11">
        <f>1.05*2+0.15</f>
        <v>2.25</v>
      </c>
      <c r="DG200" s="11"/>
      <c r="DH200" s="11"/>
      <c r="DI200" s="11"/>
      <c r="DJ200" s="11"/>
      <c r="DK200" s="11"/>
      <c r="DL200" s="11"/>
      <c r="DM200" s="11">
        <v>0.69</v>
      </c>
      <c r="DN200" s="11">
        <v>0.33</v>
      </c>
      <c r="DO200" s="11"/>
      <c r="DP200" s="11"/>
      <c r="DQ200" s="11">
        <v>0</v>
      </c>
      <c r="DR200" s="11">
        <v>0</v>
      </c>
      <c r="DS200" s="11">
        <v>0</v>
      </c>
      <c r="DT200" s="9">
        <v>0</v>
      </c>
    </row>
    <row r="201" spans="1:124" x14ac:dyDescent="0.2">
      <c r="A201" s="10">
        <v>42943</v>
      </c>
      <c r="B201" s="9" t="s">
        <v>244</v>
      </c>
      <c r="C201" s="9" t="s">
        <v>266</v>
      </c>
      <c r="D201" s="9" t="s">
        <v>278</v>
      </c>
      <c r="E201" s="9">
        <v>50</v>
      </c>
      <c r="F201" s="11">
        <v>86.6</v>
      </c>
      <c r="G201" s="11">
        <v>81</v>
      </c>
      <c r="H201" s="11">
        <v>31.6</v>
      </c>
      <c r="I201" s="9">
        <v>51.98</v>
      </c>
      <c r="J201" s="9">
        <v>0</v>
      </c>
      <c r="K201" s="9">
        <v>0</v>
      </c>
      <c r="L201" s="9">
        <v>0</v>
      </c>
      <c r="M201" s="9">
        <v>48.02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34.880000000000003</v>
      </c>
      <c r="W201" s="9">
        <v>40.97</v>
      </c>
      <c r="X201" s="9">
        <v>0</v>
      </c>
      <c r="Y201" s="9">
        <v>12</v>
      </c>
      <c r="Z201" s="9">
        <v>1</v>
      </c>
      <c r="AA201" s="9">
        <v>7</v>
      </c>
      <c r="AC201" s="9">
        <v>1</v>
      </c>
      <c r="AG201" s="9">
        <v>7</v>
      </c>
      <c r="AI201" s="9">
        <v>1</v>
      </c>
      <c r="AM201" s="9">
        <v>0.4</v>
      </c>
      <c r="AN201" s="9">
        <v>0</v>
      </c>
      <c r="BQ201" s="9">
        <v>1</v>
      </c>
      <c r="BR201" s="9">
        <v>60</v>
      </c>
      <c r="BS201" s="9">
        <v>1</v>
      </c>
      <c r="BT201" s="9">
        <v>0.53</v>
      </c>
      <c r="BU201" s="9">
        <v>4</v>
      </c>
      <c r="BV201" s="9">
        <v>60</v>
      </c>
      <c r="BW201" s="9">
        <v>1</v>
      </c>
      <c r="BX201" s="9">
        <v>0.6</v>
      </c>
      <c r="BY201" s="9">
        <v>3</v>
      </c>
      <c r="DB201" s="11">
        <v>0.22</v>
      </c>
      <c r="DC201" s="11">
        <v>1</v>
      </c>
      <c r="DD201" s="11">
        <v>1</v>
      </c>
      <c r="DE201" s="11"/>
      <c r="DF201" s="11">
        <f>0.37*2</f>
        <v>0.74</v>
      </c>
      <c r="DG201" s="11"/>
      <c r="DH201" s="11"/>
      <c r="DI201" s="11"/>
      <c r="DJ201" s="11"/>
      <c r="DK201" s="11"/>
      <c r="DL201" s="11"/>
      <c r="DM201" s="11">
        <v>0</v>
      </c>
      <c r="DN201" s="11">
        <v>0</v>
      </c>
      <c r="DO201" s="11"/>
      <c r="DP201" s="11"/>
      <c r="DQ201" s="11">
        <v>0</v>
      </c>
      <c r="DR201" s="11">
        <v>0</v>
      </c>
      <c r="DS201" s="11">
        <v>0</v>
      </c>
      <c r="DT201" s="9">
        <v>0</v>
      </c>
    </row>
    <row r="202" spans="1:124" x14ac:dyDescent="0.2">
      <c r="A202" s="10">
        <v>42943</v>
      </c>
      <c r="B202" s="9" t="s">
        <v>244</v>
      </c>
      <c r="C202" s="9" t="s">
        <v>279</v>
      </c>
      <c r="D202" s="9" t="s">
        <v>280</v>
      </c>
      <c r="E202" s="9">
        <v>32</v>
      </c>
      <c r="F202" s="11">
        <v>93.9</v>
      </c>
      <c r="G202" s="11">
        <v>81</v>
      </c>
      <c r="H202" s="11">
        <v>11.9</v>
      </c>
      <c r="I202" s="9">
        <v>93.99</v>
      </c>
      <c r="J202" s="9">
        <v>4.91</v>
      </c>
      <c r="K202" s="9">
        <v>0</v>
      </c>
      <c r="L202" s="9">
        <v>0</v>
      </c>
      <c r="M202" s="9">
        <v>1.1000000000000001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21.14</v>
      </c>
      <c r="W202" s="9">
        <v>45.4</v>
      </c>
      <c r="X202" s="9">
        <v>0</v>
      </c>
      <c r="Y202" s="9">
        <v>0</v>
      </c>
      <c r="Z202" s="9">
        <v>0</v>
      </c>
      <c r="AM202" s="9">
        <v>0.6</v>
      </c>
      <c r="AN202" s="9">
        <v>1</v>
      </c>
      <c r="AO202" s="9">
        <v>52</v>
      </c>
      <c r="AP202" s="9">
        <v>3</v>
      </c>
      <c r="AQ202" s="9">
        <v>0.27</v>
      </c>
      <c r="AR202" s="9">
        <v>2</v>
      </c>
      <c r="BQ202" s="9">
        <v>0</v>
      </c>
      <c r="DB202" s="11">
        <v>1.89</v>
      </c>
      <c r="DC202" s="11">
        <v>1</v>
      </c>
      <c r="DD202" s="11">
        <v>2</v>
      </c>
      <c r="DE202" s="11"/>
      <c r="DF202" s="11">
        <v>5.25</v>
      </c>
      <c r="DG202" s="11"/>
      <c r="DH202" s="11"/>
      <c r="DI202" s="11"/>
      <c r="DJ202" s="11"/>
      <c r="DK202" s="11"/>
      <c r="DL202" s="11"/>
      <c r="DM202" s="11">
        <v>10.119999999999999</v>
      </c>
      <c r="DN202" s="11">
        <v>28</v>
      </c>
      <c r="DO202" s="11"/>
      <c r="DP202" s="11"/>
      <c r="DQ202" s="11">
        <v>2.96</v>
      </c>
      <c r="DR202" s="11">
        <v>11.53</v>
      </c>
      <c r="DS202" s="11">
        <v>0</v>
      </c>
      <c r="DT202" s="9">
        <v>0</v>
      </c>
    </row>
    <row r="203" spans="1:124" x14ac:dyDescent="0.2">
      <c r="A203" s="10">
        <v>42943</v>
      </c>
      <c r="B203" s="9" t="s">
        <v>244</v>
      </c>
      <c r="C203" s="9" t="s">
        <v>279</v>
      </c>
      <c r="D203" s="9" t="s">
        <v>281</v>
      </c>
      <c r="E203" s="9">
        <v>23.5</v>
      </c>
      <c r="F203" s="11">
        <v>76.8</v>
      </c>
      <c r="G203" s="11">
        <v>81</v>
      </c>
      <c r="H203" s="11">
        <v>13.3</v>
      </c>
      <c r="I203" s="9">
        <v>89.68</v>
      </c>
      <c r="J203" s="9">
        <v>0</v>
      </c>
      <c r="K203" s="9">
        <v>0.91</v>
      </c>
      <c r="L203" s="9">
        <v>0</v>
      </c>
      <c r="M203" s="9">
        <v>9.41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47.21</v>
      </c>
      <c r="W203" s="9">
        <v>1.76</v>
      </c>
      <c r="X203" s="9">
        <v>0</v>
      </c>
      <c r="Y203" s="9">
        <v>0</v>
      </c>
      <c r="Z203" s="9">
        <v>0</v>
      </c>
      <c r="AM203" s="9">
        <v>0.5</v>
      </c>
      <c r="AN203" s="9">
        <v>1</v>
      </c>
      <c r="AO203" s="9">
        <v>26</v>
      </c>
      <c r="AP203" s="9">
        <v>2</v>
      </c>
      <c r="AQ203" s="9">
        <v>1.51</v>
      </c>
      <c r="AR203" s="9">
        <v>2</v>
      </c>
      <c r="AS203" s="9">
        <v>52</v>
      </c>
      <c r="AT203" s="9">
        <v>3</v>
      </c>
      <c r="AU203" s="9">
        <v>0.38</v>
      </c>
      <c r="AV203" s="9">
        <v>2</v>
      </c>
      <c r="BQ203" s="9">
        <v>0</v>
      </c>
      <c r="DB203" s="11">
        <v>0.11</v>
      </c>
      <c r="DC203" s="11">
        <v>1</v>
      </c>
      <c r="DD203" s="11">
        <v>1</v>
      </c>
      <c r="DE203" s="11"/>
      <c r="DF203" s="11">
        <v>0.37</v>
      </c>
      <c r="DG203" s="11"/>
      <c r="DH203" s="11"/>
      <c r="DI203" s="11"/>
      <c r="DJ203" s="11"/>
      <c r="DK203" s="11"/>
      <c r="DL203" s="11"/>
      <c r="DM203" s="11">
        <v>6.62</v>
      </c>
      <c r="DN203" s="11">
        <v>11.28</v>
      </c>
      <c r="DO203" s="11"/>
      <c r="DP203" s="11"/>
      <c r="DQ203" s="11">
        <v>0</v>
      </c>
      <c r="DR203" s="11">
        <v>0</v>
      </c>
      <c r="DS203" s="11">
        <v>0</v>
      </c>
      <c r="DT203" s="9">
        <v>0</v>
      </c>
    </row>
    <row r="204" spans="1:124" x14ac:dyDescent="0.2">
      <c r="A204" s="10">
        <v>42943</v>
      </c>
      <c r="B204" s="9" t="s">
        <v>244</v>
      </c>
      <c r="C204" s="9" t="s">
        <v>279</v>
      </c>
      <c r="D204" s="9" t="s">
        <v>282</v>
      </c>
      <c r="E204" s="9">
        <v>22</v>
      </c>
      <c r="F204" s="11">
        <v>82.5</v>
      </c>
      <c r="G204" s="11">
        <v>81</v>
      </c>
      <c r="H204" s="11">
        <v>15.1</v>
      </c>
      <c r="I204" s="9">
        <v>0</v>
      </c>
      <c r="J204" s="9">
        <v>0</v>
      </c>
      <c r="K204" s="9">
        <v>0</v>
      </c>
      <c r="L204" s="9">
        <v>2</v>
      </c>
      <c r="M204" s="9">
        <v>8.67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5.88</v>
      </c>
      <c r="U204" s="9">
        <v>34.729999999999997</v>
      </c>
      <c r="V204" s="9">
        <v>6.44</v>
      </c>
      <c r="W204" s="9">
        <v>0</v>
      </c>
      <c r="X204" s="9">
        <v>0</v>
      </c>
      <c r="Y204" s="9">
        <v>0</v>
      </c>
      <c r="Z204" s="9">
        <v>0</v>
      </c>
      <c r="AM204" s="9">
        <v>5.8</v>
      </c>
      <c r="AN204" s="9">
        <v>1</v>
      </c>
      <c r="AO204" s="9">
        <v>68</v>
      </c>
      <c r="AP204" s="9">
        <v>6</v>
      </c>
      <c r="AQ204" s="9">
        <f>0.38+1.89+0+0.33</f>
        <v>2.6</v>
      </c>
      <c r="AR204" s="9">
        <v>2</v>
      </c>
      <c r="AS204" s="9">
        <v>23</v>
      </c>
      <c r="AT204" s="9">
        <v>1</v>
      </c>
      <c r="AU204" s="9">
        <v>2.27</v>
      </c>
      <c r="AV204" s="9">
        <v>3</v>
      </c>
      <c r="BQ204" s="9">
        <v>0</v>
      </c>
      <c r="DB204" s="11">
        <v>0</v>
      </c>
      <c r="DC204" s="11">
        <v>0</v>
      </c>
      <c r="DD204" s="11"/>
      <c r="DE204" s="11"/>
      <c r="DF204" s="11"/>
      <c r="DG204" s="11"/>
      <c r="DH204" s="11"/>
      <c r="DI204" s="11"/>
      <c r="DJ204" s="11"/>
      <c r="DK204" s="11"/>
      <c r="DL204" s="11"/>
      <c r="DM204" s="11">
        <v>0.77</v>
      </c>
      <c r="DN204" s="11">
        <v>0.77</v>
      </c>
      <c r="DO204" s="11"/>
      <c r="DP204" s="11"/>
      <c r="DQ204" s="11">
        <v>0</v>
      </c>
      <c r="DR204" s="11">
        <v>0</v>
      </c>
      <c r="DS204" s="11">
        <v>0</v>
      </c>
      <c r="DT204" s="9">
        <v>0</v>
      </c>
    </row>
    <row r="205" spans="1:124" x14ac:dyDescent="0.2">
      <c r="A205" s="10">
        <v>42943</v>
      </c>
      <c r="B205" s="9" t="s">
        <v>244</v>
      </c>
      <c r="C205" s="9" t="s">
        <v>279</v>
      </c>
      <c r="D205" s="9" t="s">
        <v>283</v>
      </c>
      <c r="E205" s="9">
        <v>34.5</v>
      </c>
      <c r="F205" s="11">
        <v>93.1</v>
      </c>
      <c r="G205" s="11">
        <v>81</v>
      </c>
      <c r="H205" s="11">
        <v>25.7</v>
      </c>
      <c r="I205" s="9">
        <v>72.2</v>
      </c>
      <c r="J205" s="9">
        <v>2.27</v>
      </c>
      <c r="K205" s="9">
        <v>10.23</v>
      </c>
      <c r="L205" s="9">
        <v>0</v>
      </c>
      <c r="M205" s="9">
        <v>15.3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41.42</v>
      </c>
      <c r="W205" s="9">
        <v>39.33</v>
      </c>
      <c r="X205" s="9">
        <v>0</v>
      </c>
      <c r="Y205" s="9">
        <v>0</v>
      </c>
      <c r="Z205" s="9">
        <v>0</v>
      </c>
      <c r="AM205" s="9">
        <v>0</v>
      </c>
      <c r="AN205" s="9">
        <v>0</v>
      </c>
      <c r="BQ205" s="9">
        <v>0</v>
      </c>
      <c r="DB205" s="11">
        <v>3.45</v>
      </c>
      <c r="DC205" s="11">
        <v>1</v>
      </c>
      <c r="DD205" s="11">
        <v>1</v>
      </c>
      <c r="DE205" s="11"/>
      <c r="DF205" s="11">
        <f>2.1+6.3+6.23*2+6.3+0.65+0.74*2+0.19</f>
        <v>29.48</v>
      </c>
      <c r="DG205" s="11"/>
      <c r="DH205" s="11"/>
      <c r="DI205" s="11"/>
      <c r="DJ205" s="11"/>
      <c r="DK205" s="11"/>
      <c r="DL205" s="11"/>
      <c r="DM205" s="11">
        <v>0.65</v>
      </c>
      <c r="DN205" s="11">
        <v>0.65</v>
      </c>
      <c r="DO205" s="11"/>
      <c r="DP205" s="11"/>
      <c r="DQ205" s="11">
        <v>0</v>
      </c>
      <c r="DR205" s="11">
        <v>0</v>
      </c>
      <c r="DS205" s="11">
        <v>0</v>
      </c>
      <c r="DT205" s="9">
        <v>0</v>
      </c>
    </row>
    <row r="206" spans="1:124" x14ac:dyDescent="0.2">
      <c r="A206" s="10">
        <v>42943</v>
      </c>
      <c r="B206" s="9" t="s">
        <v>244</v>
      </c>
      <c r="C206" s="9" t="s">
        <v>279</v>
      </c>
      <c r="D206" s="9" t="s">
        <v>284</v>
      </c>
      <c r="E206" s="9">
        <v>33.5</v>
      </c>
      <c r="F206" s="11">
        <v>96.2</v>
      </c>
      <c r="G206" s="11">
        <v>81</v>
      </c>
      <c r="H206" s="11">
        <v>22.7</v>
      </c>
      <c r="I206" s="9">
        <v>75.63</v>
      </c>
      <c r="J206" s="9">
        <v>0</v>
      </c>
      <c r="K206" s="9">
        <v>8.36</v>
      </c>
      <c r="L206" s="9">
        <v>0</v>
      </c>
      <c r="M206" s="9">
        <v>15.71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55.49</v>
      </c>
      <c r="W206" s="9">
        <v>29.63</v>
      </c>
      <c r="X206" s="9">
        <v>0</v>
      </c>
      <c r="Y206" s="9">
        <v>0</v>
      </c>
      <c r="Z206" s="9">
        <v>0</v>
      </c>
      <c r="AM206" s="9">
        <v>0</v>
      </c>
      <c r="AN206" s="9">
        <v>0</v>
      </c>
      <c r="BQ206" s="9">
        <v>0</v>
      </c>
      <c r="DB206" s="11">
        <v>4.96</v>
      </c>
      <c r="DC206" s="11">
        <v>1</v>
      </c>
      <c r="DD206" s="11">
        <v>1</v>
      </c>
      <c r="DE206" s="11"/>
      <c r="DF206" s="11">
        <f>2.1+6.3*2+12.47*2+0.74+0.19+1.67</f>
        <v>42.24</v>
      </c>
      <c r="DG206" s="11"/>
      <c r="DH206" s="11"/>
      <c r="DI206" s="11"/>
      <c r="DJ206" s="11"/>
      <c r="DK206" s="11"/>
      <c r="DL206" s="11"/>
      <c r="DM206" s="11">
        <v>0.32</v>
      </c>
      <c r="DN206" s="11">
        <v>0.32</v>
      </c>
      <c r="DO206" s="11"/>
      <c r="DP206" s="11"/>
      <c r="DQ206" s="11">
        <v>0</v>
      </c>
      <c r="DR206" s="11">
        <v>0</v>
      </c>
      <c r="DS206" s="11">
        <v>0</v>
      </c>
      <c r="DT206" s="9">
        <v>0</v>
      </c>
    </row>
    <row r="207" spans="1:124" x14ac:dyDescent="0.2">
      <c r="A207" s="10">
        <v>42943</v>
      </c>
      <c r="B207" s="9" t="s">
        <v>244</v>
      </c>
      <c r="C207" s="9" t="s">
        <v>279</v>
      </c>
      <c r="D207" s="9" t="s">
        <v>285</v>
      </c>
      <c r="E207" s="9">
        <v>27.5</v>
      </c>
      <c r="F207" s="11">
        <v>85.4</v>
      </c>
      <c r="G207" s="11">
        <v>81</v>
      </c>
      <c r="H207" s="11">
        <v>17.8</v>
      </c>
      <c r="I207" s="9">
        <v>85.58</v>
      </c>
      <c r="J207" s="9">
        <v>0</v>
      </c>
      <c r="K207" s="9">
        <v>12.16</v>
      </c>
      <c r="L207" s="9">
        <v>0</v>
      </c>
      <c r="M207" s="9">
        <v>2.2599999999999998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20.21</v>
      </c>
      <c r="V207" s="9">
        <v>37.159999999999997</v>
      </c>
      <c r="W207" s="9">
        <v>3.57</v>
      </c>
      <c r="X207" s="9">
        <v>0</v>
      </c>
      <c r="Y207" s="9">
        <v>0</v>
      </c>
      <c r="Z207" s="9">
        <v>0</v>
      </c>
      <c r="AM207" s="9">
        <v>0</v>
      </c>
      <c r="AN207" s="9">
        <v>0</v>
      </c>
      <c r="BQ207" s="9">
        <v>0</v>
      </c>
      <c r="DB207" s="11">
        <v>3.29</v>
      </c>
      <c r="DC207" s="11">
        <v>1</v>
      </c>
      <c r="DD207" s="11">
        <v>1</v>
      </c>
      <c r="DE207" s="11"/>
      <c r="DF207" s="11">
        <f>10.5+0.19+0.83</f>
        <v>11.52</v>
      </c>
      <c r="DG207" s="11"/>
      <c r="DH207" s="11"/>
      <c r="DI207" s="11"/>
      <c r="DJ207" s="11"/>
      <c r="DK207" s="11"/>
      <c r="DL207" s="11"/>
      <c r="DM207" s="11">
        <v>3.85</v>
      </c>
      <c r="DN207" s="11">
        <v>3.86</v>
      </c>
      <c r="DO207" s="11"/>
      <c r="DP207" s="11"/>
      <c r="DQ207" s="11">
        <v>0</v>
      </c>
      <c r="DR207" s="11">
        <v>0</v>
      </c>
      <c r="DS207" s="11">
        <v>0</v>
      </c>
      <c r="DT207" s="9">
        <v>0</v>
      </c>
    </row>
    <row r="208" spans="1:124" x14ac:dyDescent="0.2">
      <c r="A208" s="10">
        <v>42943</v>
      </c>
      <c r="B208" s="9" t="s">
        <v>244</v>
      </c>
      <c r="C208" s="9" t="s">
        <v>279</v>
      </c>
      <c r="D208" s="9" t="s">
        <v>286</v>
      </c>
      <c r="E208" s="9">
        <v>28.5</v>
      </c>
      <c r="F208" s="11">
        <v>85.2</v>
      </c>
      <c r="G208" s="11">
        <v>81</v>
      </c>
      <c r="H208" s="11">
        <v>18.399999999999999</v>
      </c>
      <c r="I208" s="9">
        <v>84.66</v>
      </c>
      <c r="J208" s="9">
        <v>0</v>
      </c>
      <c r="K208" s="9">
        <v>13.08</v>
      </c>
      <c r="L208" s="9">
        <v>0</v>
      </c>
      <c r="M208" s="9">
        <v>2.2599999999999998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20.21</v>
      </c>
      <c r="V208" s="9">
        <v>38.43</v>
      </c>
      <c r="W208" s="9">
        <v>2.54</v>
      </c>
      <c r="X208" s="9">
        <v>0</v>
      </c>
      <c r="Y208" s="9">
        <v>0</v>
      </c>
      <c r="Z208" s="9">
        <v>0</v>
      </c>
      <c r="AM208" s="9">
        <v>0</v>
      </c>
      <c r="AN208" s="9">
        <v>0</v>
      </c>
      <c r="BQ208" s="9">
        <v>0</v>
      </c>
      <c r="DB208" s="11">
        <v>3.39</v>
      </c>
      <c r="DC208" s="11">
        <v>1</v>
      </c>
      <c r="DD208" s="11">
        <v>1</v>
      </c>
      <c r="DE208" s="11"/>
      <c r="DF208" s="11">
        <f>10.5+0.19+0.65+1.67</f>
        <v>13.01</v>
      </c>
      <c r="DG208" s="11"/>
      <c r="DH208" s="11"/>
      <c r="DI208" s="11"/>
      <c r="DJ208" s="11"/>
      <c r="DK208" s="11"/>
      <c r="DL208" s="11"/>
      <c r="DM208" s="11">
        <v>3.95</v>
      </c>
      <c r="DN208" s="11">
        <v>3.95</v>
      </c>
      <c r="DO208" s="11"/>
      <c r="DP208" s="11"/>
      <c r="DQ208" s="11">
        <v>0</v>
      </c>
      <c r="DR208" s="11">
        <v>0</v>
      </c>
      <c r="DS208" s="11">
        <v>0</v>
      </c>
      <c r="DT208" s="9">
        <v>0</v>
      </c>
    </row>
    <row r="209" spans="1:124" x14ac:dyDescent="0.2">
      <c r="A209" s="10">
        <v>42943</v>
      </c>
      <c r="B209" s="9" t="s">
        <v>244</v>
      </c>
      <c r="C209" s="9" t="s">
        <v>279</v>
      </c>
      <c r="D209" s="19" t="s">
        <v>287</v>
      </c>
      <c r="E209" s="9">
        <v>69.5</v>
      </c>
      <c r="F209" s="11">
        <v>94.1</v>
      </c>
      <c r="G209" s="11">
        <v>81</v>
      </c>
      <c r="H209" s="11">
        <v>66.2</v>
      </c>
      <c r="I209" s="9">
        <v>39.99</v>
      </c>
      <c r="J209" s="9">
        <v>0</v>
      </c>
      <c r="K209" s="9">
        <v>33.270000000000003</v>
      </c>
      <c r="L209" s="9">
        <v>26.74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9.07</v>
      </c>
      <c r="V209" s="9">
        <v>0</v>
      </c>
      <c r="W209" s="9">
        <v>2.2999999999999998</v>
      </c>
      <c r="X209" s="9">
        <v>0</v>
      </c>
      <c r="Y209" s="9">
        <v>0</v>
      </c>
      <c r="Z209" s="9">
        <v>0</v>
      </c>
      <c r="AM209" s="9">
        <v>0</v>
      </c>
      <c r="AN209" s="9">
        <v>0</v>
      </c>
      <c r="BQ209" s="9">
        <v>0</v>
      </c>
      <c r="DB209" s="11">
        <v>0</v>
      </c>
      <c r="DC209" s="11">
        <v>0</v>
      </c>
      <c r="DD209" s="11"/>
      <c r="DE209" s="11"/>
      <c r="DF209" s="11"/>
      <c r="DG209" s="11"/>
      <c r="DH209" s="11"/>
      <c r="DI209" s="11"/>
      <c r="DJ209" s="11"/>
      <c r="DK209" s="11"/>
      <c r="DL209" s="11"/>
      <c r="DM209" s="11">
        <v>2.25</v>
      </c>
      <c r="DN209" s="11">
        <v>2.2599999999999998</v>
      </c>
      <c r="DO209" s="11"/>
      <c r="DP209" s="11"/>
      <c r="DQ209" s="11">
        <v>0</v>
      </c>
      <c r="DR209" s="11">
        <v>0</v>
      </c>
      <c r="DS209" s="11">
        <v>0</v>
      </c>
      <c r="DT209" s="9">
        <v>0</v>
      </c>
    </row>
    <row r="210" spans="1:124" x14ac:dyDescent="0.2">
      <c r="A210" s="10">
        <v>42943</v>
      </c>
      <c r="B210" s="9" t="s">
        <v>244</v>
      </c>
      <c r="C210" s="9" t="s">
        <v>279</v>
      </c>
      <c r="D210" s="9" t="s">
        <v>473</v>
      </c>
      <c r="E210" s="9">
        <v>48</v>
      </c>
      <c r="F210" s="11">
        <v>95.9</v>
      </c>
      <c r="G210" s="11">
        <v>81</v>
      </c>
      <c r="H210" s="11">
        <v>27.4</v>
      </c>
      <c r="I210" s="9">
        <v>77.319999999999993</v>
      </c>
      <c r="J210" s="9">
        <v>0</v>
      </c>
      <c r="K210" s="9">
        <v>16.12</v>
      </c>
      <c r="L210" s="9">
        <v>2.74</v>
      </c>
      <c r="M210" s="9">
        <v>3.81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2.44</v>
      </c>
      <c r="U210" s="9">
        <v>3.21</v>
      </c>
      <c r="V210" s="9">
        <v>12.77</v>
      </c>
      <c r="W210" s="9">
        <v>10.53</v>
      </c>
      <c r="X210" s="9">
        <v>0</v>
      </c>
      <c r="Y210" s="9">
        <v>17.5</v>
      </c>
      <c r="Z210" s="9">
        <v>1</v>
      </c>
      <c r="AA210" s="9">
        <v>7.28</v>
      </c>
      <c r="AC210" s="9">
        <v>4</v>
      </c>
      <c r="AD210" s="9">
        <v>6.8</v>
      </c>
      <c r="AF210" s="9">
        <v>4</v>
      </c>
      <c r="AG210" s="9">
        <v>5.54</v>
      </c>
      <c r="AI210" s="9">
        <v>7</v>
      </c>
      <c r="AJ210" s="9">
        <v>6.29</v>
      </c>
      <c r="AL210" s="9">
        <v>4</v>
      </c>
      <c r="AM210" s="9">
        <v>0.5</v>
      </c>
      <c r="AN210" s="9">
        <v>1</v>
      </c>
      <c r="AO210" s="9">
        <v>34</v>
      </c>
      <c r="AP210" s="9">
        <v>2</v>
      </c>
      <c r="AQ210" s="9">
        <f>0.19+0.03</f>
        <v>0.22</v>
      </c>
      <c r="AR210" s="9">
        <v>1</v>
      </c>
      <c r="AS210" s="9">
        <v>68</v>
      </c>
      <c r="AT210" s="9">
        <v>2</v>
      </c>
      <c r="AU210" s="9">
        <f>0.19+0.03</f>
        <v>0.22</v>
      </c>
      <c r="AV210" s="9">
        <v>1</v>
      </c>
      <c r="BQ210" s="9">
        <v>0</v>
      </c>
      <c r="DB210" s="11">
        <v>0</v>
      </c>
      <c r="DC210" s="11">
        <v>0</v>
      </c>
      <c r="DD210" s="11"/>
      <c r="DE210" s="11"/>
      <c r="DF210" s="11"/>
      <c r="DG210" s="11"/>
      <c r="DH210" s="11"/>
      <c r="DI210" s="11"/>
      <c r="DJ210" s="11"/>
      <c r="DK210" s="11"/>
      <c r="DL210" s="11"/>
      <c r="DM210" s="11">
        <v>0.44</v>
      </c>
      <c r="DN210" s="11">
        <v>0.44</v>
      </c>
      <c r="DO210" s="11"/>
      <c r="DP210" s="11"/>
      <c r="DQ210" s="11">
        <v>0</v>
      </c>
      <c r="DR210" s="11">
        <v>0</v>
      </c>
      <c r="DS210" s="11">
        <v>0</v>
      </c>
      <c r="DT210" s="9">
        <v>0</v>
      </c>
    </row>
    <row r="211" spans="1:124" x14ac:dyDescent="0.2">
      <c r="A211" s="10">
        <v>42943</v>
      </c>
      <c r="B211" s="9" t="s">
        <v>244</v>
      </c>
      <c r="C211" s="9" t="s">
        <v>302</v>
      </c>
      <c r="D211" s="9" t="s">
        <v>294</v>
      </c>
      <c r="E211" s="9">
        <v>30</v>
      </c>
      <c r="F211" s="11">
        <v>85.5</v>
      </c>
      <c r="G211" s="11">
        <v>81</v>
      </c>
      <c r="H211" s="11">
        <v>15.2</v>
      </c>
      <c r="I211" s="9">
        <v>87.44</v>
      </c>
      <c r="J211" s="9">
        <v>0</v>
      </c>
      <c r="K211" s="9">
        <v>0.94</v>
      </c>
      <c r="L211" s="9">
        <v>1.97</v>
      </c>
      <c r="M211" s="9">
        <v>9.65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2.71</v>
      </c>
      <c r="U211" s="9">
        <v>0.6</v>
      </c>
      <c r="V211" s="9">
        <v>2.17</v>
      </c>
      <c r="W211" s="9">
        <v>5.97</v>
      </c>
      <c r="X211" s="9">
        <v>2.65</v>
      </c>
      <c r="Y211" s="9">
        <v>0</v>
      </c>
      <c r="Z211" s="9">
        <v>0</v>
      </c>
      <c r="AM211" s="9">
        <v>10.6</v>
      </c>
      <c r="AN211" s="9">
        <v>1</v>
      </c>
      <c r="AO211" s="9">
        <v>60</v>
      </c>
      <c r="AP211" s="9">
        <v>2</v>
      </c>
      <c r="AQ211" s="9">
        <f>0.38+0.07</f>
        <v>0.45</v>
      </c>
      <c r="AR211" s="9">
        <v>1</v>
      </c>
      <c r="AS211" s="9">
        <v>68</v>
      </c>
      <c r="AT211" s="9">
        <v>1</v>
      </c>
      <c r="AU211" s="11">
        <v>0.31</v>
      </c>
      <c r="AV211" s="9">
        <v>1</v>
      </c>
      <c r="AW211" s="9">
        <v>85</v>
      </c>
      <c r="AX211" s="9">
        <v>2</v>
      </c>
      <c r="AY211" s="12">
        <f>1.89+0.94</f>
        <v>2.83</v>
      </c>
      <c r="AZ211" s="9">
        <v>2</v>
      </c>
      <c r="BA211" s="9">
        <v>25</v>
      </c>
      <c r="BB211" s="9">
        <v>1</v>
      </c>
      <c r="BC211" s="11">
        <v>0.27</v>
      </c>
      <c r="BD211" s="9">
        <v>2</v>
      </c>
      <c r="BQ211" s="9">
        <v>0</v>
      </c>
      <c r="DB211" s="11">
        <v>0</v>
      </c>
      <c r="DC211" s="11">
        <v>0</v>
      </c>
      <c r="DD211" s="11"/>
      <c r="DE211" s="11"/>
      <c r="DF211" s="11"/>
      <c r="DG211" s="11"/>
      <c r="DH211" s="11"/>
      <c r="DI211" s="11"/>
      <c r="DJ211" s="11"/>
      <c r="DK211" s="11"/>
      <c r="DL211" s="11"/>
      <c r="DM211" s="11">
        <v>4.17</v>
      </c>
      <c r="DN211" s="11">
        <v>2.54</v>
      </c>
      <c r="DO211" s="11"/>
      <c r="DP211" s="11"/>
      <c r="DQ211" s="11">
        <v>0</v>
      </c>
      <c r="DR211" s="11">
        <v>0</v>
      </c>
      <c r="DS211" s="11">
        <v>0</v>
      </c>
      <c r="DT211" s="9">
        <v>0</v>
      </c>
    </row>
    <row r="212" spans="1:124" x14ac:dyDescent="0.2">
      <c r="A212" s="10">
        <v>42943</v>
      </c>
      <c r="B212" s="9" t="s">
        <v>244</v>
      </c>
      <c r="C212" s="9" t="s">
        <v>302</v>
      </c>
      <c r="D212" s="9" t="s">
        <v>295</v>
      </c>
      <c r="E212" s="9">
        <v>53</v>
      </c>
      <c r="F212" s="11">
        <v>81.5</v>
      </c>
      <c r="G212" s="11">
        <v>81</v>
      </c>
      <c r="H212" s="11">
        <v>36.4</v>
      </c>
      <c r="I212" s="9">
        <v>56.99</v>
      </c>
      <c r="J212" s="9">
        <v>0</v>
      </c>
      <c r="K212" s="9">
        <v>0</v>
      </c>
      <c r="L212" s="9">
        <v>0.12</v>
      </c>
      <c r="M212" s="9">
        <v>42.89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25.37</v>
      </c>
      <c r="U212" s="9">
        <v>0</v>
      </c>
      <c r="V212" s="9">
        <v>42.65</v>
      </c>
      <c r="W212" s="9">
        <v>6.3</v>
      </c>
      <c r="X212" s="9">
        <v>0</v>
      </c>
      <c r="Y212" s="9">
        <v>0</v>
      </c>
      <c r="Z212" s="9">
        <v>0</v>
      </c>
      <c r="AM212" s="9">
        <v>8.6999999999999993</v>
      </c>
      <c r="AN212" s="9">
        <v>1</v>
      </c>
      <c r="AO212" s="9">
        <v>137</v>
      </c>
      <c r="AP212" s="9">
        <v>2</v>
      </c>
      <c r="AQ212" s="9">
        <f>0.65+0.05</f>
        <v>0.70000000000000007</v>
      </c>
      <c r="AR212" s="9">
        <v>1</v>
      </c>
      <c r="AS212" s="9">
        <v>103</v>
      </c>
      <c r="AT212" s="9">
        <v>2</v>
      </c>
      <c r="AU212" s="11">
        <f>0.65+0.05</f>
        <v>0.70000000000000007</v>
      </c>
      <c r="AV212" s="9">
        <v>1</v>
      </c>
      <c r="BQ212" s="9">
        <v>0</v>
      </c>
      <c r="DB212" s="11">
        <v>2.2799999999999998</v>
      </c>
      <c r="DC212" s="11">
        <v>1</v>
      </c>
      <c r="DD212" s="11">
        <v>3</v>
      </c>
      <c r="DE212" s="11"/>
      <c r="DF212" s="11">
        <f>2.69+0.37+0.74</f>
        <v>3.8</v>
      </c>
      <c r="DG212" s="11"/>
      <c r="DH212" s="11"/>
      <c r="DI212" s="11"/>
      <c r="DJ212" s="11"/>
      <c r="DK212" s="11"/>
      <c r="DL212" s="11"/>
      <c r="DM212" s="11">
        <v>0.48</v>
      </c>
      <c r="DN212" s="11">
        <v>0.48</v>
      </c>
      <c r="DO212" s="11"/>
      <c r="DP212" s="11"/>
      <c r="DQ212" s="11">
        <v>2.2200000000000002</v>
      </c>
      <c r="DR212" s="11">
        <v>23.08</v>
      </c>
      <c r="DS212" s="11">
        <v>0</v>
      </c>
      <c r="DT212" s="9">
        <v>0</v>
      </c>
    </row>
    <row r="213" spans="1:124" x14ac:dyDescent="0.2">
      <c r="A213" s="10">
        <v>42943</v>
      </c>
      <c r="B213" s="9" t="s">
        <v>244</v>
      </c>
      <c r="C213" s="9" t="s">
        <v>302</v>
      </c>
      <c r="D213" s="9" t="s">
        <v>296</v>
      </c>
      <c r="E213" s="9">
        <v>41</v>
      </c>
      <c r="F213" s="11">
        <v>48.6</v>
      </c>
      <c r="G213" s="11">
        <v>81</v>
      </c>
      <c r="H213" s="11">
        <v>21.6</v>
      </c>
      <c r="I213" s="9">
        <v>76.16</v>
      </c>
      <c r="J213" s="9">
        <v>0</v>
      </c>
      <c r="K213" s="9">
        <v>7.0000000000000007E-2</v>
      </c>
      <c r="L213" s="9">
        <v>0.13</v>
      </c>
      <c r="M213" s="9">
        <v>23.64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6.53</v>
      </c>
      <c r="U213" s="9">
        <v>0.2</v>
      </c>
      <c r="V213" s="9">
        <v>27.15</v>
      </c>
      <c r="W213" s="9">
        <v>4.1100000000000003</v>
      </c>
      <c r="X213" s="9">
        <v>0</v>
      </c>
      <c r="Y213" s="9">
        <v>3.9</v>
      </c>
      <c r="Z213" s="9">
        <v>1</v>
      </c>
      <c r="AA213" s="9">
        <v>10</v>
      </c>
      <c r="AC213" s="9">
        <v>1</v>
      </c>
      <c r="AM213" s="9">
        <v>0.6</v>
      </c>
      <c r="AN213" s="9">
        <v>1</v>
      </c>
      <c r="AO213" s="9">
        <v>52</v>
      </c>
      <c r="AP213" s="9">
        <v>3</v>
      </c>
      <c r="AQ213" s="11">
        <f>0.16+0.13</f>
        <v>0.29000000000000004</v>
      </c>
      <c r="AR213" s="9">
        <v>2</v>
      </c>
      <c r="BQ213" s="9">
        <v>0</v>
      </c>
      <c r="DB213" s="11">
        <v>0.56999999999999995</v>
      </c>
      <c r="DC213" s="11">
        <v>1</v>
      </c>
      <c r="DD213" s="11">
        <v>1</v>
      </c>
      <c r="DE213" s="11"/>
      <c r="DF213" s="11">
        <f>0.93</f>
        <v>0.93</v>
      </c>
      <c r="DG213" s="11">
        <v>2</v>
      </c>
      <c r="DH213" s="11"/>
      <c r="DI213" s="11">
        <f>0.31+0.22</f>
        <v>0.53</v>
      </c>
      <c r="DJ213" s="11"/>
      <c r="DK213" s="11"/>
      <c r="DL213" s="11"/>
      <c r="DM213" s="11">
        <v>5.72</v>
      </c>
      <c r="DN213" s="11">
        <v>5.75</v>
      </c>
      <c r="DO213" s="11"/>
      <c r="DP213" s="11"/>
      <c r="DQ213" s="11">
        <v>7.41</v>
      </c>
      <c r="DR213" s="11">
        <v>0</v>
      </c>
      <c r="DS213" s="11">
        <v>0.22</v>
      </c>
      <c r="DT213" s="9">
        <v>5</v>
      </c>
    </row>
    <row r="214" spans="1:124" x14ac:dyDescent="0.2">
      <c r="A214" s="10">
        <v>42943</v>
      </c>
      <c r="B214" s="9" t="s">
        <v>244</v>
      </c>
      <c r="C214" s="9" t="s">
        <v>302</v>
      </c>
      <c r="D214" s="9" t="s">
        <v>481</v>
      </c>
      <c r="E214" s="9">
        <v>40</v>
      </c>
      <c r="F214" s="11">
        <v>89.1</v>
      </c>
      <c r="G214" s="11">
        <v>81</v>
      </c>
      <c r="H214" s="11">
        <v>5.4</v>
      </c>
      <c r="I214" s="9">
        <v>99.83</v>
      </c>
      <c r="J214" s="9">
        <v>0</v>
      </c>
      <c r="K214" s="9">
        <v>0</v>
      </c>
      <c r="L214" s="9">
        <v>0.17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19.8</v>
      </c>
      <c r="V214" s="9">
        <v>8.9499999999999993</v>
      </c>
      <c r="W214" s="9">
        <v>0</v>
      </c>
      <c r="X214" s="9">
        <v>0</v>
      </c>
      <c r="Y214" s="9">
        <v>22.5</v>
      </c>
      <c r="Z214" s="9">
        <v>1</v>
      </c>
      <c r="AA214" s="9">
        <v>5</v>
      </c>
      <c r="AC214" s="9">
        <v>8</v>
      </c>
      <c r="AM214" s="9">
        <v>0</v>
      </c>
      <c r="AN214" s="9">
        <v>0</v>
      </c>
      <c r="BQ214" s="9">
        <v>1</v>
      </c>
      <c r="BR214" s="9">
        <v>50</v>
      </c>
      <c r="BS214" s="9">
        <v>4</v>
      </c>
      <c r="BT214" s="9">
        <f>0.73*2+0.13*2</f>
        <v>1.72</v>
      </c>
      <c r="BU214" s="9">
        <v>3</v>
      </c>
      <c r="DB214" s="11">
        <v>1.48</v>
      </c>
      <c r="DC214" s="11">
        <v>1</v>
      </c>
      <c r="DD214" s="11">
        <v>1</v>
      </c>
      <c r="DE214" s="11"/>
      <c r="DF214" s="11">
        <f>2.1*2+0.37*2</f>
        <v>4.9400000000000004</v>
      </c>
      <c r="DG214" s="11"/>
      <c r="DH214" s="11"/>
      <c r="DI214" s="11"/>
      <c r="DJ214" s="11"/>
      <c r="DK214" s="11"/>
      <c r="DL214" s="11"/>
      <c r="DM214" s="11">
        <v>7.71</v>
      </c>
      <c r="DN214" s="11">
        <v>4.3499999999999996</v>
      </c>
      <c r="DO214" s="11"/>
      <c r="DP214" s="11"/>
      <c r="DQ214" s="11">
        <v>0</v>
      </c>
      <c r="DR214" s="11">
        <v>0</v>
      </c>
      <c r="DS214" s="11">
        <v>0</v>
      </c>
      <c r="DT214" s="9">
        <v>0</v>
      </c>
    </row>
    <row r="215" spans="1:124" x14ac:dyDescent="0.2">
      <c r="A215" s="10">
        <v>42943</v>
      </c>
      <c r="B215" s="9" t="s">
        <v>244</v>
      </c>
      <c r="C215" s="9" t="s">
        <v>302</v>
      </c>
      <c r="D215" s="9" t="s">
        <v>482</v>
      </c>
      <c r="E215" s="9">
        <v>43</v>
      </c>
      <c r="F215" s="11">
        <v>93.3</v>
      </c>
      <c r="G215" s="11">
        <v>81</v>
      </c>
      <c r="H215" s="11">
        <v>6.4</v>
      </c>
      <c r="I215" s="9">
        <v>100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18.510000000000002</v>
      </c>
      <c r="V215" s="9">
        <v>28.46</v>
      </c>
      <c r="W215" s="9">
        <v>0</v>
      </c>
      <c r="X215" s="9">
        <v>0</v>
      </c>
      <c r="Y215" s="9">
        <v>0</v>
      </c>
      <c r="Z215" s="9">
        <v>0</v>
      </c>
      <c r="AM215" s="9">
        <v>33</v>
      </c>
      <c r="AN215" s="9">
        <v>0</v>
      </c>
      <c r="BQ215" s="9">
        <v>1</v>
      </c>
      <c r="BR215" s="9">
        <v>40</v>
      </c>
      <c r="BS215" s="9">
        <v>8</v>
      </c>
      <c r="BT215" s="9">
        <f>1.51*2+3.02+0.27*2</f>
        <v>6.58</v>
      </c>
      <c r="BU215" s="9">
        <v>3</v>
      </c>
      <c r="BV215" s="9">
        <v>60</v>
      </c>
      <c r="BW215" s="9">
        <v>20</v>
      </c>
      <c r="BX215" s="9">
        <f>3.65*2+0.67*2</f>
        <v>8.64</v>
      </c>
      <c r="BY215" s="9">
        <v>3</v>
      </c>
      <c r="DB215" s="11">
        <v>0</v>
      </c>
      <c r="DC215" s="11">
        <v>0</v>
      </c>
      <c r="DD215" s="11"/>
      <c r="DE215" s="11"/>
      <c r="DF215" s="11"/>
      <c r="DG215" s="11"/>
      <c r="DH215" s="11"/>
      <c r="DI215" s="11"/>
      <c r="DJ215" s="11"/>
      <c r="DK215" s="11"/>
      <c r="DL215" s="11"/>
      <c r="DM215" s="11">
        <v>0</v>
      </c>
      <c r="DN215" s="11">
        <v>0</v>
      </c>
      <c r="DO215" s="11"/>
      <c r="DP215" s="11"/>
      <c r="DQ215" s="11">
        <v>0</v>
      </c>
      <c r="DR215" s="11">
        <v>0</v>
      </c>
      <c r="DS215" s="11">
        <v>0</v>
      </c>
      <c r="DT215" s="9">
        <v>0</v>
      </c>
    </row>
    <row r="216" spans="1:124" x14ac:dyDescent="0.2">
      <c r="A216" s="10">
        <v>42943</v>
      </c>
      <c r="B216" s="9" t="s">
        <v>244</v>
      </c>
      <c r="C216" s="9" t="s">
        <v>302</v>
      </c>
      <c r="D216" s="9" t="s">
        <v>297</v>
      </c>
      <c r="E216" s="9">
        <v>40</v>
      </c>
      <c r="F216" s="11">
        <v>90.1</v>
      </c>
      <c r="G216" s="11">
        <v>81</v>
      </c>
      <c r="H216" s="11">
        <v>5.9</v>
      </c>
      <c r="I216" s="9">
        <v>99.34</v>
      </c>
      <c r="J216" s="9">
        <v>0</v>
      </c>
      <c r="K216" s="9">
        <v>0</v>
      </c>
      <c r="L216" s="9">
        <v>0.66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19.8</v>
      </c>
      <c r="V216" s="9">
        <v>8.9499999999999993</v>
      </c>
      <c r="W216" s="9">
        <v>0</v>
      </c>
      <c r="X216" s="9">
        <v>0</v>
      </c>
      <c r="Y216" s="9">
        <v>22.3</v>
      </c>
      <c r="Z216" s="9">
        <v>1</v>
      </c>
      <c r="AA216" s="9">
        <v>5</v>
      </c>
      <c r="AC216" s="9">
        <v>8</v>
      </c>
      <c r="AM216" s="9">
        <v>0</v>
      </c>
      <c r="AN216" s="9">
        <v>0</v>
      </c>
      <c r="BQ216" s="9">
        <v>1</v>
      </c>
      <c r="BR216" s="9">
        <v>50</v>
      </c>
      <c r="BS216" s="9">
        <v>4</v>
      </c>
      <c r="BT216" s="9">
        <f>0.73*2+0.13*2</f>
        <v>1.72</v>
      </c>
      <c r="BU216" s="9">
        <v>3</v>
      </c>
      <c r="DB216" s="11">
        <v>1.48</v>
      </c>
      <c r="DC216" s="11">
        <v>1</v>
      </c>
      <c r="DD216" s="11">
        <v>1</v>
      </c>
      <c r="DE216" s="11"/>
      <c r="DF216" s="11">
        <f>2.1*2+0.37*2</f>
        <v>4.9400000000000004</v>
      </c>
      <c r="DG216" s="11"/>
      <c r="DH216" s="11"/>
      <c r="DI216" s="11"/>
      <c r="DJ216" s="11"/>
      <c r="DK216" s="11"/>
      <c r="DL216" s="11"/>
      <c r="DM216" s="11">
        <v>7.71</v>
      </c>
      <c r="DN216" s="11">
        <v>4.3499999999999996</v>
      </c>
      <c r="DO216" s="11"/>
      <c r="DP216" s="11"/>
      <c r="DQ216" s="11">
        <v>0</v>
      </c>
      <c r="DR216" s="11">
        <v>0</v>
      </c>
      <c r="DS216" s="11">
        <v>0</v>
      </c>
      <c r="DT216" s="9">
        <v>0</v>
      </c>
    </row>
    <row r="217" spans="1:124" x14ac:dyDescent="0.2">
      <c r="A217" s="10">
        <v>42943</v>
      </c>
      <c r="B217" s="9" t="s">
        <v>244</v>
      </c>
      <c r="C217" s="9" t="s">
        <v>302</v>
      </c>
      <c r="D217" s="9" t="s">
        <v>298</v>
      </c>
      <c r="E217" s="9">
        <v>43</v>
      </c>
      <c r="F217" s="11">
        <v>93.3</v>
      </c>
      <c r="G217" s="11">
        <v>81</v>
      </c>
      <c r="H217" s="11">
        <v>6.4</v>
      </c>
      <c r="I217" s="9">
        <v>100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18.510000000000002</v>
      </c>
      <c r="V217" s="9">
        <v>28.46</v>
      </c>
      <c r="W217" s="9">
        <v>0</v>
      </c>
      <c r="X217" s="9">
        <v>0</v>
      </c>
      <c r="Y217" s="9">
        <v>0</v>
      </c>
      <c r="Z217" s="9">
        <v>0</v>
      </c>
      <c r="AM217" s="9">
        <v>33</v>
      </c>
      <c r="AN217" s="9">
        <v>0</v>
      </c>
      <c r="BQ217" s="9">
        <v>1</v>
      </c>
      <c r="BR217" s="9">
        <v>40</v>
      </c>
      <c r="BS217" s="9">
        <v>8</v>
      </c>
      <c r="BT217" s="9">
        <f>1.51*2+0.27*2+3.02</f>
        <v>6.58</v>
      </c>
      <c r="BU217" s="9">
        <v>3</v>
      </c>
      <c r="BV217" s="9">
        <v>60</v>
      </c>
      <c r="BW217" s="9">
        <v>20</v>
      </c>
      <c r="BX217" s="9">
        <f>3.65*2+0.67*2</f>
        <v>8.64</v>
      </c>
      <c r="BY217" s="9">
        <v>3</v>
      </c>
      <c r="DB217" s="11">
        <v>0</v>
      </c>
      <c r="DC217" s="11">
        <v>0</v>
      </c>
      <c r="DD217" s="11"/>
      <c r="DE217" s="11"/>
      <c r="DF217" s="11"/>
      <c r="DG217" s="11"/>
      <c r="DH217" s="11"/>
      <c r="DI217" s="11"/>
      <c r="DJ217" s="11"/>
      <c r="DK217" s="11"/>
      <c r="DL217" s="11"/>
      <c r="DM217" s="11">
        <v>0</v>
      </c>
      <c r="DN217" s="11">
        <v>0</v>
      </c>
      <c r="DO217" s="11"/>
      <c r="DP217" s="11"/>
      <c r="DQ217" s="11">
        <v>0</v>
      </c>
      <c r="DR217" s="11">
        <v>0</v>
      </c>
      <c r="DS217" s="11">
        <v>0</v>
      </c>
      <c r="DT217" s="9">
        <v>0</v>
      </c>
    </row>
    <row r="218" spans="1:124" x14ac:dyDescent="0.2">
      <c r="A218" s="10">
        <v>42943</v>
      </c>
      <c r="B218" s="9" t="s">
        <v>244</v>
      </c>
      <c r="C218" s="9" t="s">
        <v>302</v>
      </c>
      <c r="D218" s="9" t="s">
        <v>299</v>
      </c>
      <c r="E218" s="9">
        <v>57.5</v>
      </c>
      <c r="F218" s="11">
        <v>91.5</v>
      </c>
      <c r="G218" s="11">
        <v>81</v>
      </c>
      <c r="H218" s="11">
        <v>49.9</v>
      </c>
      <c r="I218" s="9">
        <v>47.29</v>
      </c>
      <c r="J218" s="9">
        <v>0</v>
      </c>
      <c r="K218" s="9">
        <v>45.65</v>
      </c>
      <c r="L218" s="9">
        <v>6.91</v>
      </c>
      <c r="M218" s="9">
        <v>0.15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9.23</v>
      </c>
      <c r="V218" s="9">
        <v>4.3499999999999996</v>
      </c>
      <c r="W218" s="9">
        <v>6.63</v>
      </c>
      <c r="X218" s="9">
        <v>0</v>
      </c>
      <c r="Y218" s="9">
        <v>0</v>
      </c>
      <c r="Z218" s="9">
        <v>1</v>
      </c>
      <c r="AA218" s="9">
        <v>5</v>
      </c>
      <c r="AC218" s="9">
        <v>2</v>
      </c>
      <c r="AM218" s="9">
        <v>1.1000000000000001</v>
      </c>
      <c r="AN218" s="9">
        <v>0</v>
      </c>
      <c r="BQ218" s="9">
        <v>1</v>
      </c>
      <c r="BR218" s="9">
        <v>50</v>
      </c>
      <c r="BS218" s="9">
        <v>1</v>
      </c>
      <c r="BT218" s="9">
        <v>0.27</v>
      </c>
      <c r="BU218" s="9">
        <v>2</v>
      </c>
      <c r="DB218" s="11">
        <v>2.82</v>
      </c>
      <c r="DC218" s="11">
        <v>1</v>
      </c>
      <c r="DD218" s="11">
        <v>1</v>
      </c>
      <c r="DE218" s="11"/>
      <c r="DF218" s="11">
        <f>1.86+1.72+2.1+7.35+1.72+1.48+0.37*3</f>
        <v>17.34</v>
      </c>
      <c r="DG218" s="11"/>
      <c r="DH218" s="11"/>
      <c r="DI218" s="11"/>
      <c r="DJ218" s="11"/>
      <c r="DK218" s="11"/>
      <c r="DL218" s="11"/>
      <c r="DM218" s="11">
        <v>3.33</v>
      </c>
      <c r="DN218" s="11">
        <v>3.32</v>
      </c>
      <c r="DO218" s="11"/>
      <c r="DP218" s="11"/>
      <c r="DQ218" s="11">
        <v>0</v>
      </c>
      <c r="DR218" s="11">
        <v>0</v>
      </c>
      <c r="DS218" s="11">
        <v>0</v>
      </c>
      <c r="DT218" s="9">
        <v>0</v>
      </c>
    </row>
    <row r="219" spans="1:124" x14ac:dyDescent="0.2">
      <c r="A219" s="10">
        <v>42943</v>
      </c>
      <c r="B219" s="9" t="s">
        <v>244</v>
      </c>
      <c r="C219" s="9" t="s">
        <v>302</v>
      </c>
      <c r="D219" s="9" t="s">
        <v>300</v>
      </c>
      <c r="E219" s="9">
        <v>52.5</v>
      </c>
      <c r="F219" s="11">
        <v>71.2</v>
      </c>
      <c r="G219" s="11">
        <v>81</v>
      </c>
      <c r="H219" s="11">
        <v>44.8</v>
      </c>
      <c r="I219" s="9">
        <v>59.03</v>
      </c>
      <c r="J219" s="9">
        <v>0</v>
      </c>
      <c r="K219" s="9">
        <v>22.52</v>
      </c>
      <c r="L219" s="9">
        <v>17.8</v>
      </c>
      <c r="M219" s="9">
        <v>0.65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3.42</v>
      </c>
      <c r="V219" s="9">
        <v>2.94</v>
      </c>
      <c r="W219" s="9">
        <v>0</v>
      </c>
      <c r="X219" s="9">
        <v>0</v>
      </c>
      <c r="Y219" s="9">
        <v>0</v>
      </c>
      <c r="Z219" s="9">
        <v>0</v>
      </c>
      <c r="AM219" s="9">
        <v>0</v>
      </c>
      <c r="AN219" s="9">
        <v>1</v>
      </c>
      <c r="AO219" s="9">
        <v>34</v>
      </c>
      <c r="AP219" s="9">
        <v>8</v>
      </c>
      <c r="AQ219" s="9">
        <v>5.35</v>
      </c>
      <c r="AR219" s="9">
        <v>1</v>
      </c>
      <c r="BQ219" s="9">
        <v>0</v>
      </c>
      <c r="DB219" s="11">
        <v>1.96</v>
      </c>
      <c r="DC219" s="11">
        <v>1</v>
      </c>
      <c r="DD219" s="11">
        <v>1</v>
      </c>
      <c r="DE219" s="11"/>
      <c r="DF219" s="11">
        <f>0.22+4.31+1.48+0.37*2</f>
        <v>6.75</v>
      </c>
      <c r="DG219" s="11"/>
      <c r="DH219" s="11"/>
      <c r="DI219" s="11"/>
      <c r="DJ219" s="11"/>
      <c r="DK219" s="11"/>
      <c r="DL219" s="11"/>
      <c r="DM219" s="11">
        <v>4.75</v>
      </c>
      <c r="DN219" s="11">
        <v>4.74</v>
      </c>
      <c r="DO219" s="11"/>
      <c r="DP219" s="11"/>
      <c r="DQ219" s="11">
        <v>0</v>
      </c>
      <c r="DR219" s="11">
        <v>0</v>
      </c>
      <c r="DS219" s="11">
        <v>0</v>
      </c>
      <c r="DT219" s="9">
        <v>0</v>
      </c>
    </row>
    <row r="220" spans="1:124" x14ac:dyDescent="0.2">
      <c r="A220" s="10">
        <v>42943</v>
      </c>
      <c r="B220" s="9" t="s">
        <v>244</v>
      </c>
      <c r="C220" s="9" t="s">
        <v>302</v>
      </c>
      <c r="D220" s="9" t="s">
        <v>301</v>
      </c>
      <c r="E220" s="9">
        <v>62</v>
      </c>
      <c r="F220" s="11">
        <v>90.3</v>
      </c>
      <c r="G220" s="11">
        <v>81</v>
      </c>
      <c r="H220" s="11">
        <v>56.4</v>
      </c>
      <c r="I220" s="9">
        <v>56.67</v>
      </c>
      <c r="J220" s="9">
        <v>0</v>
      </c>
      <c r="K220" s="9">
        <v>0</v>
      </c>
      <c r="L220" s="9">
        <v>43.33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0.55000000000000004</v>
      </c>
      <c r="W220" s="9">
        <v>0</v>
      </c>
      <c r="X220" s="9">
        <v>0</v>
      </c>
      <c r="Y220" s="9">
        <v>0</v>
      </c>
      <c r="Z220" s="9">
        <v>0</v>
      </c>
      <c r="AM220" s="9">
        <v>0</v>
      </c>
      <c r="AN220" s="9">
        <v>0</v>
      </c>
      <c r="BQ220" s="9">
        <v>0</v>
      </c>
      <c r="DB220" s="11">
        <v>3.58</v>
      </c>
      <c r="DC220" s="11">
        <v>1</v>
      </c>
      <c r="DD220" s="11">
        <v>1</v>
      </c>
      <c r="DE220" s="11"/>
      <c r="DF220" s="11">
        <f>10.5+5.57+3.88+6.19+1.33+1.67+0.4+0.65</f>
        <v>30.189999999999998</v>
      </c>
      <c r="DG220" s="11"/>
      <c r="DH220" s="11"/>
      <c r="DI220" s="11"/>
      <c r="DJ220" s="11"/>
      <c r="DK220" s="11"/>
      <c r="DL220" s="11"/>
      <c r="DM220" s="11">
        <v>1.71</v>
      </c>
      <c r="DN220" s="11">
        <v>1.58</v>
      </c>
      <c r="DO220" s="11"/>
      <c r="DP220" s="11"/>
      <c r="DQ220" s="11">
        <v>0</v>
      </c>
      <c r="DR220" s="11">
        <v>0</v>
      </c>
      <c r="DS220" s="11">
        <v>0</v>
      </c>
      <c r="DT220" s="9">
        <v>0</v>
      </c>
    </row>
    <row r="221" spans="1:124" x14ac:dyDescent="0.2">
      <c r="A221" s="10">
        <v>42943</v>
      </c>
      <c r="B221" s="9" t="s">
        <v>303</v>
      </c>
      <c r="C221" s="9" t="s">
        <v>304</v>
      </c>
      <c r="D221" s="9" t="s">
        <v>305</v>
      </c>
      <c r="E221" s="9">
        <v>41.5</v>
      </c>
      <c r="F221" s="11">
        <v>70</v>
      </c>
      <c r="G221" s="11">
        <v>83.4</v>
      </c>
      <c r="H221" s="11">
        <v>33.4</v>
      </c>
      <c r="I221" s="9">
        <v>67.05</v>
      </c>
      <c r="J221" s="9">
        <v>0</v>
      </c>
      <c r="K221" s="9">
        <v>5.87</v>
      </c>
      <c r="L221" s="9">
        <v>12.48</v>
      </c>
      <c r="M221" s="9">
        <v>14.6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18.75</v>
      </c>
      <c r="V221" s="9">
        <v>14.73</v>
      </c>
      <c r="W221" s="9">
        <v>5.87</v>
      </c>
      <c r="X221" s="9">
        <v>0</v>
      </c>
      <c r="Y221" s="9">
        <v>0</v>
      </c>
      <c r="Z221" s="9">
        <v>0</v>
      </c>
      <c r="AM221" s="9">
        <v>0</v>
      </c>
      <c r="AN221" s="9">
        <v>1</v>
      </c>
      <c r="AO221" s="9">
        <v>23</v>
      </c>
      <c r="AP221" s="9">
        <v>3</v>
      </c>
      <c r="AQ221" s="9">
        <f>1.47+0.73</f>
        <v>2.2000000000000002</v>
      </c>
      <c r="AR221" s="9">
        <v>3</v>
      </c>
      <c r="BQ221" s="9">
        <v>1</v>
      </c>
      <c r="BR221" s="9">
        <v>30</v>
      </c>
      <c r="BS221" s="9">
        <v>2</v>
      </c>
      <c r="BT221" s="9">
        <v>2.94</v>
      </c>
      <c r="BU221" s="9">
        <v>3</v>
      </c>
      <c r="DB221" s="11">
        <v>1.6</v>
      </c>
      <c r="DC221" s="11">
        <v>1</v>
      </c>
      <c r="DD221" s="11">
        <v>1</v>
      </c>
      <c r="DE221" s="11"/>
      <c r="DF221" s="11">
        <f>4.08+3.06+0.18+0.72</f>
        <v>8.0400000000000009</v>
      </c>
      <c r="DG221" s="11"/>
      <c r="DH221" s="11"/>
      <c r="DI221" s="11"/>
      <c r="DJ221" s="11"/>
      <c r="DK221" s="11"/>
      <c r="DL221" s="11"/>
      <c r="DM221" s="11">
        <v>6.47</v>
      </c>
      <c r="DN221" s="11">
        <v>6.24</v>
      </c>
      <c r="DO221" s="11"/>
      <c r="DP221" s="11"/>
      <c r="DQ221" s="11">
        <v>0</v>
      </c>
      <c r="DR221" s="11">
        <v>0</v>
      </c>
      <c r="DS221" s="11">
        <v>0</v>
      </c>
      <c r="DT221" s="9">
        <v>0</v>
      </c>
    </row>
    <row r="222" spans="1:124" x14ac:dyDescent="0.2">
      <c r="A222" s="10">
        <v>42943</v>
      </c>
      <c r="B222" s="9" t="s">
        <v>303</v>
      </c>
      <c r="C222" s="9" t="s">
        <v>304</v>
      </c>
      <c r="D222" s="9" t="s">
        <v>306</v>
      </c>
      <c r="E222" s="9">
        <v>58</v>
      </c>
      <c r="F222" s="11">
        <v>94.2</v>
      </c>
      <c r="G222" s="11">
        <v>83.4</v>
      </c>
      <c r="H222" s="11">
        <v>45.8</v>
      </c>
      <c r="I222" s="9">
        <v>51.88</v>
      </c>
      <c r="J222" s="9">
        <v>0</v>
      </c>
      <c r="K222" s="9">
        <v>42.28</v>
      </c>
      <c r="L222" s="9">
        <v>0</v>
      </c>
      <c r="M222" s="9">
        <v>1.81</v>
      </c>
      <c r="N222" s="9">
        <v>0</v>
      </c>
      <c r="O222" s="9">
        <v>4.03</v>
      </c>
      <c r="P222" s="9">
        <v>0</v>
      </c>
      <c r="Q222" s="9">
        <v>3.02</v>
      </c>
      <c r="R222" s="9">
        <v>0</v>
      </c>
      <c r="S222" s="9">
        <v>0</v>
      </c>
      <c r="T222" s="9">
        <v>2.06</v>
      </c>
      <c r="U222" s="9">
        <v>7.41</v>
      </c>
      <c r="V222" s="9">
        <v>41.45</v>
      </c>
      <c r="W222" s="9">
        <v>4.5</v>
      </c>
      <c r="X222" s="9">
        <v>0</v>
      </c>
      <c r="Y222" s="9">
        <v>5.3</v>
      </c>
      <c r="Z222" s="9">
        <v>1</v>
      </c>
      <c r="AA222" s="9">
        <v>5</v>
      </c>
      <c r="AC222" s="9">
        <v>1</v>
      </c>
      <c r="AM222" s="9">
        <v>3.9</v>
      </c>
      <c r="AN222" s="9">
        <v>0</v>
      </c>
      <c r="BQ222" s="9">
        <v>1</v>
      </c>
      <c r="BR222" s="9">
        <v>60</v>
      </c>
      <c r="BS222" s="9">
        <v>4</v>
      </c>
      <c r="BT222" s="9">
        <f>1.47*2</f>
        <v>2.94</v>
      </c>
      <c r="BU222" s="9">
        <v>2</v>
      </c>
      <c r="BV222" s="9">
        <v>50</v>
      </c>
      <c r="BW222" s="9">
        <v>9</v>
      </c>
      <c r="BX222" s="9">
        <f>0.9+0.12</f>
        <v>1.02</v>
      </c>
      <c r="BY222" s="9">
        <v>2</v>
      </c>
      <c r="BZ222" s="9">
        <v>70</v>
      </c>
      <c r="CA222" s="9">
        <v>4</v>
      </c>
      <c r="CB222" s="9">
        <v>0.4</v>
      </c>
      <c r="CC222" s="9">
        <v>2</v>
      </c>
      <c r="DB222" s="11">
        <v>0</v>
      </c>
      <c r="DC222" s="11">
        <v>0</v>
      </c>
      <c r="DD222" s="11"/>
      <c r="DE222" s="11"/>
      <c r="DF222" s="11"/>
      <c r="DG222" s="11"/>
      <c r="DH222" s="11"/>
      <c r="DI222" s="11"/>
      <c r="DJ222" s="11"/>
      <c r="DK222" s="11"/>
      <c r="DL222" s="11"/>
      <c r="DM222" s="11">
        <v>2.7</v>
      </c>
      <c r="DN222" s="11">
        <v>0.9</v>
      </c>
      <c r="DO222" s="11"/>
      <c r="DP222" s="11"/>
      <c r="DQ222" s="11">
        <v>0</v>
      </c>
      <c r="DR222" s="11">
        <v>0</v>
      </c>
      <c r="DS222" s="11">
        <v>0</v>
      </c>
      <c r="DT222" s="9">
        <v>0</v>
      </c>
    </row>
    <row r="223" spans="1:124" x14ac:dyDescent="0.2">
      <c r="A223" s="10">
        <v>42943</v>
      </c>
      <c r="B223" s="9" t="s">
        <v>303</v>
      </c>
      <c r="C223" s="9" t="s">
        <v>304</v>
      </c>
      <c r="D223" s="9" t="s">
        <v>307</v>
      </c>
      <c r="E223" s="9">
        <v>50.5</v>
      </c>
      <c r="F223" s="11">
        <v>78.7</v>
      </c>
      <c r="G223" s="11">
        <v>83.4</v>
      </c>
      <c r="H223" s="11">
        <v>45.1</v>
      </c>
      <c r="I223" s="9">
        <v>50.98</v>
      </c>
      <c r="J223" s="9">
        <v>1.99</v>
      </c>
      <c r="K223" s="9">
        <v>41.43</v>
      </c>
      <c r="L223" s="9">
        <v>0</v>
      </c>
      <c r="M223" s="9">
        <v>1.81</v>
      </c>
      <c r="N223" s="9">
        <v>0</v>
      </c>
      <c r="O223" s="9">
        <v>3.78</v>
      </c>
      <c r="P223" s="9">
        <v>0</v>
      </c>
      <c r="Q223" s="9">
        <v>3.02</v>
      </c>
      <c r="R223" s="9">
        <v>0</v>
      </c>
      <c r="S223" s="9">
        <v>0</v>
      </c>
      <c r="T223" s="9">
        <v>1.81</v>
      </c>
      <c r="U223" s="9">
        <v>12.52</v>
      </c>
      <c r="V223" s="9">
        <v>41.44</v>
      </c>
      <c r="W223" s="9">
        <v>3.05</v>
      </c>
      <c r="X223" s="9">
        <v>0</v>
      </c>
      <c r="Y223" s="9">
        <v>0</v>
      </c>
      <c r="Z223" s="9">
        <v>0</v>
      </c>
      <c r="AM223" s="9">
        <v>3</v>
      </c>
      <c r="AN223" s="9">
        <v>0</v>
      </c>
      <c r="BQ223" s="9">
        <v>1</v>
      </c>
      <c r="BR223" s="9">
        <v>60</v>
      </c>
      <c r="BS223" s="9">
        <v>4</v>
      </c>
      <c r="BT223" s="9">
        <f>1.47*2</f>
        <v>2.94</v>
      </c>
      <c r="BU223" s="9">
        <v>2</v>
      </c>
      <c r="BV223" s="9">
        <v>50</v>
      </c>
      <c r="BW223" s="9">
        <v>9</v>
      </c>
      <c r="BX223" s="9">
        <f>0.9+0.12</f>
        <v>1.02</v>
      </c>
      <c r="BY223" s="9">
        <v>2</v>
      </c>
      <c r="BZ223" s="9">
        <v>70</v>
      </c>
      <c r="CA223" s="9">
        <v>4</v>
      </c>
      <c r="CB223" s="9">
        <v>0.4</v>
      </c>
      <c r="CC223" s="9">
        <v>2</v>
      </c>
      <c r="DB223" s="11">
        <v>0</v>
      </c>
      <c r="DC223" s="11">
        <v>0</v>
      </c>
      <c r="DD223" s="11"/>
      <c r="DE223" s="11"/>
      <c r="DF223" s="11"/>
      <c r="DG223" s="11"/>
      <c r="DH223" s="11"/>
      <c r="DI223" s="11"/>
      <c r="DJ223" s="11"/>
      <c r="DK223" s="11"/>
      <c r="DL223" s="11"/>
      <c r="DM223" s="11">
        <v>2.14</v>
      </c>
      <c r="DN223" s="11">
        <v>2.14</v>
      </c>
      <c r="DO223" s="11"/>
      <c r="DP223" s="11"/>
      <c r="DQ223" s="11">
        <v>0</v>
      </c>
      <c r="DR223" s="11">
        <v>0</v>
      </c>
      <c r="DS223" s="11">
        <v>0</v>
      </c>
      <c r="DT223" s="9">
        <v>0</v>
      </c>
    </row>
    <row r="224" spans="1:124" x14ac:dyDescent="0.2">
      <c r="A224" s="10">
        <v>42943</v>
      </c>
      <c r="B224" s="9" t="s">
        <v>303</v>
      </c>
      <c r="C224" s="9" t="s">
        <v>304</v>
      </c>
      <c r="D224" s="9" t="s">
        <v>308</v>
      </c>
      <c r="E224" s="9">
        <v>52.5</v>
      </c>
      <c r="F224" s="11">
        <v>84.4</v>
      </c>
      <c r="G224" s="11">
        <v>83.4</v>
      </c>
      <c r="H224" s="11">
        <v>45.2</v>
      </c>
      <c r="I224" s="9">
        <v>36.520000000000003</v>
      </c>
      <c r="J224" s="9">
        <v>0</v>
      </c>
      <c r="K224" s="9">
        <v>24.46</v>
      </c>
      <c r="L224" s="9">
        <v>5.81</v>
      </c>
      <c r="M224" s="9">
        <v>9.5399999999999991</v>
      </c>
      <c r="N224" s="9">
        <v>0</v>
      </c>
      <c r="O224" s="9">
        <v>22.12</v>
      </c>
      <c r="P224" s="9">
        <v>2.71</v>
      </c>
      <c r="Q224" s="9">
        <v>5.34</v>
      </c>
      <c r="R224" s="9">
        <v>3.86</v>
      </c>
      <c r="S224" s="9">
        <v>0</v>
      </c>
      <c r="T224" s="9">
        <v>0</v>
      </c>
      <c r="U224" s="9">
        <v>4.3</v>
      </c>
      <c r="V224" s="9">
        <v>3.92</v>
      </c>
      <c r="W224" s="9">
        <v>7.14</v>
      </c>
      <c r="X224" s="9">
        <v>0.77</v>
      </c>
      <c r="Y224" s="9">
        <v>0</v>
      </c>
      <c r="Z224" s="9">
        <v>0</v>
      </c>
      <c r="AM224" s="9">
        <v>1.4</v>
      </c>
      <c r="AN224" s="9">
        <v>1</v>
      </c>
      <c r="AO224" s="9">
        <v>55</v>
      </c>
      <c r="AP224" s="9">
        <v>1</v>
      </c>
      <c r="AQ224" s="9">
        <v>0.77</v>
      </c>
      <c r="AR224" s="9">
        <v>2</v>
      </c>
      <c r="AS224" s="9">
        <v>35</v>
      </c>
      <c r="AT224" s="9">
        <v>1</v>
      </c>
      <c r="AU224" s="9">
        <v>0.13</v>
      </c>
      <c r="AV224" s="9">
        <v>3</v>
      </c>
      <c r="BQ224" s="9">
        <v>1</v>
      </c>
      <c r="BR224" s="9">
        <v>50</v>
      </c>
      <c r="BS224" s="9">
        <v>1</v>
      </c>
      <c r="BT224" s="9">
        <v>0.36</v>
      </c>
      <c r="BU224" s="9">
        <v>1</v>
      </c>
      <c r="DB224" s="11">
        <v>7.0000000000000007E-2</v>
      </c>
      <c r="DC224" s="11">
        <v>1</v>
      </c>
      <c r="DD224" s="11">
        <v>1</v>
      </c>
      <c r="DE224" s="11"/>
      <c r="DF224" s="11">
        <f>0.07*2+0.05*3</f>
        <v>0.29000000000000004</v>
      </c>
      <c r="DG224" s="11"/>
      <c r="DH224" s="11"/>
      <c r="DI224" s="11"/>
      <c r="DJ224" s="11"/>
      <c r="DK224" s="11"/>
      <c r="DL224" s="11"/>
      <c r="DM224" s="11">
        <v>0.05</v>
      </c>
      <c r="DN224" s="11">
        <v>0.05</v>
      </c>
      <c r="DO224" s="11"/>
      <c r="DP224" s="11"/>
      <c r="DQ224" s="11">
        <v>5.76</v>
      </c>
      <c r="DR224" s="11">
        <v>0</v>
      </c>
      <c r="DS224" s="11">
        <v>0</v>
      </c>
      <c r="DT224" s="9">
        <v>1</v>
      </c>
    </row>
    <row r="225" spans="1:124" x14ac:dyDescent="0.2">
      <c r="A225" s="10">
        <v>42943</v>
      </c>
      <c r="B225" s="9" t="s">
        <v>303</v>
      </c>
      <c r="C225" s="9" t="s">
        <v>304</v>
      </c>
      <c r="D225" s="9" t="s">
        <v>309</v>
      </c>
      <c r="E225" s="9">
        <v>47.5</v>
      </c>
      <c r="F225" s="11">
        <v>97.8</v>
      </c>
      <c r="G225" s="11">
        <v>83.4</v>
      </c>
      <c r="H225" s="11">
        <v>26.3</v>
      </c>
      <c r="I225" s="9">
        <v>54.22</v>
      </c>
      <c r="J225" s="9">
        <v>0</v>
      </c>
      <c r="K225" s="9">
        <v>0</v>
      </c>
      <c r="L225" s="9">
        <v>0</v>
      </c>
      <c r="M225" s="9">
        <v>32.130000000000003</v>
      </c>
      <c r="N225" s="9">
        <v>0</v>
      </c>
      <c r="O225" s="9">
        <v>13.65</v>
      </c>
      <c r="P225" s="9">
        <v>0</v>
      </c>
      <c r="Q225" s="9">
        <v>0</v>
      </c>
      <c r="R225" s="9">
        <v>0</v>
      </c>
      <c r="S225" s="9">
        <v>0</v>
      </c>
      <c r="T225" s="9">
        <v>25.5</v>
      </c>
      <c r="U225" s="9">
        <v>61.05</v>
      </c>
      <c r="V225" s="9">
        <v>6.61</v>
      </c>
      <c r="W225" s="9">
        <v>3.67</v>
      </c>
      <c r="X225" s="9">
        <v>0</v>
      </c>
      <c r="Y225" s="9">
        <v>10.5</v>
      </c>
      <c r="Z225" s="9">
        <v>1</v>
      </c>
      <c r="AA225" s="9">
        <v>3</v>
      </c>
      <c r="AC225" s="9">
        <v>1</v>
      </c>
      <c r="AM225" s="9">
        <v>7.1</v>
      </c>
      <c r="AN225" s="9">
        <v>0</v>
      </c>
      <c r="BQ225" s="9">
        <v>1</v>
      </c>
      <c r="BR225" s="9">
        <v>60</v>
      </c>
      <c r="BS225" s="9">
        <v>10</v>
      </c>
      <c r="BT225" s="9">
        <f>3.67*2</f>
        <v>7.34</v>
      </c>
      <c r="BU225" s="9">
        <v>3</v>
      </c>
      <c r="DB225" s="11">
        <v>3.22</v>
      </c>
      <c r="DC225" s="11">
        <v>1</v>
      </c>
      <c r="DD225" s="11">
        <v>1</v>
      </c>
      <c r="DE225" s="11"/>
      <c r="DF225" s="11">
        <f>1.65*3+4.08+0.54+0.52</f>
        <v>10.09</v>
      </c>
      <c r="DG225" s="11"/>
      <c r="DH225" s="11"/>
      <c r="DI225" s="11"/>
      <c r="DJ225" s="11"/>
      <c r="DK225" s="11"/>
      <c r="DL225" s="11"/>
      <c r="DM225" s="11">
        <v>0</v>
      </c>
      <c r="DN225" s="11">
        <v>0</v>
      </c>
      <c r="DO225" s="11"/>
      <c r="DP225" s="11"/>
      <c r="DQ225" s="11">
        <v>0</v>
      </c>
      <c r="DR225" s="11">
        <v>0</v>
      </c>
      <c r="DS225" s="11">
        <v>0</v>
      </c>
      <c r="DT225" s="9">
        <v>0</v>
      </c>
    </row>
    <row r="226" spans="1:124" x14ac:dyDescent="0.2">
      <c r="A226" s="10">
        <v>42943</v>
      </c>
      <c r="B226" s="9" t="s">
        <v>303</v>
      </c>
      <c r="C226" s="9" t="s">
        <v>304</v>
      </c>
      <c r="D226" s="9" t="s">
        <v>310</v>
      </c>
      <c r="E226" s="9">
        <v>44</v>
      </c>
      <c r="F226" s="11">
        <v>88.5</v>
      </c>
      <c r="G226" s="11">
        <v>83.4</v>
      </c>
      <c r="H226" s="11">
        <v>21.4</v>
      </c>
      <c r="I226" s="9">
        <v>59.53</v>
      </c>
      <c r="J226" s="9">
        <v>0</v>
      </c>
      <c r="K226" s="9">
        <v>0</v>
      </c>
      <c r="L226" s="9">
        <v>0</v>
      </c>
      <c r="M226" s="9">
        <v>27.73</v>
      </c>
      <c r="N226" s="9">
        <v>0</v>
      </c>
      <c r="O226" s="9">
        <v>12.75</v>
      </c>
      <c r="P226" s="9">
        <v>0</v>
      </c>
      <c r="Q226" s="9">
        <v>0</v>
      </c>
      <c r="R226" s="9">
        <v>0</v>
      </c>
      <c r="S226" s="9">
        <v>0</v>
      </c>
      <c r="T226" s="9">
        <v>18.64</v>
      </c>
      <c r="U226" s="9">
        <v>50.48</v>
      </c>
      <c r="V226" s="9">
        <v>6.61</v>
      </c>
      <c r="W226" s="9">
        <v>3.67</v>
      </c>
      <c r="X226" s="9">
        <v>0</v>
      </c>
      <c r="Y226" s="9">
        <v>10.5</v>
      </c>
      <c r="Z226" s="9">
        <v>1</v>
      </c>
      <c r="AA226" s="9">
        <v>3</v>
      </c>
      <c r="AB226" s="9">
        <v>1</v>
      </c>
      <c r="AM226" s="9">
        <v>7.1</v>
      </c>
      <c r="AN226" s="9">
        <v>0</v>
      </c>
      <c r="BQ226" s="9">
        <v>1</v>
      </c>
      <c r="BR226" s="9">
        <v>60</v>
      </c>
      <c r="BS226" s="9">
        <v>10</v>
      </c>
      <c r="BT226" s="9">
        <f>3.67*2</f>
        <v>7.34</v>
      </c>
      <c r="BU226" s="9">
        <v>4</v>
      </c>
      <c r="DB226" s="11">
        <v>2.37</v>
      </c>
      <c r="DC226" s="11">
        <v>1</v>
      </c>
      <c r="DD226" s="11">
        <v>1</v>
      </c>
      <c r="DE226" s="11"/>
      <c r="DF226" s="11">
        <f>1.65+4.08+0.54+3.77</f>
        <v>10.040000000000001</v>
      </c>
      <c r="DG226" s="11"/>
      <c r="DH226" s="11"/>
      <c r="DI226" s="11"/>
      <c r="DJ226" s="11"/>
      <c r="DK226" s="11"/>
      <c r="DL226" s="11"/>
      <c r="DM226" s="11">
        <v>0.25</v>
      </c>
      <c r="DN226" s="11">
        <v>0.25</v>
      </c>
      <c r="DO226" s="11"/>
      <c r="DP226" s="11"/>
      <c r="DQ226" s="11">
        <v>0</v>
      </c>
      <c r="DR226" s="11">
        <v>0</v>
      </c>
      <c r="DS226" s="11">
        <v>3</v>
      </c>
      <c r="DT226" s="9">
        <v>0</v>
      </c>
    </row>
    <row r="227" spans="1:124" x14ac:dyDescent="0.2">
      <c r="A227" s="10">
        <v>42943</v>
      </c>
      <c r="B227" s="9" t="s">
        <v>303</v>
      </c>
      <c r="C227" s="9" t="s">
        <v>304</v>
      </c>
      <c r="D227" s="9" t="s">
        <v>311</v>
      </c>
      <c r="E227" s="9">
        <v>27.5</v>
      </c>
      <c r="F227" s="11">
        <v>44</v>
      </c>
      <c r="G227" s="11">
        <v>83.4</v>
      </c>
      <c r="H227" s="11">
        <v>26.1</v>
      </c>
      <c r="I227" s="9">
        <v>15.93</v>
      </c>
      <c r="J227" s="9">
        <v>0</v>
      </c>
      <c r="K227" s="9">
        <v>0</v>
      </c>
      <c r="L227" s="9">
        <v>1.1000000000000001</v>
      </c>
      <c r="M227" s="9">
        <v>2.91</v>
      </c>
      <c r="N227" s="9">
        <v>0</v>
      </c>
      <c r="O227" s="9">
        <v>79.319999999999993</v>
      </c>
      <c r="P227" s="9">
        <v>5.87</v>
      </c>
      <c r="Q227" s="9">
        <v>17.05</v>
      </c>
      <c r="R227" s="9">
        <v>0</v>
      </c>
      <c r="S227" s="9">
        <v>0</v>
      </c>
      <c r="T227" s="9">
        <v>4.43</v>
      </c>
      <c r="U227" s="9">
        <v>3.08</v>
      </c>
      <c r="V227" s="9">
        <v>0.78</v>
      </c>
      <c r="W227" s="9">
        <v>0.73</v>
      </c>
      <c r="X227" s="9">
        <v>0</v>
      </c>
      <c r="Y227" s="9">
        <v>0</v>
      </c>
      <c r="Z227" s="9">
        <v>0</v>
      </c>
      <c r="AM227" s="9">
        <v>0</v>
      </c>
      <c r="AN227" s="9">
        <v>0</v>
      </c>
      <c r="BQ227" s="9">
        <v>1</v>
      </c>
      <c r="BR227" s="9">
        <v>50</v>
      </c>
      <c r="BS227" s="9">
        <v>1</v>
      </c>
      <c r="BT227" s="9">
        <v>0.73</v>
      </c>
      <c r="BU227" s="9">
        <v>3</v>
      </c>
      <c r="DB227" s="11">
        <v>0.28999999999999998</v>
      </c>
      <c r="DC227" s="11">
        <v>1</v>
      </c>
      <c r="DD227" s="11">
        <v>1</v>
      </c>
      <c r="DE227" s="11"/>
      <c r="DF227" s="11">
        <f>0.08*8+0.2*4</f>
        <v>1.44</v>
      </c>
      <c r="DG227" s="11"/>
      <c r="DH227" s="11"/>
      <c r="DI227" s="11"/>
      <c r="DJ227" s="11"/>
      <c r="DK227" s="11"/>
      <c r="DL227" s="11"/>
      <c r="DM227" s="11">
        <v>0.79</v>
      </c>
      <c r="DN227" s="11">
        <v>0.8</v>
      </c>
      <c r="DO227" s="11"/>
      <c r="DP227" s="11"/>
      <c r="DQ227" s="11">
        <v>0</v>
      </c>
      <c r="DR227" s="11">
        <v>0</v>
      </c>
      <c r="DS227" s="11">
        <v>0</v>
      </c>
      <c r="DT227" s="9">
        <v>0</v>
      </c>
    </row>
    <row r="228" spans="1:124" x14ac:dyDescent="0.2">
      <c r="A228" s="10">
        <v>42943</v>
      </c>
      <c r="B228" s="9" t="s">
        <v>303</v>
      </c>
      <c r="C228" s="9" t="s">
        <v>304</v>
      </c>
      <c r="D228" s="9" t="s">
        <v>312</v>
      </c>
      <c r="E228" s="9">
        <v>29</v>
      </c>
      <c r="F228" s="11">
        <v>79.099999999999994</v>
      </c>
      <c r="G228" s="11">
        <v>83.4</v>
      </c>
      <c r="H228" s="11">
        <v>18.7</v>
      </c>
      <c r="I228" s="9">
        <v>83.49</v>
      </c>
      <c r="J228" s="9">
        <v>0</v>
      </c>
      <c r="K228" s="9">
        <v>16.510000000000002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45.32</v>
      </c>
      <c r="V228" s="9">
        <v>18.71</v>
      </c>
      <c r="W228" s="9">
        <v>0</v>
      </c>
      <c r="X228" s="9">
        <v>0</v>
      </c>
      <c r="Y228" s="9">
        <v>0</v>
      </c>
      <c r="Z228" s="9">
        <v>0</v>
      </c>
      <c r="AM228" s="9">
        <v>0</v>
      </c>
      <c r="AN228" s="9">
        <v>0</v>
      </c>
      <c r="BQ228" s="9">
        <v>0</v>
      </c>
      <c r="DB228" s="11">
        <v>4.45</v>
      </c>
      <c r="DC228" s="11">
        <v>1</v>
      </c>
      <c r="DD228" s="11">
        <v>1</v>
      </c>
      <c r="DE228" s="11"/>
      <c r="DF228" s="11">
        <f>5.14*2</f>
        <v>10.28</v>
      </c>
      <c r="DG228" s="11"/>
      <c r="DH228" s="11"/>
      <c r="DI228" s="11"/>
      <c r="DJ228" s="11"/>
      <c r="DK228" s="11"/>
      <c r="DL228" s="11"/>
      <c r="DM228" s="11">
        <v>5.55</v>
      </c>
      <c r="DN228" s="11">
        <v>10.28</v>
      </c>
      <c r="DO228" s="11"/>
      <c r="DP228" s="11"/>
      <c r="DQ228" s="11">
        <v>0</v>
      </c>
      <c r="DR228" s="11">
        <v>0</v>
      </c>
      <c r="DS228" s="11">
        <v>0</v>
      </c>
      <c r="DT228" s="9">
        <v>0</v>
      </c>
    </row>
    <row r="229" spans="1:124" x14ac:dyDescent="0.2">
      <c r="A229" s="10">
        <v>42943</v>
      </c>
      <c r="B229" s="9" t="s">
        <v>303</v>
      </c>
      <c r="C229" s="9" t="s">
        <v>304</v>
      </c>
      <c r="D229" s="9" t="s">
        <v>313</v>
      </c>
      <c r="E229" s="9">
        <v>80.5</v>
      </c>
      <c r="F229" s="11">
        <v>87.5</v>
      </c>
      <c r="G229" s="11">
        <v>83.4</v>
      </c>
      <c r="H229" s="11">
        <v>15.6</v>
      </c>
      <c r="I229" s="9">
        <v>91.61</v>
      </c>
      <c r="J229" s="9">
        <v>0</v>
      </c>
      <c r="K229" s="9">
        <v>8.39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23.31</v>
      </c>
      <c r="U229" s="9">
        <v>21.38</v>
      </c>
      <c r="V229" s="9">
        <v>38.29</v>
      </c>
      <c r="W229" s="9">
        <v>0</v>
      </c>
      <c r="X229" s="9">
        <v>0</v>
      </c>
      <c r="Y229" s="9">
        <v>30.3</v>
      </c>
      <c r="Z229" s="9">
        <v>1</v>
      </c>
      <c r="AA229" s="9">
        <v>21.68</v>
      </c>
      <c r="AC229" s="9">
        <v>2</v>
      </c>
      <c r="AM229" s="9">
        <v>28.2</v>
      </c>
      <c r="AN229" s="9">
        <v>0</v>
      </c>
      <c r="BQ229" s="9">
        <v>1</v>
      </c>
      <c r="BR229" s="9">
        <v>50</v>
      </c>
      <c r="BS229" s="9">
        <f>5+8+1+5+8</f>
        <v>27</v>
      </c>
      <c r="BT229" s="9">
        <f>3.67+2.94*2+0.73+0.65+0.52*2</f>
        <v>11.970000000000002</v>
      </c>
      <c r="BU229" s="9">
        <v>3</v>
      </c>
      <c r="BV229" s="9">
        <v>60</v>
      </c>
      <c r="BW229" s="9">
        <v>4</v>
      </c>
      <c r="BX229" s="9">
        <v>2.94</v>
      </c>
      <c r="BY229" s="9">
        <v>3</v>
      </c>
      <c r="DB229" s="11">
        <v>0</v>
      </c>
      <c r="DC229" s="11">
        <v>0</v>
      </c>
      <c r="DD229" s="11"/>
      <c r="DE229" s="11"/>
      <c r="DF229" s="11"/>
      <c r="DG229" s="11"/>
      <c r="DH229" s="11"/>
      <c r="DI229" s="11"/>
      <c r="DJ229" s="11"/>
      <c r="DK229" s="11"/>
      <c r="DL229" s="11"/>
      <c r="DM229" s="11">
        <v>6.24</v>
      </c>
      <c r="DN229" s="11">
        <v>9.5500000000000007</v>
      </c>
      <c r="DO229" s="11"/>
      <c r="DP229" s="11"/>
      <c r="DQ229" s="11">
        <v>0</v>
      </c>
      <c r="DR229" s="11">
        <v>0</v>
      </c>
      <c r="DS229" s="11">
        <v>0</v>
      </c>
      <c r="DT229" s="9">
        <v>0</v>
      </c>
    </row>
    <row r="230" spans="1:124" x14ac:dyDescent="0.2">
      <c r="A230" s="10">
        <v>42943</v>
      </c>
      <c r="B230" s="9" t="s">
        <v>303</v>
      </c>
      <c r="C230" s="9" t="s">
        <v>304</v>
      </c>
      <c r="D230" s="9" t="s">
        <v>314</v>
      </c>
      <c r="E230" s="9">
        <v>85.5</v>
      </c>
      <c r="F230" s="11">
        <v>86</v>
      </c>
      <c r="G230" s="11">
        <v>83.4</v>
      </c>
      <c r="H230" s="11">
        <v>12.4</v>
      </c>
      <c r="I230" s="9">
        <v>69.599999999999994</v>
      </c>
      <c r="J230" s="9">
        <v>24.04</v>
      </c>
      <c r="K230" s="9">
        <v>6.35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21.02</v>
      </c>
      <c r="U230" s="9">
        <v>18.37</v>
      </c>
      <c r="V230" s="9">
        <v>30.83</v>
      </c>
      <c r="W230" s="9">
        <v>2.81</v>
      </c>
      <c r="X230" s="9">
        <v>0</v>
      </c>
      <c r="Y230" s="9">
        <v>43.8</v>
      </c>
      <c r="Z230" s="9">
        <v>1</v>
      </c>
      <c r="AA230" s="9">
        <v>15</v>
      </c>
      <c r="AC230" s="9">
        <v>1</v>
      </c>
      <c r="AD230" s="9">
        <v>7</v>
      </c>
      <c r="AF230" s="9">
        <v>3</v>
      </c>
      <c r="AG230" s="9">
        <v>11.9</v>
      </c>
      <c r="AH230" s="9">
        <v>2</v>
      </c>
      <c r="AM230" s="9">
        <v>16.2</v>
      </c>
      <c r="AN230" s="9">
        <v>1</v>
      </c>
      <c r="AO230" s="9">
        <v>52</v>
      </c>
      <c r="AP230" s="9">
        <f>6+8+5+8</f>
        <v>27</v>
      </c>
      <c r="AQ230" s="9">
        <f>2.94*2+4.4+0.65+0.52*2</f>
        <v>11.970000000000002</v>
      </c>
      <c r="AR230" s="9">
        <v>2</v>
      </c>
      <c r="BQ230" s="9">
        <v>1</v>
      </c>
      <c r="BR230" s="9">
        <v>40</v>
      </c>
      <c r="BS230" s="9">
        <v>3</v>
      </c>
      <c r="BT230" s="9">
        <f>2.2+0.73+0.39</f>
        <v>3.3200000000000003</v>
      </c>
      <c r="BU230" s="9">
        <v>3</v>
      </c>
      <c r="BV230" s="9">
        <v>60</v>
      </c>
      <c r="BW230" s="9">
        <v>4</v>
      </c>
      <c r="BX230" s="9">
        <v>2.94</v>
      </c>
      <c r="BY230" s="9">
        <v>3</v>
      </c>
      <c r="DB230" s="11">
        <v>7.64</v>
      </c>
      <c r="DC230" s="11">
        <v>1</v>
      </c>
      <c r="DD230" s="11">
        <v>3</v>
      </c>
      <c r="DE230" s="11"/>
      <c r="DF230" s="11">
        <v>2.94</v>
      </c>
      <c r="DG230" s="11"/>
      <c r="DH230" s="11"/>
      <c r="DI230" s="11"/>
      <c r="DJ230" s="11"/>
      <c r="DK230" s="11"/>
      <c r="DL230" s="11"/>
      <c r="DM230" s="11">
        <v>5.26</v>
      </c>
      <c r="DN230" s="11">
        <v>2.94</v>
      </c>
      <c r="DO230" s="11"/>
      <c r="DP230" s="11"/>
      <c r="DQ230" s="11">
        <v>0</v>
      </c>
      <c r="DR230" s="11">
        <v>0</v>
      </c>
      <c r="DS230" s="11">
        <v>0</v>
      </c>
      <c r="DT230" s="9">
        <v>0</v>
      </c>
    </row>
    <row r="231" spans="1:124" x14ac:dyDescent="0.2">
      <c r="A231" s="10">
        <v>42943</v>
      </c>
      <c r="B231" s="9" t="s">
        <v>303</v>
      </c>
      <c r="C231" s="9" t="s">
        <v>304</v>
      </c>
      <c r="D231" s="9" t="s">
        <v>315</v>
      </c>
      <c r="E231" s="9">
        <v>4</v>
      </c>
      <c r="F231" s="11">
        <v>84</v>
      </c>
      <c r="G231" s="11">
        <v>83.4</v>
      </c>
      <c r="H231" s="11">
        <v>4</v>
      </c>
      <c r="I231" s="9">
        <v>98.62</v>
      </c>
      <c r="J231" s="9">
        <v>0</v>
      </c>
      <c r="K231" s="9">
        <v>1.38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6.97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M231" s="9">
        <v>0</v>
      </c>
      <c r="AN231" s="9">
        <v>0</v>
      </c>
      <c r="BQ231" s="9">
        <v>0</v>
      </c>
      <c r="DB231" s="11">
        <v>0</v>
      </c>
      <c r="DC231" s="11">
        <v>0</v>
      </c>
      <c r="DD231" s="11"/>
      <c r="DE231" s="11"/>
      <c r="DF231" s="11"/>
      <c r="DG231" s="11"/>
      <c r="DH231" s="11"/>
      <c r="DI231" s="11"/>
      <c r="DJ231" s="11"/>
      <c r="DK231" s="11"/>
      <c r="DL231" s="11"/>
      <c r="DM231" s="11">
        <v>0</v>
      </c>
      <c r="DN231" s="11">
        <v>0</v>
      </c>
      <c r="DO231" s="11"/>
      <c r="DP231" s="11"/>
      <c r="DQ231" s="11">
        <v>0</v>
      </c>
      <c r="DR231" s="11">
        <v>0</v>
      </c>
      <c r="DS231" s="11">
        <v>0</v>
      </c>
      <c r="DT231" s="9">
        <v>0</v>
      </c>
    </row>
    <row r="232" spans="1:124" x14ac:dyDescent="0.2">
      <c r="A232" s="10">
        <v>42943</v>
      </c>
      <c r="B232" s="9" t="s">
        <v>303</v>
      </c>
      <c r="C232" s="9" t="s">
        <v>304</v>
      </c>
      <c r="D232" s="9" t="s">
        <v>316</v>
      </c>
      <c r="E232" s="9">
        <v>4.5</v>
      </c>
      <c r="F232" s="11">
        <v>61.1</v>
      </c>
      <c r="G232" s="11">
        <v>83.4</v>
      </c>
      <c r="H232" s="11">
        <v>4.0999999999999996</v>
      </c>
      <c r="I232" s="9">
        <v>98.62</v>
      </c>
      <c r="J232" s="9">
        <v>0</v>
      </c>
      <c r="K232" s="9">
        <v>1.38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9.17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M232" s="9">
        <v>0</v>
      </c>
      <c r="AN232" s="9">
        <v>0</v>
      </c>
      <c r="BQ232" s="9">
        <v>0</v>
      </c>
      <c r="DB232" s="11">
        <v>0</v>
      </c>
      <c r="DC232" s="11">
        <v>0</v>
      </c>
      <c r="DD232" s="11"/>
      <c r="DE232" s="11"/>
      <c r="DF232" s="11"/>
      <c r="DG232" s="11"/>
      <c r="DH232" s="11"/>
      <c r="DI232" s="11"/>
      <c r="DJ232" s="11"/>
      <c r="DK232" s="11"/>
      <c r="DL232" s="11"/>
      <c r="DM232" s="11">
        <v>0</v>
      </c>
      <c r="DN232" s="11">
        <v>0</v>
      </c>
      <c r="DO232" s="11"/>
      <c r="DP232" s="11"/>
      <c r="DQ232" s="11">
        <v>0</v>
      </c>
      <c r="DR232" s="11">
        <v>0</v>
      </c>
      <c r="DS232" s="11">
        <v>0</v>
      </c>
      <c r="DT232" s="9">
        <v>0</v>
      </c>
    </row>
    <row r="233" spans="1:124" x14ac:dyDescent="0.2">
      <c r="A233" s="10">
        <v>42943</v>
      </c>
      <c r="B233" s="9" t="s">
        <v>303</v>
      </c>
      <c r="C233" s="9" t="s">
        <v>317</v>
      </c>
      <c r="D233" s="9">
        <v>92</v>
      </c>
      <c r="E233" s="9">
        <v>38.5</v>
      </c>
      <c r="F233" s="11">
        <v>77.5</v>
      </c>
      <c r="G233" s="11">
        <v>83.4</v>
      </c>
      <c r="H233" s="11">
        <v>19.100000000000001</v>
      </c>
      <c r="I233" s="9">
        <v>78.180000000000007</v>
      </c>
      <c r="J233" s="9">
        <v>0</v>
      </c>
      <c r="K233" s="9">
        <v>2.48</v>
      </c>
      <c r="L233" s="9">
        <v>0</v>
      </c>
      <c r="M233" s="9">
        <v>19.34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4.1100000000000003</v>
      </c>
      <c r="V233" s="9">
        <v>21.82</v>
      </c>
      <c r="W233" s="9">
        <v>10.65</v>
      </c>
      <c r="X233" s="9">
        <v>0</v>
      </c>
      <c r="Y233" s="9">
        <v>16.899999999999999</v>
      </c>
      <c r="Z233" s="9">
        <v>1</v>
      </c>
      <c r="AA233" s="9">
        <v>6</v>
      </c>
      <c r="AC233" s="9">
        <v>1</v>
      </c>
      <c r="AM233" s="9">
        <v>0</v>
      </c>
      <c r="AN233" s="9">
        <v>0</v>
      </c>
      <c r="BQ233" s="9">
        <v>0</v>
      </c>
      <c r="DB233" s="11">
        <v>0</v>
      </c>
      <c r="DC233" s="11">
        <v>0</v>
      </c>
      <c r="DD233" s="11"/>
      <c r="DE233" s="11"/>
      <c r="DF233" s="11"/>
      <c r="DG233" s="11"/>
      <c r="DH233" s="11"/>
      <c r="DI233" s="11"/>
      <c r="DJ233" s="11"/>
      <c r="DK233" s="11"/>
      <c r="DL233" s="11"/>
      <c r="DM233" s="11">
        <v>2.48</v>
      </c>
      <c r="DN233" s="11">
        <v>2.48</v>
      </c>
      <c r="DO233" s="11"/>
      <c r="DP233" s="11"/>
      <c r="DQ233" s="11">
        <v>0</v>
      </c>
      <c r="DR233" s="11">
        <v>0</v>
      </c>
      <c r="DS233" s="11">
        <v>0</v>
      </c>
      <c r="DT233" s="9">
        <v>0</v>
      </c>
    </row>
    <row r="234" spans="1:124" x14ac:dyDescent="0.2">
      <c r="A234" s="10">
        <v>42943</v>
      </c>
      <c r="B234" s="9" t="s">
        <v>303</v>
      </c>
      <c r="C234" s="9" t="s">
        <v>317</v>
      </c>
      <c r="D234" s="9" t="s">
        <v>318</v>
      </c>
      <c r="E234" s="9">
        <v>31</v>
      </c>
      <c r="F234" s="11">
        <v>82.6</v>
      </c>
      <c r="G234" s="11">
        <v>83.4</v>
      </c>
      <c r="H234" s="11">
        <v>5.7</v>
      </c>
      <c r="I234" s="9">
        <v>99.97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7.3</v>
      </c>
      <c r="U234" s="9">
        <v>53.74</v>
      </c>
      <c r="V234" s="9">
        <v>0</v>
      </c>
      <c r="W234" s="9">
        <v>0</v>
      </c>
      <c r="X234" s="9">
        <v>0</v>
      </c>
      <c r="Y234" s="9">
        <v>17.600000000000001</v>
      </c>
      <c r="Z234" s="9">
        <v>1</v>
      </c>
      <c r="AA234" s="9">
        <v>4.5999999999999996</v>
      </c>
      <c r="AC234" s="9">
        <v>2</v>
      </c>
      <c r="AM234" s="9">
        <v>2.4</v>
      </c>
      <c r="AN234" s="9">
        <v>0</v>
      </c>
      <c r="BQ234" s="9">
        <v>1</v>
      </c>
      <c r="BR234" s="9">
        <v>60</v>
      </c>
      <c r="BS234" s="9">
        <f>4+6+1+3+1+3</f>
        <v>18</v>
      </c>
      <c r="BT234" s="9">
        <f>0.73+2.2+0.13+0.39+0.78+0.52</f>
        <v>4.75</v>
      </c>
      <c r="BU234" s="9">
        <v>3</v>
      </c>
      <c r="BV234" s="9">
        <v>50</v>
      </c>
      <c r="BW234" s="9">
        <f>14</f>
        <v>14</v>
      </c>
      <c r="BX234" s="9">
        <f>4.4+2.94+0.52</f>
        <v>7.8599999999999994</v>
      </c>
      <c r="BY234" s="9">
        <v>3</v>
      </c>
      <c r="DB234" s="11">
        <v>0</v>
      </c>
      <c r="DC234" s="11">
        <v>0</v>
      </c>
      <c r="DD234" s="11"/>
      <c r="DE234" s="11"/>
      <c r="DF234" s="11"/>
      <c r="DG234" s="11"/>
      <c r="DH234" s="11"/>
      <c r="DI234" s="11"/>
      <c r="DJ234" s="11"/>
      <c r="DK234" s="11"/>
      <c r="DL234" s="11"/>
      <c r="DM234" s="11">
        <v>5.21</v>
      </c>
      <c r="DN234" s="11">
        <v>2.59</v>
      </c>
      <c r="DO234" s="11"/>
      <c r="DP234" s="11"/>
      <c r="DQ234" s="11">
        <v>0</v>
      </c>
      <c r="DR234" s="11">
        <v>0</v>
      </c>
      <c r="DS234" s="11">
        <v>0</v>
      </c>
      <c r="DT234" s="9">
        <v>0</v>
      </c>
    </row>
    <row r="235" spans="1:124" x14ac:dyDescent="0.2">
      <c r="A235" s="10">
        <v>42943</v>
      </c>
      <c r="B235" s="9" t="s">
        <v>303</v>
      </c>
      <c r="C235" s="9" t="s">
        <v>317</v>
      </c>
      <c r="D235" s="9" t="s">
        <v>319</v>
      </c>
      <c r="E235" s="9">
        <v>30.5</v>
      </c>
      <c r="F235" s="11">
        <v>73.400000000000006</v>
      </c>
      <c r="G235" s="11">
        <v>83.4</v>
      </c>
      <c r="H235" s="11">
        <v>5.7</v>
      </c>
      <c r="I235" s="9">
        <v>100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7.69</v>
      </c>
      <c r="U235" s="9">
        <v>47.61</v>
      </c>
      <c r="V235" s="9">
        <v>0</v>
      </c>
      <c r="W235" s="9">
        <v>0</v>
      </c>
      <c r="X235" s="9">
        <v>0</v>
      </c>
      <c r="Y235" s="9">
        <v>16.399999999999999</v>
      </c>
      <c r="Z235" s="9">
        <v>1</v>
      </c>
      <c r="AA235" s="9">
        <v>4.5999999999999996</v>
      </c>
      <c r="AC235" s="9">
        <v>2</v>
      </c>
      <c r="AM235" s="9">
        <v>1.4</v>
      </c>
      <c r="AN235" s="9">
        <v>0</v>
      </c>
      <c r="BQ235" s="9">
        <v>1</v>
      </c>
      <c r="BR235" s="9">
        <v>60</v>
      </c>
      <c r="BS235" s="9">
        <v>7</v>
      </c>
      <c r="BT235" s="9">
        <f>0.73+2.2+0.39</f>
        <v>3.3200000000000003</v>
      </c>
      <c r="BU235" s="9">
        <v>3</v>
      </c>
      <c r="BV235" s="9">
        <v>50</v>
      </c>
      <c r="BW235" s="9">
        <v>10</v>
      </c>
      <c r="BX235" s="9">
        <f>4.4+2.94</f>
        <v>7.34</v>
      </c>
      <c r="DB235" s="11">
        <v>0</v>
      </c>
      <c r="DC235" s="11">
        <v>0</v>
      </c>
      <c r="DD235" s="11"/>
      <c r="DE235" s="11"/>
      <c r="DF235" s="11"/>
      <c r="DG235" s="11"/>
      <c r="DH235" s="11"/>
      <c r="DI235" s="11"/>
      <c r="DJ235" s="11"/>
      <c r="DK235" s="11"/>
      <c r="DL235" s="11"/>
      <c r="DM235" s="11">
        <v>6.95</v>
      </c>
      <c r="DN235" s="11">
        <v>10.27</v>
      </c>
      <c r="DO235" s="11"/>
      <c r="DP235" s="11"/>
      <c r="DQ235" s="11">
        <v>0</v>
      </c>
      <c r="DR235" s="11">
        <v>0</v>
      </c>
      <c r="DS235" s="11">
        <v>0</v>
      </c>
      <c r="DT235" s="9">
        <v>0</v>
      </c>
    </row>
    <row r="236" spans="1:124" x14ac:dyDescent="0.2">
      <c r="A236" s="10">
        <v>42943</v>
      </c>
      <c r="B236" s="9" t="s">
        <v>303</v>
      </c>
      <c r="C236" s="9" t="s">
        <v>317</v>
      </c>
      <c r="D236" s="9">
        <v>94</v>
      </c>
      <c r="E236" s="9">
        <v>24.5</v>
      </c>
      <c r="F236" s="11">
        <v>88.7</v>
      </c>
      <c r="G236" s="11">
        <v>83.4</v>
      </c>
      <c r="H236" s="11">
        <v>23.1</v>
      </c>
      <c r="I236" s="9">
        <v>69.95</v>
      </c>
      <c r="J236" s="9">
        <v>0</v>
      </c>
      <c r="K236" s="9">
        <v>7.16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34.04</v>
      </c>
      <c r="V236" s="9">
        <v>20.5</v>
      </c>
      <c r="W236" s="9">
        <v>0</v>
      </c>
      <c r="X236" s="9">
        <v>22.9</v>
      </c>
      <c r="Y236" s="9">
        <v>0</v>
      </c>
      <c r="Z236" s="9">
        <v>0</v>
      </c>
      <c r="AM236" s="9">
        <v>0</v>
      </c>
      <c r="AN236" s="9">
        <v>0</v>
      </c>
      <c r="BQ236" s="9">
        <v>0</v>
      </c>
      <c r="DB236" s="11">
        <v>0</v>
      </c>
      <c r="DC236" s="11">
        <v>0</v>
      </c>
      <c r="DD236" s="11"/>
      <c r="DE236" s="11"/>
      <c r="DF236" s="11"/>
      <c r="DG236" s="11"/>
      <c r="DH236" s="11"/>
      <c r="DI236" s="11"/>
      <c r="DJ236" s="11"/>
      <c r="DK236" s="11"/>
      <c r="DL236" s="11"/>
      <c r="DM236" s="11">
        <v>0</v>
      </c>
      <c r="DN236" s="11">
        <v>0</v>
      </c>
      <c r="DO236" s="11"/>
      <c r="DP236" s="11"/>
      <c r="DQ236" s="11">
        <v>0</v>
      </c>
      <c r="DR236" s="11">
        <v>0</v>
      </c>
      <c r="DS236" s="11">
        <v>1.44</v>
      </c>
      <c r="DT236" s="9">
        <v>0</v>
      </c>
    </row>
    <row r="237" spans="1:124" x14ac:dyDescent="0.2">
      <c r="A237" s="10">
        <v>42943</v>
      </c>
      <c r="B237" s="9" t="s">
        <v>303</v>
      </c>
      <c r="C237" s="9" t="s">
        <v>317</v>
      </c>
      <c r="D237" s="9" t="s">
        <v>320</v>
      </c>
      <c r="E237" s="9">
        <v>19</v>
      </c>
      <c r="F237" s="11">
        <v>73.2</v>
      </c>
      <c r="G237" s="11">
        <v>83.4</v>
      </c>
      <c r="H237" s="11">
        <v>11.1</v>
      </c>
      <c r="I237" s="9">
        <v>92.58</v>
      </c>
      <c r="J237" s="9">
        <v>0</v>
      </c>
      <c r="K237" s="9">
        <v>1.25</v>
      </c>
      <c r="L237" s="9">
        <v>0</v>
      </c>
      <c r="M237" s="9">
        <v>5.34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4.7699999999999996</v>
      </c>
      <c r="U237" s="9">
        <v>22.03</v>
      </c>
      <c r="V237" s="9">
        <v>27.08</v>
      </c>
      <c r="W237" s="9">
        <v>1.58</v>
      </c>
      <c r="X237" s="9">
        <v>0.83</v>
      </c>
      <c r="Y237" s="9">
        <v>0</v>
      </c>
      <c r="Z237" s="9">
        <v>0</v>
      </c>
      <c r="AM237" s="9">
        <v>0.5</v>
      </c>
      <c r="AN237" s="9">
        <v>1</v>
      </c>
      <c r="AO237" s="9">
        <v>35</v>
      </c>
      <c r="AP237" s="9">
        <v>4</v>
      </c>
      <c r="AQ237" s="9">
        <v>0.1</v>
      </c>
      <c r="AR237" s="9">
        <v>3</v>
      </c>
      <c r="BQ237" s="9">
        <v>1</v>
      </c>
      <c r="BR237" s="9">
        <v>40</v>
      </c>
      <c r="BS237" s="9">
        <v>1</v>
      </c>
      <c r="BT237" s="9">
        <v>1.25</v>
      </c>
      <c r="BU237" s="9">
        <v>3</v>
      </c>
      <c r="BV237" s="9">
        <v>50</v>
      </c>
      <c r="BW237" s="9">
        <v>1</v>
      </c>
      <c r="BX237" s="9">
        <v>0.05</v>
      </c>
      <c r="BY237" s="9">
        <v>3</v>
      </c>
      <c r="BZ237" s="9">
        <v>60</v>
      </c>
      <c r="CA237" s="9">
        <f>18+9</f>
        <v>27</v>
      </c>
      <c r="CB237" s="9">
        <f>2.27+1.14</f>
        <v>3.41</v>
      </c>
      <c r="CC237" s="9">
        <v>3</v>
      </c>
      <c r="DB237" s="11">
        <v>3.7</v>
      </c>
      <c r="DC237" s="11">
        <v>1</v>
      </c>
      <c r="DD237" s="11">
        <v>1</v>
      </c>
      <c r="DE237" s="11"/>
      <c r="DF237" s="11">
        <f>4+0.13+0.01+0.73+1.65+0.02</f>
        <v>6.5399999999999991</v>
      </c>
      <c r="DG237" s="11">
        <v>2</v>
      </c>
      <c r="DH237" s="11"/>
      <c r="DI237" s="11">
        <f>0.18*2</f>
        <v>0.36</v>
      </c>
      <c r="DJ237" s="11"/>
      <c r="DK237" s="11"/>
      <c r="DL237" s="11"/>
      <c r="DM237" s="11">
        <v>3.32</v>
      </c>
      <c r="DN237" s="11">
        <v>3.31</v>
      </c>
      <c r="DO237" s="11"/>
      <c r="DP237" s="11"/>
      <c r="DQ237" s="11">
        <v>0</v>
      </c>
      <c r="DR237" s="11">
        <v>0</v>
      </c>
      <c r="DS237" s="11">
        <v>0.22</v>
      </c>
      <c r="DT237" s="9">
        <v>0</v>
      </c>
    </row>
    <row r="238" spans="1:124" x14ac:dyDescent="0.2">
      <c r="A238" s="10">
        <v>42943</v>
      </c>
      <c r="B238" s="9" t="s">
        <v>303</v>
      </c>
      <c r="C238" s="9" t="s">
        <v>317</v>
      </c>
      <c r="D238" s="9" t="s">
        <v>321</v>
      </c>
      <c r="E238" s="9">
        <v>26.5</v>
      </c>
      <c r="F238" s="11">
        <v>70.7</v>
      </c>
      <c r="G238" s="11">
        <v>83.4</v>
      </c>
      <c r="H238" s="11">
        <v>8.8000000000000007</v>
      </c>
      <c r="I238" s="9">
        <v>94.65</v>
      </c>
      <c r="J238" s="9">
        <v>0</v>
      </c>
      <c r="K238" s="9">
        <v>0.21</v>
      </c>
      <c r="L238" s="9">
        <v>0</v>
      </c>
      <c r="M238" s="9">
        <v>4.3099999999999996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1.21</v>
      </c>
      <c r="U238" s="9">
        <v>19.41</v>
      </c>
      <c r="V238" s="9">
        <v>20.37</v>
      </c>
      <c r="W238" s="9">
        <v>0.21</v>
      </c>
      <c r="X238" s="9">
        <v>0.83</v>
      </c>
      <c r="Y238" s="9">
        <v>12.2</v>
      </c>
      <c r="Z238" s="9">
        <v>1</v>
      </c>
      <c r="AA238" s="9">
        <v>5</v>
      </c>
      <c r="AC238" s="9">
        <v>2</v>
      </c>
      <c r="AM238" s="9">
        <v>0</v>
      </c>
      <c r="AN238" s="9">
        <v>0</v>
      </c>
      <c r="BQ238" s="9">
        <v>1</v>
      </c>
      <c r="BR238" s="9">
        <v>40</v>
      </c>
      <c r="BS238" s="9">
        <v>1</v>
      </c>
      <c r="BT238" s="9">
        <v>0.21</v>
      </c>
      <c r="BU238" s="9">
        <v>3</v>
      </c>
      <c r="BV238" s="9">
        <v>80</v>
      </c>
      <c r="BW238" s="9">
        <v>4</v>
      </c>
      <c r="BX238" s="9">
        <v>0.5</v>
      </c>
      <c r="BY238" s="9">
        <v>2</v>
      </c>
      <c r="BZ238" s="9">
        <v>60</v>
      </c>
      <c r="CA238" s="9">
        <f>18+9</f>
        <v>27</v>
      </c>
      <c r="CB238" s="9">
        <f>2.27+1.14</f>
        <v>3.41</v>
      </c>
      <c r="CC238" s="9">
        <v>2</v>
      </c>
      <c r="DB238" s="11">
        <v>3.54</v>
      </c>
      <c r="DC238" s="11">
        <v>1</v>
      </c>
      <c r="DD238" s="11">
        <v>1</v>
      </c>
      <c r="DE238" s="11"/>
      <c r="DF238" s="11">
        <f>4+0.73*2+1.65</f>
        <v>7.1099999999999994</v>
      </c>
      <c r="DG238" s="11"/>
      <c r="DH238" s="11"/>
      <c r="DI238" s="11"/>
      <c r="DJ238" s="11"/>
      <c r="DK238" s="11"/>
      <c r="DL238" s="11"/>
      <c r="DM238" s="11">
        <v>1.47</v>
      </c>
      <c r="DN238" s="11">
        <v>1.47</v>
      </c>
      <c r="DO238" s="11"/>
      <c r="DP238" s="11"/>
      <c r="DQ238" s="11">
        <v>0</v>
      </c>
      <c r="DR238" s="11">
        <v>0</v>
      </c>
      <c r="DS238" s="11">
        <v>0.22</v>
      </c>
      <c r="DT238" s="9">
        <v>0</v>
      </c>
    </row>
    <row r="239" spans="1:124" x14ac:dyDescent="0.2">
      <c r="A239" s="10">
        <v>42943</v>
      </c>
      <c r="B239" s="9" t="s">
        <v>303</v>
      </c>
      <c r="C239" s="9" t="s">
        <v>317</v>
      </c>
      <c r="D239" s="9" t="s">
        <v>322</v>
      </c>
      <c r="E239" s="9">
        <v>18.5</v>
      </c>
      <c r="F239" s="11">
        <v>91.6</v>
      </c>
      <c r="G239" s="11">
        <v>83.4</v>
      </c>
      <c r="H239" s="11">
        <v>7.5</v>
      </c>
      <c r="I239" s="9">
        <v>96.33</v>
      </c>
      <c r="J239" s="9">
        <v>0</v>
      </c>
      <c r="K239" s="9">
        <v>0</v>
      </c>
      <c r="L239" s="9">
        <v>0</v>
      </c>
      <c r="M239" s="9">
        <v>3.67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3.67</v>
      </c>
      <c r="U239" s="9">
        <v>45.98</v>
      </c>
      <c r="V239" s="9">
        <v>17.899999999999999</v>
      </c>
      <c r="W239" s="9">
        <v>0</v>
      </c>
      <c r="X239" s="9">
        <v>0</v>
      </c>
      <c r="Y239" s="9">
        <v>0</v>
      </c>
      <c r="Z239" s="9">
        <v>0</v>
      </c>
      <c r="AM239" s="9">
        <v>0</v>
      </c>
      <c r="AN239" s="9">
        <v>0</v>
      </c>
      <c r="BQ239" s="9">
        <v>0</v>
      </c>
      <c r="BU239" s="9">
        <v>1</v>
      </c>
      <c r="BV239" s="9">
        <v>50</v>
      </c>
      <c r="BW239" s="9">
        <v>1</v>
      </c>
      <c r="BX239" s="9">
        <v>0.04</v>
      </c>
      <c r="BY239" s="9">
        <v>3</v>
      </c>
      <c r="DB239" s="11">
        <v>1.44</v>
      </c>
      <c r="DC239" s="11">
        <v>1</v>
      </c>
      <c r="DD239" s="11">
        <v>1</v>
      </c>
      <c r="DE239" s="11"/>
      <c r="DF239" s="11">
        <f>1.65+0.18*2+9.17</f>
        <v>11.18</v>
      </c>
      <c r="DG239" s="11"/>
      <c r="DH239" s="11"/>
      <c r="DI239" s="11"/>
      <c r="DJ239" s="11"/>
      <c r="DK239" s="11"/>
      <c r="DL239" s="11"/>
      <c r="DM239" s="11">
        <v>5.88</v>
      </c>
      <c r="DN239" s="11">
        <v>13.5</v>
      </c>
      <c r="DO239" s="11"/>
      <c r="DP239" s="11"/>
      <c r="DQ239" s="11">
        <v>3.6</v>
      </c>
      <c r="DR239" s="11">
        <v>1.1000000000000001</v>
      </c>
      <c r="DS239" s="11">
        <v>0</v>
      </c>
      <c r="DT239" s="9">
        <v>0</v>
      </c>
    </row>
    <row r="240" spans="1:124" x14ac:dyDescent="0.2">
      <c r="A240" s="10">
        <v>42943</v>
      </c>
      <c r="B240" s="9" t="s">
        <v>303</v>
      </c>
      <c r="C240" s="9" t="s">
        <v>317</v>
      </c>
      <c r="D240" s="9" t="s">
        <v>323</v>
      </c>
      <c r="E240" s="9">
        <v>30.5</v>
      </c>
      <c r="F240" s="11">
        <v>92</v>
      </c>
      <c r="G240" s="11">
        <v>83.4</v>
      </c>
      <c r="H240" s="11">
        <v>5.9</v>
      </c>
      <c r="I240" s="9">
        <v>98.99</v>
      </c>
      <c r="J240" s="9">
        <v>1.01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2.66</v>
      </c>
      <c r="U240" s="9">
        <v>46.99</v>
      </c>
      <c r="V240" s="9">
        <v>16.89</v>
      </c>
      <c r="W240" s="9">
        <v>0</v>
      </c>
      <c r="X240" s="9">
        <v>0</v>
      </c>
      <c r="Y240" s="9">
        <v>0</v>
      </c>
      <c r="Z240" s="9">
        <v>0</v>
      </c>
      <c r="AM240" s="9">
        <v>0</v>
      </c>
      <c r="AN240" s="9">
        <v>0</v>
      </c>
      <c r="BQ240" s="9">
        <v>0</v>
      </c>
      <c r="DB240" s="11">
        <v>8</v>
      </c>
      <c r="DC240" s="11">
        <v>1</v>
      </c>
      <c r="DD240" s="11">
        <v>1</v>
      </c>
      <c r="DE240" s="11"/>
      <c r="DF240" s="11">
        <f>1.65+0.18*2+9.17</f>
        <v>11.18</v>
      </c>
      <c r="DG240" s="11"/>
      <c r="DH240" s="11"/>
      <c r="DI240" s="11"/>
      <c r="DJ240" s="11"/>
      <c r="DK240" s="11"/>
      <c r="DL240" s="11"/>
      <c r="DM240" s="11">
        <v>6.16</v>
      </c>
      <c r="DN240" s="11">
        <v>16.16</v>
      </c>
      <c r="DO240" s="11"/>
      <c r="DP240" s="11"/>
      <c r="DQ240" s="11">
        <v>10</v>
      </c>
      <c r="DR240" s="11">
        <v>1.1000000000000001</v>
      </c>
      <c r="DS240" s="11">
        <v>0</v>
      </c>
      <c r="DT240" s="9">
        <v>1</v>
      </c>
    </row>
    <row r="241" spans="1:124" x14ac:dyDescent="0.2">
      <c r="A241" s="10">
        <v>42943</v>
      </c>
      <c r="B241" s="9" t="s">
        <v>303</v>
      </c>
      <c r="C241" s="9" t="s">
        <v>317</v>
      </c>
      <c r="D241" s="9" t="s">
        <v>324</v>
      </c>
      <c r="E241" s="9">
        <v>47.5</v>
      </c>
      <c r="F241" s="11">
        <v>86.8</v>
      </c>
      <c r="G241" s="11">
        <v>83.4</v>
      </c>
      <c r="H241" s="11">
        <v>26.7</v>
      </c>
      <c r="I241" s="9">
        <v>65.11</v>
      </c>
      <c r="J241" s="9">
        <v>0</v>
      </c>
      <c r="K241" s="9">
        <v>2.75</v>
      </c>
      <c r="L241" s="9">
        <v>0</v>
      </c>
      <c r="M241" s="9">
        <v>32.14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24.37</v>
      </c>
      <c r="V241" s="9">
        <v>6.53</v>
      </c>
      <c r="W241" s="9">
        <v>31.2</v>
      </c>
      <c r="X241" s="9">
        <v>0</v>
      </c>
      <c r="Y241" s="9">
        <v>13</v>
      </c>
      <c r="Z241" s="9">
        <v>1</v>
      </c>
      <c r="AA241" s="9">
        <v>7</v>
      </c>
      <c r="AC241" s="9">
        <v>2</v>
      </c>
      <c r="AM241" s="9">
        <v>0</v>
      </c>
      <c r="AN241" s="9">
        <v>0</v>
      </c>
      <c r="BQ241" s="9">
        <v>0</v>
      </c>
      <c r="DB241" s="11">
        <v>2.27</v>
      </c>
      <c r="DC241" s="11">
        <v>1</v>
      </c>
      <c r="DD241" s="11">
        <v>1</v>
      </c>
      <c r="DE241" s="11"/>
      <c r="DF241" s="11">
        <f>3.3*3+0.36*4</f>
        <v>11.339999999999998</v>
      </c>
      <c r="DG241" s="11"/>
      <c r="DH241" s="11"/>
      <c r="DI241" s="11"/>
      <c r="DJ241" s="11"/>
      <c r="DK241" s="11"/>
      <c r="DL241" s="11"/>
      <c r="DM241" s="11">
        <v>5.24</v>
      </c>
      <c r="DN241" s="11">
        <v>7.31</v>
      </c>
      <c r="DO241" s="11"/>
      <c r="DP241" s="11"/>
      <c r="DQ241" s="11">
        <v>0</v>
      </c>
      <c r="DR241" s="11">
        <v>0</v>
      </c>
      <c r="DS241" s="11">
        <v>0</v>
      </c>
      <c r="DT241" s="9">
        <v>0</v>
      </c>
    </row>
    <row r="242" spans="1:124" x14ac:dyDescent="0.2">
      <c r="A242" s="10">
        <v>42943</v>
      </c>
      <c r="B242" s="9" t="s">
        <v>303</v>
      </c>
      <c r="C242" s="9" t="s">
        <v>317</v>
      </c>
      <c r="D242" s="9" t="s">
        <v>325</v>
      </c>
      <c r="E242" s="9">
        <v>48</v>
      </c>
      <c r="F242" s="11">
        <v>84.6</v>
      </c>
      <c r="G242" s="11">
        <v>83.4</v>
      </c>
      <c r="H242" s="11">
        <v>5.9</v>
      </c>
      <c r="I242" s="9">
        <v>36.31</v>
      </c>
      <c r="J242" s="9">
        <v>0</v>
      </c>
      <c r="K242" s="9">
        <v>0</v>
      </c>
      <c r="L242" s="9">
        <v>0</v>
      </c>
      <c r="M242" s="9">
        <v>63.69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2.5299999999999998</v>
      </c>
      <c r="U242" s="9">
        <v>8.33</v>
      </c>
      <c r="V242" s="9">
        <v>27.3</v>
      </c>
      <c r="W242" s="9">
        <v>39.369999999999997</v>
      </c>
      <c r="X242" s="9">
        <v>0</v>
      </c>
      <c r="Y242" s="9">
        <v>0</v>
      </c>
      <c r="Z242" s="9">
        <v>0</v>
      </c>
      <c r="AM242" s="9">
        <v>0</v>
      </c>
      <c r="AN242" s="9">
        <v>0</v>
      </c>
      <c r="BQ242" s="9">
        <v>0</v>
      </c>
      <c r="DB242" s="11">
        <v>8</v>
      </c>
      <c r="DC242" s="11">
        <v>1</v>
      </c>
      <c r="DD242" s="11">
        <v>1</v>
      </c>
      <c r="DE242" s="11"/>
      <c r="DF242" s="11">
        <f>3.3*2+4.95+0.36*5</f>
        <v>13.350000000000001</v>
      </c>
      <c r="DG242" s="11"/>
      <c r="DH242" s="11"/>
      <c r="DI242" s="11"/>
      <c r="DJ242" s="11"/>
      <c r="DK242" s="11"/>
      <c r="DL242" s="11"/>
      <c r="DM242" s="11">
        <v>6.16</v>
      </c>
      <c r="DN242" s="11">
        <v>12.89</v>
      </c>
      <c r="DO242" s="11"/>
      <c r="DP242" s="11"/>
      <c r="DQ242" s="11">
        <v>0</v>
      </c>
      <c r="DR242" s="11">
        <v>0</v>
      </c>
      <c r="DS242" s="11">
        <v>0</v>
      </c>
      <c r="DT242" s="9">
        <v>0</v>
      </c>
    </row>
    <row r="243" spans="1:124" x14ac:dyDescent="0.2">
      <c r="A243" s="10">
        <v>42943</v>
      </c>
      <c r="B243" s="9" t="s">
        <v>303</v>
      </c>
      <c r="C243" s="9" t="s">
        <v>317</v>
      </c>
      <c r="D243" s="9" t="s">
        <v>326</v>
      </c>
      <c r="E243" s="9">
        <v>34</v>
      </c>
      <c r="F243" s="11">
        <v>85.8</v>
      </c>
      <c r="G243" s="11">
        <v>83.4</v>
      </c>
      <c r="H243" s="11">
        <v>4.5</v>
      </c>
      <c r="I243" s="9">
        <v>98.84</v>
      </c>
      <c r="J243" s="9">
        <v>0</v>
      </c>
      <c r="K243" s="9">
        <v>0</v>
      </c>
      <c r="L243" s="9">
        <v>0</v>
      </c>
      <c r="M243" s="9">
        <v>1.1599999999999999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64.52</v>
      </c>
      <c r="V243" s="9">
        <v>0.34</v>
      </c>
      <c r="W243" s="9">
        <v>0.45</v>
      </c>
      <c r="X243" s="9">
        <v>0</v>
      </c>
      <c r="Y243" s="9">
        <v>15.8</v>
      </c>
      <c r="Z243" s="9">
        <v>1</v>
      </c>
      <c r="AA243" s="9">
        <v>3</v>
      </c>
      <c r="AC243" s="9">
        <v>1</v>
      </c>
      <c r="AM243" s="9">
        <v>2.4</v>
      </c>
      <c r="AN243" s="9">
        <v>0</v>
      </c>
      <c r="BQ243" s="9">
        <v>1</v>
      </c>
      <c r="BR243" s="9">
        <v>40</v>
      </c>
      <c r="BS243" s="9">
        <v>2</v>
      </c>
      <c r="BT243" s="9">
        <v>0.01</v>
      </c>
      <c r="BU243" s="9">
        <v>1</v>
      </c>
      <c r="BV243" s="9">
        <v>50</v>
      </c>
      <c r="BW243" s="9">
        <v>1</v>
      </c>
      <c r="BX243" s="9">
        <v>0.04</v>
      </c>
      <c r="BY243" s="9">
        <v>1</v>
      </c>
      <c r="BZ243" s="9">
        <v>80</v>
      </c>
      <c r="CA243" s="9">
        <v>4</v>
      </c>
      <c r="CB243" s="9">
        <v>0.52</v>
      </c>
      <c r="CC243" s="9">
        <v>2</v>
      </c>
      <c r="CD243" s="9">
        <v>60</v>
      </c>
      <c r="CE243" s="9">
        <v>27</v>
      </c>
      <c r="CF243" s="9">
        <f>2.33+1.16</f>
        <v>3.49</v>
      </c>
      <c r="CG243" s="9">
        <v>2</v>
      </c>
      <c r="DB243" s="11">
        <v>4.57</v>
      </c>
      <c r="DC243" s="11">
        <v>1</v>
      </c>
      <c r="DD243" s="11">
        <v>1</v>
      </c>
      <c r="DE243" s="11"/>
      <c r="DF243" s="11">
        <f>0.13+7.14*2+1.75</f>
        <v>16.16</v>
      </c>
      <c r="DG243" s="11"/>
      <c r="DH243" s="11"/>
      <c r="DI243" s="11"/>
      <c r="DJ243" s="11"/>
      <c r="DK243" s="11"/>
      <c r="DL243" s="11"/>
      <c r="DM243" s="11">
        <v>6.54</v>
      </c>
      <c r="DN243" s="11">
        <v>4.16</v>
      </c>
      <c r="DO243" s="11"/>
      <c r="DP243" s="11"/>
      <c r="DQ243" s="11">
        <v>0</v>
      </c>
      <c r="DR243" s="11">
        <v>0</v>
      </c>
      <c r="DS243" s="11">
        <v>0</v>
      </c>
      <c r="DT243" s="9">
        <v>0</v>
      </c>
    </row>
    <row r="244" spans="1:124" x14ac:dyDescent="0.2">
      <c r="A244" s="10">
        <v>42943</v>
      </c>
      <c r="B244" s="9" t="s">
        <v>303</v>
      </c>
      <c r="C244" s="9" t="s">
        <v>317</v>
      </c>
      <c r="D244" s="9" t="s">
        <v>327</v>
      </c>
      <c r="E244" s="9">
        <v>34.5</v>
      </c>
      <c r="F244" s="11">
        <v>84.8</v>
      </c>
      <c r="G244" s="11">
        <v>83.4</v>
      </c>
      <c r="H244" s="11">
        <v>4.4000000000000004</v>
      </c>
      <c r="I244" s="9">
        <v>99.09</v>
      </c>
      <c r="J244" s="9">
        <v>0</v>
      </c>
      <c r="K244" s="9">
        <v>0</v>
      </c>
      <c r="L244" s="9">
        <v>0</v>
      </c>
      <c r="M244" s="9">
        <v>0.91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63.73</v>
      </c>
      <c r="V244" s="9">
        <v>0</v>
      </c>
      <c r="W244" s="9">
        <v>0.45</v>
      </c>
      <c r="X244" s="9">
        <v>0</v>
      </c>
      <c r="Y244" s="9">
        <v>15.8</v>
      </c>
      <c r="Z244" s="9">
        <v>1</v>
      </c>
      <c r="AA244" s="9">
        <v>3</v>
      </c>
      <c r="AC244" s="9">
        <v>1</v>
      </c>
      <c r="AM244" s="9">
        <v>2.4</v>
      </c>
      <c r="AN244" s="9">
        <v>0</v>
      </c>
      <c r="BQ244" s="9">
        <v>1</v>
      </c>
      <c r="BR244" s="9">
        <v>80</v>
      </c>
      <c r="BS244" s="9">
        <v>4</v>
      </c>
      <c r="BT244" s="9">
        <v>0.52</v>
      </c>
      <c r="BU244" s="9">
        <v>2</v>
      </c>
      <c r="BV244" s="9">
        <v>60</v>
      </c>
      <c r="BW244" s="9">
        <v>27</v>
      </c>
      <c r="BX244" s="9">
        <f>2.33+1.16</f>
        <v>3.49</v>
      </c>
      <c r="BY244" s="9">
        <v>2</v>
      </c>
      <c r="DB244" s="11">
        <v>4.55</v>
      </c>
      <c r="DC244" s="11">
        <v>1</v>
      </c>
      <c r="DD244" s="11">
        <v>1</v>
      </c>
      <c r="DE244" s="11"/>
      <c r="DF244" s="11">
        <f>1.75+7.14*2</f>
        <v>16.03</v>
      </c>
      <c r="DG244" s="11"/>
      <c r="DH244" s="11"/>
      <c r="DI244" s="11"/>
      <c r="DJ244" s="11"/>
      <c r="DK244" s="11"/>
      <c r="DL244" s="11"/>
      <c r="DM244" s="11">
        <v>7.04</v>
      </c>
      <c r="DN244" s="11">
        <v>5.63</v>
      </c>
      <c r="DO244" s="11"/>
      <c r="DP244" s="11"/>
      <c r="DQ244" s="11">
        <v>0</v>
      </c>
      <c r="DR244" s="11">
        <v>0</v>
      </c>
      <c r="DS244" s="11">
        <v>0</v>
      </c>
      <c r="DT244" s="9">
        <v>0</v>
      </c>
    </row>
    <row r="245" spans="1:124" s="26" customFormat="1" x14ac:dyDescent="0.2">
      <c r="A245" s="29">
        <v>42943</v>
      </c>
      <c r="B245" s="26" t="s">
        <v>303</v>
      </c>
      <c r="C245" s="26" t="s">
        <v>328</v>
      </c>
      <c r="D245" s="26" t="s">
        <v>329</v>
      </c>
      <c r="E245" s="26">
        <v>43</v>
      </c>
      <c r="F245" s="27">
        <v>91.8</v>
      </c>
      <c r="G245" s="27">
        <v>83.4</v>
      </c>
      <c r="H245" s="27">
        <v>25.8</v>
      </c>
      <c r="I245" s="26">
        <v>68.3</v>
      </c>
      <c r="J245" s="26">
        <v>0</v>
      </c>
      <c r="K245" s="26">
        <v>0</v>
      </c>
      <c r="L245" s="26">
        <v>0</v>
      </c>
      <c r="M245" s="26">
        <v>31.54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48.27</v>
      </c>
      <c r="U245" s="26">
        <v>58.3</v>
      </c>
      <c r="V245" s="26">
        <v>1.34</v>
      </c>
      <c r="W245" s="26">
        <v>0</v>
      </c>
      <c r="X245" s="26">
        <v>0.16</v>
      </c>
      <c r="Y245" s="26">
        <v>0</v>
      </c>
      <c r="Z245" s="26">
        <v>0</v>
      </c>
      <c r="AM245" s="26">
        <v>11</v>
      </c>
      <c r="AN245" s="26">
        <v>1</v>
      </c>
      <c r="AO245" s="26">
        <v>30</v>
      </c>
      <c r="AP245" s="26">
        <v>1</v>
      </c>
      <c r="AQ245" s="26">
        <v>0.73</v>
      </c>
      <c r="AR245" s="26">
        <v>1</v>
      </c>
      <c r="AY245" s="28"/>
      <c r="BQ245" s="26">
        <v>1</v>
      </c>
      <c r="BR245" s="26">
        <v>60</v>
      </c>
      <c r="BS245" s="26">
        <v>14</v>
      </c>
      <c r="BT245" s="26">
        <f>1.25+0.05+0.21+0.21+0.31+0.08</f>
        <v>2.11</v>
      </c>
      <c r="BU245" s="26">
        <v>6</v>
      </c>
      <c r="BV245" s="26">
        <v>50</v>
      </c>
      <c r="BW245" s="26">
        <v>8</v>
      </c>
      <c r="BX245" s="26">
        <f>2.94*2</f>
        <v>5.88</v>
      </c>
      <c r="BY245" s="26">
        <v>4</v>
      </c>
      <c r="DB245" s="27">
        <v>2.4500000000000002</v>
      </c>
      <c r="DC245" s="27">
        <v>1</v>
      </c>
      <c r="DD245" s="27">
        <v>1</v>
      </c>
      <c r="DE245" s="27"/>
      <c r="DF245" s="27">
        <f>0.03*2+0.16+0.46</f>
        <v>0.68</v>
      </c>
      <c r="DG245" s="27">
        <v>2</v>
      </c>
      <c r="DH245" s="27"/>
      <c r="DI245" s="27">
        <f>6.12+0.54</f>
        <v>6.66</v>
      </c>
      <c r="DJ245" s="27"/>
      <c r="DK245" s="27"/>
      <c r="DL245" s="27"/>
      <c r="DM245" s="27">
        <v>3.68</v>
      </c>
      <c r="DN245" s="27">
        <v>1.63</v>
      </c>
      <c r="DO245" s="27"/>
      <c r="DP245" s="27"/>
      <c r="DQ245" s="27">
        <v>0</v>
      </c>
      <c r="DR245" s="27">
        <v>0</v>
      </c>
      <c r="DS245" s="27">
        <v>0</v>
      </c>
      <c r="DT245" s="26">
        <v>0</v>
      </c>
    </row>
    <row r="246" spans="1:124" s="26" customFormat="1" x14ac:dyDescent="0.2">
      <c r="A246" s="29">
        <v>42943</v>
      </c>
      <c r="B246" s="26" t="s">
        <v>303</v>
      </c>
      <c r="C246" s="26" t="s">
        <v>328</v>
      </c>
      <c r="D246" s="26" t="s">
        <v>330</v>
      </c>
      <c r="E246" s="26">
        <v>46</v>
      </c>
      <c r="F246" s="27">
        <v>101.6</v>
      </c>
      <c r="G246" s="27">
        <v>83.4</v>
      </c>
      <c r="H246" s="27">
        <v>27.8</v>
      </c>
      <c r="I246" s="26">
        <v>66.040000000000006</v>
      </c>
      <c r="J246" s="26">
        <v>0</v>
      </c>
      <c r="K246" s="26">
        <v>0</v>
      </c>
      <c r="L246" s="26">
        <v>0</v>
      </c>
      <c r="M246" s="26">
        <v>35.15</v>
      </c>
      <c r="N246" s="26">
        <v>0</v>
      </c>
      <c r="O246" s="26">
        <v>0</v>
      </c>
      <c r="P246" s="26">
        <v>0</v>
      </c>
      <c r="Q246" s="26">
        <v>0</v>
      </c>
      <c r="R246" s="26">
        <v>0</v>
      </c>
      <c r="S246" s="26">
        <v>0</v>
      </c>
      <c r="T246" s="26">
        <v>43.27</v>
      </c>
      <c r="U246" s="26">
        <v>65.02</v>
      </c>
      <c r="V246" s="26">
        <v>6.59</v>
      </c>
      <c r="W246" s="26">
        <v>0.88</v>
      </c>
      <c r="X246" s="26">
        <v>0.16</v>
      </c>
      <c r="Y246" s="26">
        <v>0</v>
      </c>
      <c r="Z246" s="26">
        <v>0</v>
      </c>
      <c r="AM246" s="26">
        <v>14.9</v>
      </c>
      <c r="AN246" s="26">
        <v>1</v>
      </c>
      <c r="AO246" s="26">
        <v>30</v>
      </c>
      <c r="AP246" s="26">
        <v>1</v>
      </c>
      <c r="AQ246" s="26">
        <v>0.73</v>
      </c>
      <c r="AR246" s="26">
        <v>1</v>
      </c>
      <c r="AS246" s="26">
        <v>47</v>
      </c>
      <c r="AT246" s="26">
        <v>1</v>
      </c>
      <c r="AU246" s="26">
        <v>0.11</v>
      </c>
      <c r="AV246" s="26">
        <v>3</v>
      </c>
      <c r="AY246" s="28"/>
      <c r="BQ246" s="26">
        <v>1</v>
      </c>
      <c r="BR246" s="26">
        <v>60</v>
      </c>
      <c r="BS246" s="26">
        <v>4</v>
      </c>
      <c r="BT246" s="26">
        <v>1.68</v>
      </c>
      <c r="BU246" s="26">
        <v>6</v>
      </c>
      <c r="BV246" s="26">
        <v>50</v>
      </c>
      <c r="BW246" s="26">
        <v>8</v>
      </c>
      <c r="BX246" s="26">
        <f>2.94*2</f>
        <v>5.88</v>
      </c>
      <c r="BY246" s="26">
        <v>4</v>
      </c>
      <c r="BZ246" s="26">
        <v>50</v>
      </c>
      <c r="CA246" s="26">
        <v>4</v>
      </c>
      <c r="CB246" s="26">
        <v>0.76</v>
      </c>
      <c r="CC246" s="26">
        <v>6</v>
      </c>
      <c r="CD246" s="26">
        <v>80</v>
      </c>
      <c r="CE246" s="26">
        <v>8</v>
      </c>
      <c r="CF246" s="26">
        <f>0.31+0.21</f>
        <v>0.52</v>
      </c>
      <c r="CG246" s="26">
        <v>6</v>
      </c>
      <c r="DB246" s="27">
        <v>2.0499999999999998</v>
      </c>
      <c r="DC246" s="27">
        <v>1</v>
      </c>
      <c r="DD246" s="27">
        <v>1</v>
      </c>
      <c r="DE246" s="27"/>
      <c r="DF246" s="27">
        <f>6.12+0.54+0.36</f>
        <v>7.0200000000000005</v>
      </c>
      <c r="DG246" s="27">
        <v>2</v>
      </c>
      <c r="DH246" s="27"/>
      <c r="DI246" s="27">
        <v>6.01</v>
      </c>
      <c r="DJ246" s="27"/>
      <c r="DK246" s="27"/>
      <c r="DL246" s="27"/>
      <c r="DM246" s="27">
        <v>0.86</v>
      </c>
      <c r="DN246" s="27">
        <v>0.85</v>
      </c>
      <c r="DO246" s="27"/>
      <c r="DP246" s="27"/>
      <c r="DQ246" s="27">
        <v>0</v>
      </c>
      <c r="DR246" s="27">
        <v>0</v>
      </c>
      <c r="DS246" s="27">
        <v>0</v>
      </c>
      <c r="DT246" s="26">
        <v>0</v>
      </c>
    </row>
    <row r="247" spans="1:124" s="26" customFormat="1" x14ac:dyDescent="0.2">
      <c r="A247" s="29">
        <v>42943</v>
      </c>
      <c r="B247" s="26" t="s">
        <v>303</v>
      </c>
      <c r="C247" s="26" t="s">
        <v>328</v>
      </c>
      <c r="D247" s="26">
        <v>100</v>
      </c>
      <c r="E247" s="26">
        <v>29.5</v>
      </c>
      <c r="F247" s="27">
        <v>94.9</v>
      </c>
      <c r="G247" s="27">
        <v>83.4</v>
      </c>
      <c r="H247" s="27">
        <v>17.600000000000001</v>
      </c>
      <c r="I247" s="26">
        <v>85.6</v>
      </c>
      <c r="J247" s="26">
        <v>0</v>
      </c>
      <c r="K247" s="26">
        <v>0</v>
      </c>
      <c r="L247" s="26">
        <v>0</v>
      </c>
      <c r="M247" s="26">
        <v>14.4</v>
      </c>
      <c r="N247" s="26">
        <v>0</v>
      </c>
      <c r="O247" s="26">
        <v>0</v>
      </c>
      <c r="P247" s="26">
        <v>0</v>
      </c>
      <c r="Q247" s="26">
        <v>0</v>
      </c>
      <c r="R247" s="26">
        <v>0</v>
      </c>
      <c r="S247" s="26">
        <v>0</v>
      </c>
      <c r="T247" s="26">
        <v>1.95</v>
      </c>
      <c r="U247" s="26">
        <v>9.4499999999999993</v>
      </c>
      <c r="V247" s="26">
        <v>11.24</v>
      </c>
      <c r="W247" s="26">
        <v>36.94</v>
      </c>
      <c r="X247" s="26">
        <v>0</v>
      </c>
      <c r="Y247" s="26">
        <v>11.5</v>
      </c>
      <c r="Z247" s="26">
        <v>1</v>
      </c>
      <c r="AA247" s="26">
        <v>5</v>
      </c>
      <c r="AC247" s="26">
        <v>4</v>
      </c>
      <c r="AM247" s="26">
        <v>0</v>
      </c>
      <c r="AN247" s="26">
        <v>0</v>
      </c>
      <c r="AY247" s="28"/>
      <c r="BQ247" s="26">
        <v>0</v>
      </c>
      <c r="DB247" s="27">
        <v>0.2</v>
      </c>
      <c r="DC247" s="27">
        <v>1</v>
      </c>
      <c r="DD247" s="27">
        <v>1</v>
      </c>
      <c r="DE247" s="27"/>
      <c r="DF247" s="27">
        <f>0.14+0.23+0.07+0.21</f>
        <v>0.65</v>
      </c>
      <c r="DG247" s="27"/>
      <c r="DH247" s="27"/>
      <c r="DI247" s="27"/>
      <c r="DJ247" s="27"/>
      <c r="DK247" s="27"/>
      <c r="DL247" s="27"/>
      <c r="DM247" s="27">
        <v>0.23</v>
      </c>
      <c r="DN247" s="27">
        <v>0.23</v>
      </c>
      <c r="DO247" s="27"/>
      <c r="DP247" s="27"/>
      <c r="DQ247" s="27">
        <v>0</v>
      </c>
      <c r="DR247" s="27">
        <v>0</v>
      </c>
      <c r="DS247" s="27">
        <v>0</v>
      </c>
      <c r="DT247" s="26">
        <v>0</v>
      </c>
    </row>
    <row r="248" spans="1:124" s="26" customFormat="1" x14ac:dyDescent="0.2">
      <c r="A248" s="29">
        <v>42943</v>
      </c>
      <c r="B248" s="26" t="s">
        <v>303</v>
      </c>
      <c r="C248" s="26" t="s">
        <v>328</v>
      </c>
      <c r="D248" s="26" t="s">
        <v>331</v>
      </c>
      <c r="E248" s="26">
        <v>47.5</v>
      </c>
      <c r="F248" s="27">
        <v>49.3</v>
      </c>
      <c r="G248" s="27">
        <v>83.4</v>
      </c>
      <c r="H248" s="27">
        <v>35.700000000000003</v>
      </c>
      <c r="I248" s="26">
        <v>66.48</v>
      </c>
      <c r="J248" s="26">
        <v>0</v>
      </c>
      <c r="K248" s="26">
        <v>6.11</v>
      </c>
      <c r="L248" s="26">
        <v>0</v>
      </c>
      <c r="M248" s="26">
        <v>9.56</v>
      </c>
      <c r="N248" s="26">
        <v>0</v>
      </c>
      <c r="O248" s="26">
        <v>6.1</v>
      </c>
      <c r="P248" s="26">
        <v>3.05</v>
      </c>
      <c r="Q248" s="26">
        <v>0</v>
      </c>
      <c r="R248" s="26">
        <v>0</v>
      </c>
      <c r="S248" s="26">
        <v>0</v>
      </c>
      <c r="T248" s="26">
        <v>0</v>
      </c>
      <c r="U248" s="26">
        <v>17.78</v>
      </c>
      <c r="V248" s="26">
        <v>9.1300000000000008</v>
      </c>
      <c r="W248" s="26">
        <v>2.7</v>
      </c>
      <c r="X248" s="26">
        <v>11.73</v>
      </c>
      <c r="Y248" s="26">
        <v>0</v>
      </c>
      <c r="Z248" s="26">
        <v>0</v>
      </c>
      <c r="AM248" s="26">
        <v>5.7</v>
      </c>
      <c r="AN248" s="26">
        <v>1</v>
      </c>
      <c r="AO248" s="26">
        <v>30</v>
      </c>
      <c r="AP248" s="26">
        <v>10</v>
      </c>
      <c r="AQ248" s="26">
        <f>0.15*2+0.16*8</f>
        <v>1.58</v>
      </c>
      <c r="AR248" s="26">
        <v>3</v>
      </c>
      <c r="AY248" s="28"/>
      <c r="BQ248" s="26">
        <v>1</v>
      </c>
      <c r="BR248" s="26">
        <v>40</v>
      </c>
      <c r="BS248" s="26">
        <v>4</v>
      </c>
      <c r="BT248" s="26">
        <v>0.6</v>
      </c>
      <c r="BU248" s="26">
        <v>2</v>
      </c>
      <c r="DB248" s="27">
        <v>0.53</v>
      </c>
      <c r="DC248" s="27">
        <v>1</v>
      </c>
      <c r="DD248" s="27">
        <v>1</v>
      </c>
      <c r="DE248" s="27"/>
      <c r="DF248" s="27">
        <f>0.64*4+0.08</f>
        <v>2.64</v>
      </c>
      <c r="DG248" s="27"/>
      <c r="DH248" s="27"/>
      <c r="DI248" s="27"/>
      <c r="DJ248" s="27"/>
      <c r="DK248" s="27"/>
      <c r="DL248" s="27"/>
      <c r="DM248" s="27">
        <v>5.0599999999999996</v>
      </c>
      <c r="DN248" s="27">
        <v>1.58</v>
      </c>
      <c r="DO248" s="27"/>
      <c r="DP248" s="27"/>
      <c r="DQ248" s="27">
        <v>0</v>
      </c>
      <c r="DR248" s="27">
        <v>0</v>
      </c>
      <c r="DS248" s="27">
        <v>0</v>
      </c>
      <c r="DT248" s="26">
        <v>0</v>
      </c>
    </row>
    <row r="249" spans="1:124" s="26" customFormat="1" x14ac:dyDescent="0.2">
      <c r="A249" s="29">
        <v>42943</v>
      </c>
      <c r="B249" s="26" t="s">
        <v>303</v>
      </c>
      <c r="C249" s="26" t="s">
        <v>328</v>
      </c>
      <c r="D249" s="26" t="s">
        <v>332</v>
      </c>
      <c r="E249" s="26">
        <v>71</v>
      </c>
      <c r="F249" s="27">
        <v>92</v>
      </c>
      <c r="G249" s="27">
        <v>166.8</v>
      </c>
      <c r="H249" s="27">
        <v>65</v>
      </c>
      <c r="I249" s="26">
        <v>28.78</v>
      </c>
      <c r="J249" s="26">
        <v>0</v>
      </c>
      <c r="K249" s="26">
        <v>0</v>
      </c>
      <c r="L249" s="26">
        <v>0</v>
      </c>
      <c r="M249" s="26">
        <v>2.5</v>
      </c>
      <c r="N249" s="26">
        <v>0</v>
      </c>
      <c r="O249" s="26">
        <v>8.5399999999999991</v>
      </c>
      <c r="P249" s="26">
        <v>0</v>
      </c>
      <c r="Q249" s="26">
        <v>0</v>
      </c>
      <c r="R249" s="26">
        <v>2.76</v>
      </c>
      <c r="S249" s="26">
        <v>0</v>
      </c>
      <c r="T249" s="26">
        <v>9.52</v>
      </c>
      <c r="U249" s="26">
        <v>36.909999999999997</v>
      </c>
      <c r="V249" s="26">
        <v>26.15</v>
      </c>
      <c r="W249" s="26">
        <v>1.97</v>
      </c>
      <c r="X249" s="26">
        <v>60.18</v>
      </c>
      <c r="Y249" s="26">
        <v>0</v>
      </c>
      <c r="Z249" s="26">
        <v>0</v>
      </c>
      <c r="AM249" s="26">
        <v>0.1</v>
      </c>
      <c r="AN249" s="26">
        <v>0</v>
      </c>
      <c r="AY249" s="28"/>
      <c r="BQ249" s="26">
        <v>1</v>
      </c>
      <c r="BR249" s="26">
        <v>50</v>
      </c>
      <c r="BS249" s="26">
        <v>4</v>
      </c>
      <c r="BT249" s="26">
        <f>0.37*4</f>
        <v>1.48</v>
      </c>
      <c r="BU249" s="26">
        <v>3</v>
      </c>
      <c r="BV249" s="26">
        <v>40</v>
      </c>
      <c r="BW249" s="26">
        <v>6</v>
      </c>
      <c r="BX249" s="26">
        <v>2.2000000000000002</v>
      </c>
      <c r="BY249" s="26">
        <v>3</v>
      </c>
      <c r="BZ249" s="26">
        <v>50</v>
      </c>
      <c r="CA249" s="26">
        <v>1</v>
      </c>
      <c r="CB249" s="26">
        <v>0.06</v>
      </c>
      <c r="CC249" s="26">
        <v>1</v>
      </c>
      <c r="CD249" s="26">
        <v>60</v>
      </c>
      <c r="CE249" s="26">
        <v>3</v>
      </c>
      <c r="CF249" s="26">
        <v>0.19</v>
      </c>
      <c r="CG249" s="26">
        <v>4</v>
      </c>
      <c r="DB249" s="27">
        <v>1.1100000000000001</v>
      </c>
      <c r="DC249" s="27">
        <v>1</v>
      </c>
      <c r="DD249" s="27">
        <v>1</v>
      </c>
      <c r="DE249" s="27"/>
      <c r="DF249" s="27">
        <f>0.51*2+0.09+0.15*2+1.65+0.18+0.72</f>
        <v>3.96</v>
      </c>
      <c r="DG249" s="27"/>
      <c r="DH249" s="27"/>
      <c r="DI249" s="27"/>
      <c r="DJ249" s="27"/>
      <c r="DK249" s="27"/>
      <c r="DL249" s="27"/>
      <c r="DM249" s="27">
        <v>1.95</v>
      </c>
      <c r="DN249" s="27">
        <v>1.96</v>
      </c>
      <c r="DO249" s="27"/>
      <c r="DP249" s="27"/>
      <c r="DQ249" s="27">
        <v>2.88</v>
      </c>
      <c r="DR249" s="27">
        <v>0</v>
      </c>
      <c r="DS249" s="27">
        <v>0</v>
      </c>
      <c r="DT249" s="26">
        <v>2</v>
      </c>
    </row>
    <row r="250" spans="1:124" s="26" customFormat="1" x14ac:dyDescent="0.2">
      <c r="A250" s="29">
        <v>42943</v>
      </c>
      <c r="B250" s="26" t="s">
        <v>303</v>
      </c>
      <c r="C250" s="26" t="s">
        <v>328</v>
      </c>
      <c r="D250" s="26" t="s">
        <v>333</v>
      </c>
      <c r="E250" s="26">
        <v>35</v>
      </c>
      <c r="F250" s="27">
        <v>89.3</v>
      </c>
      <c r="G250" s="27">
        <v>83.4</v>
      </c>
      <c r="H250" s="27">
        <v>12.6</v>
      </c>
      <c r="I250" s="26">
        <v>87.93</v>
      </c>
      <c r="J250" s="26">
        <v>0</v>
      </c>
      <c r="K250" s="26">
        <v>0</v>
      </c>
      <c r="L250" s="26">
        <v>1.49</v>
      </c>
      <c r="M250" s="26">
        <v>10.58</v>
      </c>
      <c r="N250" s="26">
        <v>0</v>
      </c>
      <c r="O250" s="26">
        <v>0</v>
      </c>
      <c r="P250" s="26">
        <v>0</v>
      </c>
      <c r="Q250" s="26">
        <v>0</v>
      </c>
      <c r="R250" s="26">
        <v>0</v>
      </c>
      <c r="S250" s="26">
        <v>0</v>
      </c>
      <c r="T250" s="26">
        <v>0.17</v>
      </c>
      <c r="U250" s="26">
        <v>38.78</v>
      </c>
      <c r="V250" s="26">
        <v>29.47</v>
      </c>
      <c r="W250" s="26">
        <v>0</v>
      </c>
      <c r="X250" s="26">
        <v>0</v>
      </c>
      <c r="Y250" s="26">
        <v>4</v>
      </c>
      <c r="Z250" s="26">
        <v>1</v>
      </c>
      <c r="AA250" s="26">
        <v>3</v>
      </c>
      <c r="AC250" s="26">
        <v>4</v>
      </c>
      <c r="AM250" s="26">
        <v>9.6999999999999993</v>
      </c>
      <c r="AN250" s="26">
        <v>1</v>
      </c>
      <c r="AO250" s="26">
        <v>68</v>
      </c>
      <c r="AP250" s="26">
        <v>1</v>
      </c>
      <c r="AQ250" s="26">
        <v>0.02</v>
      </c>
      <c r="AR250" s="26">
        <v>1</v>
      </c>
      <c r="AS250" s="26">
        <v>35</v>
      </c>
      <c r="AT250" s="26">
        <v>10</v>
      </c>
      <c r="AU250" s="26">
        <f>0.22*2+0.43*2+0.65+0.04+0.02+0.08</f>
        <v>2.0900000000000003</v>
      </c>
      <c r="AV250" s="26">
        <v>3</v>
      </c>
      <c r="AY250" s="28"/>
      <c r="BQ250" s="26">
        <v>1</v>
      </c>
      <c r="BR250" s="26">
        <v>50</v>
      </c>
      <c r="BS250" s="26">
        <f>4*3+3*4</f>
        <v>24</v>
      </c>
      <c r="BT250" s="26">
        <f>0.07+0.25+0.11+0.65+1.3+15</f>
        <v>17.38</v>
      </c>
      <c r="BU250" s="26">
        <v>1</v>
      </c>
      <c r="BV250" s="26">
        <v>40</v>
      </c>
      <c r="BW250" s="26">
        <v>18</v>
      </c>
      <c r="BX250" s="26">
        <f>0.87+0.17+0.08+0.34+1.73+0.43+0.87+0.07</f>
        <v>4.5600000000000005</v>
      </c>
      <c r="BY250" s="26">
        <v>1</v>
      </c>
      <c r="BZ250" s="26">
        <v>40</v>
      </c>
      <c r="CA250" s="26">
        <v>2</v>
      </c>
      <c r="CB250" s="26">
        <v>0.12</v>
      </c>
      <c r="CC250" s="26">
        <v>5</v>
      </c>
      <c r="CD250" s="26">
        <v>50</v>
      </c>
      <c r="CE250" s="26">
        <v>1</v>
      </c>
      <c r="CF250" s="26">
        <v>0.22</v>
      </c>
      <c r="CG250" s="26">
        <v>6</v>
      </c>
      <c r="CH250" s="26">
        <v>40</v>
      </c>
      <c r="CI250" s="26">
        <v>3</v>
      </c>
      <c r="CJ250" s="26">
        <v>0.16</v>
      </c>
      <c r="CK250" s="26">
        <v>6</v>
      </c>
      <c r="DB250" s="27">
        <v>0.68</v>
      </c>
      <c r="DC250" s="27">
        <v>1</v>
      </c>
      <c r="DD250" s="27">
        <v>1</v>
      </c>
      <c r="DE250" s="27"/>
      <c r="DF250" s="27">
        <f>0.34+0.91+1.8+0.08+0.3</f>
        <v>3.4299999999999997</v>
      </c>
      <c r="DG250" s="27"/>
      <c r="DH250" s="27"/>
      <c r="DI250" s="27"/>
      <c r="DJ250" s="27"/>
      <c r="DK250" s="27"/>
      <c r="DL250" s="27"/>
      <c r="DM250" s="27">
        <v>7.83</v>
      </c>
      <c r="DN250" s="27">
        <v>8.68</v>
      </c>
      <c r="DO250" s="27"/>
      <c r="DP250" s="27"/>
      <c r="DQ250" s="27">
        <v>0</v>
      </c>
      <c r="DR250" s="27">
        <v>0</v>
      </c>
      <c r="DS250" s="27">
        <v>0</v>
      </c>
      <c r="DT250" s="26">
        <v>0</v>
      </c>
    </row>
    <row r="251" spans="1:124" s="26" customFormat="1" x14ac:dyDescent="0.2">
      <c r="A251" s="29">
        <v>42943</v>
      </c>
      <c r="B251" s="26" t="s">
        <v>303</v>
      </c>
      <c r="C251" s="26" t="s">
        <v>328</v>
      </c>
      <c r="D251" s="26" t="s">
        <v>334</v>
      </c>
      <c r="E251" s="26">
        <v>38</v>
      </c>
      <c r="F251" s="27">
        <v>92.6</v>
      </c>
      <c r="G251" s="27">
        <v>83.4</v>
      </c>
      <c r="H251" s="27">
        <v>16.5</v>
      </c>
      <c r="I251" s="26">
        <v>77.87</v>
      </c>
      <c r="J251" s="26">
        <v>0</v>
      </c>
      <c r="K251" s="26">
        <v>0</v>
      </c>
      <c r="L251" s="26">
        <v>0</v>
      </c>
      <c r="M251" s="26">
        <v>21.87</v>
      </c>
      <c r="N251" s="26">
        <v>0</v>
      </c>
      <c r="O251" s="26">
        <v>0</v>
      </c>
      <c r="P251" s="26">
        <v>0</v>
      </c>
      <c r="Q251" s="26">
        <v>0</v>
      </c>
      <c r="R251" s="26">
        <v>0</v>
      </c>
      <c r="S251" s="26">
        <v>0</v>
      </c>
      <c r="T251" s="26">
        <v>0.28999999999999998</v>
      </c>
      <c r="U251" s="26">
        <v>38.85</v>
      </c>
      <c r="V251" s="26">
        <v>37.36</v>
      </c>
      <c r="W251" s="26">
        <v>5.57</v>
      </c>
      <c r="X251" s="26">
        <v>0</v>
      </c>
      <c r="Y251" s="26">
        <v>0</v>
      </c>
      <c r="Z251" s="26">
        <v>0</v>
      </c>
      <c r="AM251" s="26">
        <v>17.5</v>
      </c>
      <c r="AN251" s="26">
        <v>0</v>
      </c>
      <c r="AY251" s="28"/>
      <c r="BQ251" s="26">
        <v>1</v>
      </c>
      <c r="BR251" s="26">
        <v>70</v>
      </c>
      <c r="BS251" s="26">
        <f>8*3+3</f>
        <v>27</v>
      </c>
      <c r="BT251" s="26">
        <f>5.87*3+0.58</f>
        <v>18.189999999999998</v>
      </c>
      <c r="BU251" s="26">
        <v>1</v>
      </c>
      <c r="DB251" s="27">
        <v>3.74</v>
      </c>
      <c r="DC251" s="27">
        <v>1</v>
      </c>
      <c r="DD251" s="27">
        <v>1</v>
      </c>
      <c r="DE251" s="27"/>
      <c r="DF251" s="27">
        <f>1.65+2.04*2+0.36*2+0.54</f>
        <v>6.99</v>
      </c>
      <c r="DG251" s="27">
        <v>2</v>
      </c>
      <c r="DH251" s="27"/>
      <c r="DI251" s="27">
        <v>0.91</v>
      </c>
      <c r="DJ251" s="27"/>
      <c r="DK251" s="27"/>
      <c r="DL251" s="27"/>
      <c r="DM251" s="27">
        <v>0.19</v>
      </c>
      <c r="DN251" s="27">
        <v>0.19</v>
      </c>
      <c r="DO251" s="27"/>
      <c r="DP251" s="27"/>
      <c r="DQ251" s="27">
        <v>0</v>
      </c>
      <c r="DR251" s="27">
        <v>0</v>
      </c>
      <c r="DS251" s="27">
        <v>0</v>
      </c>
      <c r="DT251" s="26">
        <v>0</v>
      </c>
    </row>
    <row r="252" spans="1:124" s="26" customFormat="1" x14ac:dyDescent="0.2">
      <c r="A252" s="25">
        <v>42943</v>
      </c>
      <c r="B252" s="26" t="s">
        <v>303</v>
      </c>
      <c r="C252" s="26" t="s">
        <v>328</v>
      </c>
      <c r="D252" s="26" t="s">
        <v>335</v>
      </c>
      <c r="E252" s="26">
        <v>37.5</v>
      </c>
      <c r="F252" s="27">
        <v>94.9</v>
      </c>
      <c r="G252" s="27">
        <v>83.4</v>
      </c>
      <c r="H252" s="27">
        <v>16</v>
      </c>
      <c r="I252" s="26">
        <v>79.430000000000007</v>
      </c>
      <c r="J252" s="26">
        <v>0</v>
      </c>
      <c r="K252" s="26">
        <v>0</v>
      </c>
      <c r="L252" s="26">
        <v>0</v>
      </c>
      <c r="M252" s="26">
        <v>20.309999999999999</v>
      </c>
      <c r="N252" s="26">
        <v>0</v>
      </c>
      <c r="O252" s="26">
        <v>0</v>
      </c>
      <c r="P252" s="26">
        <v>0</v>
      </c>
      <c r="Q252" s="26">
        <v>0</v>
      </c>
      <c r="R252" s="26">
        <v>0</v>
      </c>
      <c r="S252" s="26">
        <v>0</v>
      </c>
      <c r="T252" s="26">
        <v>0.28999999999999998</v>
      </c>
      <c r="U252" s="26">
        <v>37.58</v>
      </c>
      <c r="V252" s="26">
        <v>37.76</v>
      </c>
      <c r="W252" s="26">
        <v>5.57</v>
      </c>
      <c r="X252" s="26">
        <v>0</v>
      </c>
      <c r="Y252" s="26">
        <v>0</v>
      </c>
      <c r="Z252" s="26">
        <v>0</v>
      </c>
      <c r="AM252" s="26">
        <v>17.5</v>
      </c>
      <c r="AN252" s="26">
        <v>0</v>
      </c>
      <c r="AY252" s="28"/>
      <c r="BQ252" s="26">
        <v>1</v>
      </c>
      <c r="BR252" s="26">
        <v>71</v>
      </c>
      <c r="BS252" s="26">
        <f>8*3+3</f>
        <v>27</v>
      </c>
      <c r="BT252" s="26">
        <f>5.87*3+0.58</f>
        <v>18.189999999999998</v>
      </c>
      <c r="BU252" s="26">
        <v>2</v>
      </c>
      <c r="DB252" s="27">
        <v>3.74</v>
      </c>
      <c r="DC252" s="27">
        <v>1</v>
      </c>
      <c r="DD252" s="27">
        <v>1</v>
      </c>
      <c r="DE252" s="27"/>
      <c r="DF252" s="27">
        <f>1.65+2.04*2+0.36*2+0.54</f>
        <v>6.99</v>
      </c>
      <c r="DG252" s="27">
        <v>2</v>
      </c>
      <c r="DH252" s="27"/>
      <c r="DI252" s="27">
        <v>0.91</v>
      </c>
      <c r="DJ252" s="27">
        <v>1</v>
      </c>
      <c r="DK252" s="27">
        <v>1</v>
      </c>
      <c r="DL252" s="27"/>
      <c r="DM252" s="27">
        <v>0.19</v>
      </c>
      <c r="DN252" s="27">
        <v>0.19</v>
      </c>
      <c r="DO252" s="27"/>
      <c r="DP252" s="27"/>
      <c r="DQ252" s="27">
        <v>0</v>
      </c>
      <c r="DR252" s="27">
        <v>0</v>
      </c>
      <c r="DS252" s="27">
        <v>0</v>
      </c>
      <c r="DT252" s="26">
        <v>0</v>
      </c>
    </row>
    <row r="253" spans="1:124" s="26" customFormat="1" x14ac:dyDescent="0.2">
      <c r="A253" s="25">
        <v>42943</v>
      </c>
      <c r="B253" s="26" t="s">
        <v>303</v>
      </c>
      <c r="C253" s="26" t="s">
        <v>336</v>
      </c>
      <c r="D253" s="26" t="s">
        <v>337</v>
      </c>
      <c r="E253" s="26">
        <v>31</v>
      </c>
      <c r="F253" s="27">
        <v>39.200000000000003</v>
      </c>
      <c r="G253" s="27">
        <v>83.4</v>
      </c>
      <c r="H253" s="27">
        <v>17.2</v>
      </c>
      <c r="I253" s="26">
        <v>85.69</v>
      </c>
      <c r="J253" s="26">
        <v>0</v>
      </c>
      <c r="K253" s="26">
        <v>0.39</v>
      </c>
      <c r="L253" s="26">
        <v>0</v>
      </c>
      <c r="M253" s="26">
        <v>13.37</v>
      </c>
      <c r="N253" s="26">
        <v>0</v>
      </c>
      <c r="O253" s="26">
        <v>0</v>
      </c>
      <c r="P253" s="26">
        <v>0</v>
      </c>
      <c r="Q253" s="26">
        <v>0</v>
      </c>
      <c r="R253" s="26">
        <v>0</v>
      </c>
      <c r="S253" s="26">
        <v>0</v>
      </c>
      <c r="T253" s="26">
        <v>12.36</v>
      </c>
      <c r="U253" s="26">
        <v>18.21</v>
      </c>
      <c r="V253" s="26">
        <v>12.25</v>
      </c>
      <c r="W253" s="26">
        <v>3.27</v>
      </c>
      <c r="X253" s="26">
        <v>5.0199999999999996</v>
      </c>
      <c r="Y253" s="26">
        <v>4.8</v>
      </c>
      <c r="Z253" s="26">
        <v>1</v>
      </c>
      <c r="AA253" s="26">
        <v>5</v>
      </c>
      <c r="AC253" s="26">
        <v>2</v>
      </c>
      <c r="AD253" s="26">
        <v>3</v>
      </c>
      <c r="AF253" s="26">
        <v>1</v>
      </c>
      <c r="AM253" s="26">
        <v>2.4</v>
      </c>
      <c r="AN253" s="26">
        <v>1</v>
      </c>
      <c r="AO253" s="26">
        <v>35</v>
      </c>
      <c r="AP253" s="26">
        <v>8</v>
      </c>
      <c r="AQ253" s="26">
        <f>0.13*4</f>
        <v>0.52</v>
      </c>
      <c r="AR253" s="26">
        <v>3</v>
      </c>
      <c r="AS253" s="26">
        <v>23</v>
      </c>
      <c r="AT253" s="26">
        <v>2</v>
      </c>
      <c r="AU253" s="26">
        <v>0.12</v>
      </c>
      <c r="AV253" s="26">
        <v>3</v>
      </c>
      <c r="AY253" s="28"/>
      <c r="BQ253" s="26">
        <v>1</v>
      </c>
      <c r="BR253" s="26">
        <v>50</v>
      </c>
      <c r="BS253" s="26">
        <v>5</v>
      </c>
      <c r="BT253" s="26">
        <v>0.32</v>
      </c>
      <c r="BU253" s="26">
        <v>3</v>
      </c>
      <c r="DB253" s="27">
        <v>0.43</v>
      </c>
      <c r="DC253" s="27">
        <v>1</v>
      </c>
      <c r="DD253" s="27">
        <v>1</v>
      </c>
      <c r="DE253" s="27"/>
      <c r="DF253" s="27">
        <f>0.11+0.06+0.26*2</f>
        <v>0.69</v>
      </c>
      <c r="DG253" s="27">
        <v>2</v>
      </c>
      <c r="DH253" s="27"/>
      <c r="DI253" s="27">
        <f>3.35*2+0.35*2</f>
        <v>7.4</v>
      </c>
      <c r="DJ253" s="27"/>
      <c r="DK253" s="27"/>
      <c r="DL253" s="27"/>
      <c r="DM253" s="27">
        <v>1.74</v>
      </c>
      <c r="DN253" s="27">
        <v>1.32</v>
      </c>
      <c r="DO253" s="27"/>
      <c r="DP253" s="27"/>
      <c r="DQ253" s="27">
        <v>4.32</v>
      </c>
      <c r="DR253" s="27">
        <v>1.2</v>
      </c>
      <c r="DS253" s="27">
        <v>0.11</v>
      </c>
      <c r="DT253" s="26">
        <v>2</v>
      </c>
    </row>
    <row r="254" spans="1:124" s="26" customFormat="1" x14ac:dyDescent="0.2">
      <c r="A254" s="25">
        <v>42943</v>
      </c>
      <c r="B254" s="26" t="s">
        <v>303</v>
      </c>
      <c r="C254" s="26" t="s">
        <v>336</v>
      </c>
      <c r="D254" s="26" t="s">
        <v>338</v>
      </c>
      <c r="E254" s="26">
        <v>22.5</v>
      </c>
      <c r="F254" s="27">
        <v>20.9</v>
      </c>
      <c r="G254" s="27">
        <v>83.4</v>
      </c>
      <c r="H254" s="27">
        <v>11</v>
      </c>
      <c r="I254" s="26">
        <v>91.28</v>
      </c>
      <c r="J254" s="26">
        <v>0</v>
      </c>
      <c r="K254" s="26">
        <v>0</v>
      </c>
      <c r="L254" s="26">
        <v>0</v>
      </c>
      <c r="M254" s="26">
        <v>4.1500000000000004</v>
      </c>
      <c r="N254" s="26">
        <v>0</v>
      </c>
      <c r="O254" s="26">
        <v>0</v>
      </c>
      <c r="P254" s="26">
        <v>0</v>
      </c>
      <c r="Q254" s="26">
        <v>0</v>
      </c>
      <c r="R254" s="26">
        <v>0</v>
      </c>
      <c r="S254" s="26">
        <v>0</v>
      </c>
      <c r="T254" s="26">
        <v>0.71</v>
      </c>
      <c r="U254" s="26">
        <v>7.61</v>
      </c>
      <c r="V254" s="26">
        <v>5.28</v>
      </c>
      <c r="W254" s="26">
        <v>2.4700000000000002</v>
      </c>
      <c r="X254" s="26">
        <v>4.05</v>
      </c>
      <c r="Y254" s="26">
        <v>6.1</v>
      </c>
      <c r="Z254" s="26">
        <v>1</v>
      </c>
      <c r="AA254" s="26">
        <v>5</v>
      </c>
      <c r="AC254" s="26">
        <v>1</v>
      </c>
      <c r="AD254" s="26">
        <v>3</v>
      </c>
      <c r="AF254" s="26">
        <v>2</v>
      </c>
      <c r="AM254" s="26">
        <v>4.7</v>
      </c>
      <c r="AN254" s="26">
        <v>1</v>
      </c>
      <c r="AO254" s="26">
        <v>35</v>
      </c>
      <c r="AP254" s="26">
        <v>8</v>
      </c>
      <c r="AQ254" s="26">
        <f>0.19+0.32</f>
        <v>0.51</v>
      </c>
      <c r="AR254" s="26">
        <v>3</v>
      </c>
      <c r="AY254" s="28"/>
      <c r="BQ254" s="26">
        <v>1</v>
      </c>
      <c r="BR254" s="26">
        <v>80</v>
      </c>
      <c r="BS254" s="26">
        <v>4</v>
      </c>
      <c r="BT254" s="26">
        <v>1.28</v>
      </c>
      <c r="BU254" s="26">
        <v>3</v>
      </c>
      <c r="BV254" s="26">
        <v>60</v>
      </c>
      <c r="BW254" s="26">
        <v>3</v>
      </c>
      <c r="BX254" s="26">
        <v>0.28999999999999998</v>
      </c>
      <c r="BY254" s="26">
        <v>3</v>
      </c>
      <c r="BZ254" s="26">
        <v>70</v>
      </c>
      <c r="CA254" s="26">
        <v>4</v>
      </c>
      <c r="CB254" s="26">
        <v>0.57999999999999996</v>
      </c>
      <c r="CC254" s="26">
        <v>3</v>
      </c>
      <c r="DB254" s="27">
        <v>0.49</v>
      </c>
      <c r="DC254" s="27">
        <v>1</v>
      </c>
      <c r="DD254" s="27">
        <v>2</v>
      </c>
      <c r="DE254" s="27"/>
      <c r="DF254" s="27">
        <f>0.27*3</f>
        <v>0.81</v>
      </c>
      <c r="DG254" s="27"/>
      <c r="DH254" s="27"/>
      <c r="DI254" s="27"/>
      <c r="DJ254" s="27"/>
      <c r="DK254" s="27"/>
      <c r="DL254" s="27"/>
      <c r="DM254" s="27">
        <v>0</v>
      </c>
      <c r="DN254" s="27"/>
      <c r="DO254" s="27"/>
      <c r="DP254" s="27"/>
      <c r="DQ254" s="27">
        <v>0</v>
      </c>
      <c r="DR254" s="27">
        <v>0</v>
      </c>
      <c r="DS254" s="27">
        <v>0</v>
      </c>
      <c r="DT254" s="26">
        <v>0</v>
      </c>
    </row>
    <row r="255" spans="1:124" s="26" customFormat="1" x14ac:dyDescent="0.2">
      <c r="A255" s="25">
        <v>42943</v>
      </c>
      <c r="B255" s="26" t="s">
        <v>303</v>
      </c>
      <c r="C255" s="26" t="s">
        <v>336</v>
      </c>
      <c r="D255" s="26" t="s">
        <v>339</v>
      </c>
      <c r="E255" s="26">
        <v>52</v>
      </c>
      <c r="F255" s="27">
        <v>87.1</v>
      </c>
      <c r="G255" s="27">
        <v>83.4</v>
      </c>
      <c r="H255" s="27">
        <v>31.9</v>
      </c>
      <c r="I255" s="26">
        <v>55.25</v>
      </c>
      <c r="J255" s="26">
        <v>0</v>
      </c>
      <c r="K255" s="26">
        <v>0</v>
      </c>
      <c r="L255" s="26">
        <v>0</v>
      </c>
      <c r="M255" s="26">
        <v>36.01</v>
      </c>
      <c r="N255" s="26">
        <v>0</v>
      </c>
      <c r="O255" s="26">
        <v>0</v>
      </c>
      <c r="P255" s="26">
        <v>0</v>
      </c>
      <c r="Q255" s="26">
        <v>0</v>
      </c>
      <c r="R255" s="26">
        <v>0</v>
      </c>
      <c r="S255" s="26">
        <v>0</v>
      </c>
      <c r="T255" s="26">
        <v>1.03</v>
      </c>
      <c r="U255" s="26">
        <v>22.5</v>
      </c>
      <c r="V255" s="26">
        <v>29.21</v>
      </c>
      <c r="W255" s="26">
        <v>12.38</v>
      </c>
      <c r="X255" s="26">
        <v>8.73</v>
      </c>
      <c r="Y255" s="26">
        <v>5.3</v>
      </c>
      <c r="Z255" s="26">
        <v>1</v>
      </c>
      <c r="AA255" s="26">
        <v>5</v>
      </c>
      <c r="AC255" s="26">
        <v>1</v>
      </c>
      <c r="AM255" s="26">
        <v>7.1</v>
      </c>
      <c r="AN255" s="26">
        <v>1</v>
      </c>
      <c r="AO255" s="26">
        <v>35</v>
      </c>
      <c r="AP255" s="26">
        <v>8</v>
      </c>
      <c r="AQ255" s="26">
        <f>0.19+0.32</f>
        <v>0.51</v>
      </c>
      <c r="AR255" s="26">
        <v>3</v>
      </c>
      <c r="AY255" s="28"/>
      <c r="BQ255" s="26">
        <v>1</v>
      </c>
      <c r="BR255" s="26">
        <v>50</v>
      </c>
      <c r="BS255" s="26">
        <v>7</v>
      </c>
      <c r="BT255" s="26">
        <f>0.92+0.73+0.32</f>
        <v>1.97</v>
      </c>
      <c r="BU255" s="26">
        <v>3</v>
      </c>
      <c r="BV255" s="26">
        <v>70</v>
      </c>
      <c r="BW255" s="26">
        <v>11</v>
      </c>
      <c r="BX255" s="26">
        <f>0.73+0.65</f>
        <v>1.38</v>
      </c>
      <c r="BY255" s="26">
        <v>3</v>
      </c>
      <c r="BZ255" s="26">
        <v>50</v>
      </c>
      <c r="CA255" s="26">
        <v>1</v>
      </c>
      <c r="CB255" s="26">
        <v>0.37</v>
      </c>
      <c r="CC255" s="26">
        <v>4</v>
      </c>
      <c r="CD255" s="26">
        <v>50</v>
      </c>
      <c r="CE255" s="26">
        <v>1</v>
      </c>
      <c r="CF255" s="26">
        <v>0.37</v>
      </c>
      <c r="CG255" s="26">
        <v>6</v>
      </c>
      <c r="CH255" s="26">
        <v>60</v>
      </c>
      <c r="CI255" s="26">
        <v>12</v>
      </c>
      <c r="CJ255" s="26">
        <f>0.65+0.13</f>
        <v>0.78</v>
      </c>
      <c r="CK255" s="26">
        <v>3</v>
      </c>
      <c r="CL255" s="26">
        <v>60</v>
      </c>
      <c r="CM255" s="26">
        <v>4</v>
      </c>
      <c r="CN255" s="26">
        <v>0.26</v>
      </c>
      <c r="CO255" s="26">
        <v>1</v>
      </c>
      <c r="CP255" s="26">
        <v>70</v>
      </c>
      <c r="CQ255" s="26">
        <v>4</v>
      </c>
      <c r="CR255" s="26">
        <v>0.39</v>
      </c>
      <c r="CS255" s="26">
        <v>1</v>
      </c>
      <c r="CT255" s="26">
        <v>60</v>
      </c>
      <c r="CU255" s="26">
        <v>2</v>
      </c>
      <c r="CV255" s="26">
        <v>0.13</v>
      </c>
      <c r="CW255" s="26">
        <v>6</v>
      </c>
      <c r="CX255" s="26">
        <v>50</v>
      </c>
      <c r="CY255" s="26">
        <v>1</v>
      </c>
      <c r="CZ255" s="26">
        <v>0.83</v>
      </c>
      <c r="DA255" s="26">
        <v>6</v>
      </c>
      <c r="DB255" s="27">
        <v>5.1100000000000003</v>
      </c>
      <c r="DC255" s="27">
        <v>1</v>
      </c>
      <c r="DD255" s="27">
        <v>1</v>
      </c>
      <c r="DE255" s="27"/>
      <c r="DF255" s="27">
        <f>0.18*2</f>
        <v>0.36</v>
      </c>
      <c r="DG255" s="27">
        <v>2</v>
      </c>
      <c r="DH255" s="27"/>
      <c r="DI255" s="27">
        <f>0.75+1.53+2.04+1</f>
        <v>5.32</v>
      </c>
      <c r="DJ255" s="27"/>
      <c r="DK255" s="27"/>
      <c r="DL255" s="27"/>
      <c r="DM255" s="27">
        <v>2.17</v>
      </c>
      <c r="DN255" s="27">
        <v>2.1800000000000002</v>
      </c>
      <c r="DO255" s="27"/>
      <c r="DP255" s="27"/>
      <c r="DQ255" s="27">
        <v>0</v>
      </c>
      <c r="DR255" s="27">
        <v>0</v>
      </c>
      <c r="DS255" s="27">
        <v>0</v>
      </c>
      <c r="DT255" s="26">
        <v>0</v>
      </c>
    </row>
    <row r="256" spans="1:124" s="26" customFormat="1" x14ac:dyDescent="0.2">
      <c r="A256" s="25">
        <v>42943</v>
      </c>
      <c r="B256" s="26" t="s">
        <v>303</v>
      </c>
      <c r="C256" s="26" t="s">
        <v>336</v>
      </c>
      <c r="D256" s="26" t="s">
        <v>340</v>
      </c>
      <c r="E256" s="26">
        <v>40</v>
      </c>
      <c r="F256" s="27">
        <v>90.5</v>
      </c>
      <c r="G256" s="27">
        <v>83.4</v>
      </c>
      <c r="H256" s="27">
        <v>24.1</v>
      </c>
      <c r="I256" s="26">
        <v>65.22</v>
      </c>
      <c r="J256" s="26">
        <v>0</v>
      </c>
      <c r="K256" s="26">
        <v>0</v>
      </c>
      <c r="L256" s="26">
        <v>0</v>
      </c>
      <c r="M256" s="26">
        <v>27.95</v>
      </c>
      <c r="N256" s="26">
        <v>0</v>
      </c>
      <c r="O256" s="26">
        <v>0</v>
      </c>
      <c r="P256" s="26">
        <v>0</v>
      </c>
      <c r="Q256" s="26">
        <v>0</v>
      </c>
      <c r="R256" s="26">
        <v>0</v>
      </c>
      <c r="S256" s="26">
        <v>0</v>
      </c>
      <c r="T256" s="26">
        <v>0.5</v>
      </c>
      <c r="U256" s="26">
        <v>25.43</v>
      </c>
      <c r="V256" s="26">
        <v>28.69</v>
      </c>
      <c r="W256" s="26">
        <v>8.32</v>
      </c>
      <c r="X256" s="26">
        <v>6.81</v>
      </c>
      <c r="Y256" s="26">
        <v>5.3</v>
      </c>
      <c r="Z256" s="26">
        <v>1</v>
      </c>
      <c r="AA256" s="26">
        <v>5</v>
      </c>
      <c r="AC256" s="26">
        <v>1</v>
      </c>
      <c r="AM256" s="26">
        <v>3.5</v>
      </c>
      <c r="AN256" s="26">
        <v>0</v>
      </c>
      <c r="AY256" s="28"/>
      <c r="BQ256" s="26">
        <v>1</v>
      </c>
      <c r="BR256" s="26">
        <v>50</v>
      </c>
      <c r="BS256" s="26">
        <v>9</v>
      </c>
      <c r="BT256" s="26">
        <f>0.9+0.72+0.92+0.73+0.32</f>
        <v>3.59</v>
      </c>
      <c r="BU256" s="26">
        <v>3</v>
      </c>
      <c r="BV256" s="26">
        <v>70</v>
      </c>
      <c r="BW256" s="26">
        <v>12</v>
      </c>
      <c r="BX256" s="26">
        <f>0.72+0.73+0.65</f>
        <v>2.1</v>
      </c>
      <c r="BY256" s="26">
        <v>3</v>
      </c>
      <c r="BZ256" s="26">
        <v>60</v>
      </c>
      <c r="CA256" s="26">
        <v>2</v>
      </c>
      <c r="CB256" s="26">
        <v>0.13</v>
      </c>
      <c r="CC256" s="26">
        <v>3</v>
      </c>
      <c r="CD256" s="26">
        <v>50</v>
      </c>
      <c r="CE256" s="26">
        <v>1</v>
      </c>
      <c r="CF256" s="26">
        <v>0.83</v>
      </c>
      <c r="CG256" s="26">
        <v>6</v>
      </c>
      <c r="CH256" s="26">
        <v>60</v>
      </c>
      <c r="CI256" s="26">
        <v>1</v>
      </c>
      <c r="CJ256" s="26">
        <v>0.13</v>
      </c>
      <c r="CK256" s="26">
        <v>6</v>
      </c>
      <c r="CL256" s="26">
        <v>70</v>
      </c>
      <c r="CM256" s="26">
        <v>1</v>
      </c>
      <c r="CN256" s="26">
        <v>0.39</v>
      </c>
      <c r="CO256" s="26">
        <v>1</v>
      </c>
      <c r="CP256" s="26">
        <v>50</v>
      </c>
      <c r="CQ256" s="26">
        <v>2</v>
      </c>
      <c r="CR256" s="26">
        <f>0.36+0.37</f>
        <v>0.73</v>
      </c>
      <c r="CS256" s="26">
        <v>4</v>
      </c>
      <c r="DB256" s="27">
        <v>3.9</v>
      </c>
      <c r="DC256" s="27">
        <v>1</v>
      </c>
      <c r="DD256" s="27">
        <v>1</v>
      </c>
      <c r="DE256" s="27"/>
      <c r="DF256" s="27">
        <f>1.53+0.75+0.18*2</f>
        <v>2.64</v>
      </c>
      <c r="DG256" s="27">
        <v>2</v>
      </c>
      <c r="DH256" s="27"/>
      <c r="DI256" s="27">
        <f>3.06+1.5</f>
        <v>4.5600000000000005</v>
      </c>
      <c r="DJ256" s="27"/>
      <c r="DK256" s="27"/>
      <c r="DL256" s="27"/>
      <c r="DM256" s="27">
        <v>3</v>
      </c>
      <c r="DN256" s="27">
        <v>2.19</v>
      </c>
      <c r="DO256" s="27"/>
      <c r="DP256" s="27"/>
      <c r="DQ256" s="27">
        <v>0</v>
      </c>
      <c r="DR256" s="27">
        <v>0</v>
      </c>
      <c r="DS256" s="27">
        <v>0</v>
      </c>
      <c r="DT256" s="26">
        <v>0</v>
      </c>
    </row>
    <row r="257" spans="1:124" s="26" customFormat="1" x14ac:dyDescent="0.2">
      <c r="A257" s="25">
        <v>42943</v>
      </c>
      <c r="B257" s="26" t="s">
        <v>303</v>
      </c>
      <c r="C257" s="26" t="s">
        <v>336</v>
      </c>
      <c r="D257" s="26" t="s">
        <v>341</v>
      </c>
      <c r="E257" s="26">
        <v>39</v>
      </c>
      <c r="F257" s="27">
        <v>80.900000000000006</v>
      </c>
      <c r="G257" s="27">
        <v>83.4</v>
      </c>
      <c r="H257" s="27">
        <v>19.3</v>
      </c>
      <c r="I257" s="26">
        <v>75.959999999999994</v>
      </c>
      <c r="J257" s="26">
        <v>0</v>
      </c>
      <c r="K257" s="26">
        <v>3.12</v>
      </c>
      <c r="L257" s="26">
        <v>0</v>
      </c>
      <c r="M257" s="26">
        <v>20.93</v>
      </c>
      <c r="N257" s="26">
        <v>0</v>
      </c>
      <c r="O257" s="26">
        <v>0</v>
      </c>
      <c r="P257" s="26">
        <v>0</v>
      </c>
      <c r="Q257" s="26">
        <v>0</v>
      </c>
      <c r="R257" s="26">
        <v>0</v>
      </c>
      <c r="S257" s="26">
        <v>0</v>
      </c>
      <c r="T257" s="26">
        <v>5.32</v>
      </c>
      <c r="U257" s="26">
        <v>30.75</v>
      </c>
      <c r="V257" s="26">
        <v>28.21</v>
      </c>
      <c r="W257" s="26">
        <v>4.22</v>
      </c>
      <c r="X257" s="26">
        <v>0</v>
      </c>
      <c r="Y257" s="26">
        <v>0</v>
      </c>
      <c r="Z257" s="26">
        <v>0</v>
      </c>
      <c r="AM257" s="26">
        <v>15.8</v>
      </c>
      <c r="AN257" s="26">
        <v>1</v>
      </c>
      <c r="AO257" s="26">
        <v>35</v>
      </c>
      <c r="AP257" s="26">
        <v>4</v>
      </c>
      <c r="AQ257" s="26">
        <f>0.73*4</f>
        <v>2.92</v>
      </c>
      <c r="AR257" s="26">
        <v>3</v>
      </c>
      <c r="AS257" s="26">
        <v>23</v>
      </c>
      <c r="AT257" s="26">
        <v>1</v>
      </c>
      <c r="AU257" s="26">
        <v>0.06</v>
      </c>
      <c r="AV257" s="26">
        <v>3</v>
      </c>
      <c r="AY257" s="28"/>
      <c r="BQ257" s="26">
        <v>1</v>
      </c>
      <c r="BR257" s="26">
        <v>60</v>
      </c>
      <c r="BS257" s="26">
        <v>1</v>
      </c>
      <c r="BT257" s="26">
        <v>0.73</v>
      </c>
      <c r="BU257" s="26">
        <v>3</v>
      </c>
      <c r="BV257" s="26">
        <v>50</v>
      </c>
      <c r="BW257" s="26">
        <v>1</v>
      </c>
      <c r="BX257" s="26">
        <v>0.73</v>
      </c>
      <c r="BY257" s="26">
        <v>1</v>
      </c>
      <c r="BZ257" s="26">
        <v>40</v>
      </c>
      <c r="CA257" s="26">
        <v>1</v>
      </c>
      <c r="CB257" s="26">
        <v>0.73</v>
      </c>
      <c r="CC257" s="26">
        <v>6</v>
      </c>
      <c r="CD257" s="26">
        <v>50</v>
      </c>
      <c r="CE257" s="26">
        <v>1</v>
      </c>
      <c r="CF257" s="26">
        <v>0.19</v>
      </c>
      <c r="CG257" s="26">
        <v>3</v>
      </c>
      <c r="CH257" s="26">
        <v>70</v>
      </c>
      <c r="CI257" s="26">
        <v>3</v>
      </c>
      <c r="CJ257" s="26">
        <v>0.57999999999999996</v>
      </c>
      <c r="CK257" s="26">
        <v>3</v>
      </c>
      <c r="CL257" s="26">
        <v>50</v>
      </c>
      <c r="CM257" s="26">
        <v>1</v>
      </c>
      <c r="CN257" s="26">
        <v>0.28999999999999998</v>
      </c>
      <c r="CO257" s="26">
        <v>6</v>
      </c>
      <c r="DB257" s="27">
        <v>0</v>
      </c>
      <c r="DC257" s="27">
        <v>0</v>
      </c>
      <c r="DD257" s="27"/>
      <c r="DE257" s="27"/>
      <c r="DF257" s="27"/>
      <c r="DG257" s="27"/>
      <c r="DH257" s="27"/>
      <c r="DI257" s="27"/>
      <c r="DJ257" s="27"/>
      <c r="DK257" s="27"/>
      <c r="DL257" s="27"/>
      <c r="DM257" s="27">
        <v>0.26</v>
      </c>
      <c r="DN257" s="27">
        <v>0.26</v>
      </c>
      <c r="DO257" s="27"/>
      <c r="DP257" s="27"/>
      <c r="DQ257" s="27">
        <v>3.6</v>
      </c>
      <c r="DR257" s="27">
        <v>0.88</v>
      </c>
      <c r="DS257" s="27">
        <v>0</v>
      </c>
      <c r="DT257" s="26">
        <v>0</v>
      </c>
    </row>
    <row r="258" spans="1:124" s="26" customFormat="1" x14ac:dyDescent="0.2">
      <c r="A258" s="25">
        <v>42943</v>
      </c>
      <c r="B258" s="26" t="s">
        <v>303</v>
      </c>
      <c r="C258" s="26" t="s">
        <v>336</v>
      </c>
      <c r="D258" s="26" t="s">
        <v>342</v>
      </c>
      <c r="E258" s="26">
        <v>36</v>
      </c>
      <c r="F258" s="27">
        <v>71.400000000000006</v>
      </c>
      <c r="G258" s="27">
        <v>83.4</v>
      </c>
      <c r="H258" s="27">
        <v>17.2</v>
      </c>
      <c r="I258" s="26">
        <v>79.88</v>
      </c>
      <c r="J258" s="26">
        <v>0</v>
      </c>
      <c r="K258" s="26">
        <v>3.12</v>
      </c>
      <c r="L258" s="26">
        <v>0</v>
      </c>
      <c r="M258" s="26">
        <v>17</v>
      </c>
      <c r="N258" s="26">
        <v>0</v>
      </c>
      <c r="O258" s="26">
        <v>0</v>
      </c>
      <c r="P258" s="26">
        <v>0</v>
      </c>
      <c r="Q258" s="26">
        <v>0</v>
      </c>
      <c r="R258" s="26">
        <v>0</v>
      </c>
      <c r="S258" s="26">
        <v>0</v>
      </c>
      <c r="T258" s="26">
        <v>5.32</v>
      </c>
      <c r="U258" s="26">
        <v>31.86</v>
      </c>
      <c r="V258" s="26">
        <v>24.1</v>
      </c>
      <c r="W258" s="26">
        <v>2.02</v>
      </c>
      <c r="X258" s="26">
        <v>0</v>
      </c>
      <c r="Y258" s="26">
        <v>0</v>
      </c>
      <c r="Z258" s="26">
        <v>0</v>
      </c>
      <c r="AM258" s="26">
        <v>15.1</v>
      </c>
      <c r="AN258" s="26">
        <v>1</v>
      </c>
      <c r="AO258" s="26">
        <v>35</v>
      </c>
      <c r="AP258" s="26">
        <v>4</v>
      </c>
      <c r="AQ258" s="26">
        <f>0.73*4</f>
        <v>2.92</v>
      </c>
      <c r="AR258" s="26">
        <v>3</v>
      </c>
      <c r="AY258" s="28"/>
      <c r="BQ258" s="26">
        <v>1</v>
      </c>
      <c r="BR258" s="26">
        <v>50</v>
      </c>
      <c r="BS258" s="26">
        <v>2</v>
      </c>
      <c r="BT258" s="26">
        <f>0.73+0.19</f>
        <v>0.91999999999999993</v>
      </c>
      <c r="BU258" s="26">
        <v>3</v>
      </c>
      <c r="BV258" s="26">
        <v>50</v>
      </c>
      <c r="BW258" s="26">
        <v>1</v>
      </c>
      <c r="BX258" s="26">
        <v>0.73</v>
      </c>
      <c r="BY258" s="26">
        <v>1</v>
      </c>
      <c r="BZ258" s="26">
        <v>70</v>
      </c>
      <c r="CA258" s="26">
        <v>3</v>
      </c>
      <c r="CB258" s="26">
        <v>0.57999999999999996</v>
      </c>
      <c r="CC258" s="26">
        <v>3</v>
      </c>
      <c r="CD258" s="26">
        <v>40</v>
      </c>
      <c r="CE258" s="26">
        <v>1</v>
      </c>
      <c r="CF258" s="26">
        <v>1.65</v>
      </c>
      <c r="CG258" s="26">
        <v>6</v>
      </c>
      <c r="DB258" s="27">
        <v>0</v>
      </c>
      <c r="DC258" s="27">
        <v>0</v>
      </c>
      <c r="DD258" s="27"/>
      <c r="DE258" s="27"/>
      <c r="DF258" s="27"/>
      <c r="DG258" s="27"/>
      <c r="DH258" s="27"/>
      <c r="DI258" s="27"/>
      <c r="DJ258" s="27"/>
      <c r="DK258" s="27"/>
      <c r="DL258" s="27"/>
      <c r="DM258" s="27">
        <v>0</v>
      </c>
      <c r="DN258" s="27">
        <v>0</v>
      </c>
      <c r="DO258" s="27"/>
      <c r="DP258" s="27"/>
      <c r="DQ258" s="27">
        <v>3.6</v>
      </c>
      <c r="DR258" s="27">
        <v>0.88</v>
      </c>
      <c r="DS258" s="27">
        <v>0</v>
      </c>
      <c r="DT258" s="26">
        <v>0</v>
      </c>
    </row>
    <row r="259" spans="1:124" s="26" customFormat="1" x14ac:dyDescent="0.2">
      <c r="A259" s="25">
        <v>42943</v>
      </c>
      <c r="B259" s="26" t="s">
        <v>303</v>
      </c>
      <c r="C259" s="26" t="s">
        <v>336</v>
      </c>
      <c r="D259" s="26" t="s">
        <v>343</v>
      </c>
      <c r="E259" s="26">
        <v>38.5</v>
      </c>
      <c r="F259" s="27">
        <v>90.6</v>
      </c>
      <c r="G259" s="27">
        <v>83.4</v>
      </c>
      <c r="H259" s="27">
        <v>29.4</v>
      </c>
      <c r="I259" s="26">
        <v>59.08</v>
      </c>
      <c r="J259" s="26">
        <v>0</v>
      </c>
      <c r="K259" s="26">
        <v>0</v>
      </c>
      <c r="L259" s="26">
        <v>0</v>
      </c>
      <c r="M259" s="26">
        <v>40.92</v>
      </c>
      <c r="N259" s="26">
        <v>0</v>
      </c>
      <c r="O259" s="26">
        <v>0</v>
      </c>
      <c r="P259" s="26">
        <v>0</v>
      </c>
      <c r="Q259" s="26">
        <v>0</v>
      </c>
      <c r="R259" s="26">
        <v>0</v>
      </c>
      <c r="S259" s="26">
        <v>0</v>
      </c>
      <c r="T259" s="26">
        <v>3.67</v>
      </c>
      <c r="U259" s="26">
        <v>24.93</v>
      </c>
      <c r="V259" s="26">
        <v>39.44</v>
      </c>
      <c r="W259" s="26">
        <v>8.51</v>
      </c>
      <c r="X259" s="26">
        <v>0</v>
      </c>
      <c r="Y259" s="26">
        <v>0</v>
      </c>
      <c r="Z259" s="26">
        <v>0</v>
      </c>
      <c r="AM259" s="26">
        <v>3.7</v>
      </c>
      <c r="AN259" s="26">
        <v>1</v>
      </c>
      <c r="AO259" s="26">
        <v>34</v>
      </c>
      <c r="AP259" s="26">
        <v>2</v>
      </c>
      <c r="AQ259" s="26">
        <f>4.05</f>
        <v>4.05</v>
      </c>
      <c r="AR259" s="26">
        <v>1</v>
      </c>
      <c r="AY259" s="28"/>
      <c r="BQ259" s="26">
        <v>1</v>
      </c>
      <c r="BR259" s="26">
        <v>50</v>
      </c>
      <c r="BS259" s="26">
        <v>2</v>
      </c>
      <c r="BT259" s="26">
        <f>0.73*2</f>
        <v>1.46</v>
      </c>
      <c r="BU259" s="26">
        <v>6</v>
      </c>
      <c r="DB259" s="27">
        <v>4.96</v>
      </c>
      <c r="DC259" s="27">
        <v>1</v>
      </c>
      <c r="DD259" s="27">
        <v>2</v>
      </c>
      <c r="DE259" s="27"/>
      <c r="DF259" s="27">
        <f>7.34*2+0.65*4</f>
        <v>17.28</v>
      </c>
      <c r="DG259" s="27"/>
      <c r="DH259" s="27"/>
      <c r="DI259" s="27"/>
      <c r="DJ259" s="27"/>
      <c r="DK259" s="27"/>
      <c r="DL259" s="27"/>
      <c r="DM259" s="27">
        <v>0.19</v>
      </c>
      <c r="DN259" s="27">
        <v>0.19</v>
      </c>
      <c r="DO259" s="27"/>
      <c r="DP259" s="27"/>
      <c r="DQ259" s="27">
        <v>0</v>
      </c>
      <c r="DR259" s="27">
        <v>0</v>
      </c>
      <c r="DS259" s="27">
        <v>0</v>
      </c>
      <c r="DT259" s="26">
        <v>0</v>
      </c>
    </row>
    <row r="260" spans="1:124" s="26" customFormat="1" x14ac:dyDescent="0.2">
      <c r="A260" s="25">
        <v>42943</v>
      </c>
      <c r="B260" s="26" t="s">
        <v>303</v>
      </c>
      <c r="C260" s="26" t="s">
        <v>336</v>
      </c>
      <c r="D260" s="26" t="s">
        <v>344</v>
      </c>
      <c r="E260" s="26">
        <v>36</v>
      </c>
      <c r="F260" s="27">
        <v>94.1</v>
      </c>
      <c r="G260" s="27">
        <v>83.4</v>
      </c>
      <c r="H260" s="27">
        <v>25.8</v>
      </c>
      <c r="I260" s="26">
        <v>60.57</v>
      </c>
      <c r="J260" s="26">
        <v>0</v>
      </c>
      <c r="K260" s="26">
        <v>0</v>
      </c>
      <c r="L260" s="26">
        <v>0</v>
      </c>
      <c r="M260" s="26">
        <v>39.43</v>
      </c>
      <c r="N260" s="26">
        <v>0</v>
      </c>
      <c r="O260" s="26">
        <v>0</v>
      </c>
      <c r="P260" s="26">
        <v>0</v>
      </c>
      <c r="Q260" s="26">
        <v>0</v>
      </c>
      <c r="R260" s="26">
        <v>0</v>
      </c>
      <c r="S260" s="26">
        <v>0</v>
      </c>
      <c r="T260" s="26">
        <v>0</v>
      </c>
      <c r="U260" s="26">
        <v>30.64</v>
      </c>
      <c r="V260" s="26">
        <v>37.97</v>
      </c>
      <c r="W260" s="26">
        <v>4.59</v>
      </c>
      <c r="X260" s="26">
        <v>0</v>
      </c>
      <c r="Y260" s="26">
        <v>0</v>
      </c>
      <c r="Z260" s="26">
        <v>0</v>
      </c>
      <c r="AM260" s="26">
        <v>4.8</v>
      </c>
      <c r="AN260" s="26">
        <v>0</v>
      </c>
      <c r="AY260" s="28"/>
      <c r="BQ260" s="26">
        <v>1</v>
      </c>
      <c r="BR260" s="26">
        <v>50</v>
      </c>
      <c r="BS260" s="26">
        <v>3</v>
      </c>
      <c r="BT260" s="26">
        <f>0.73*3</f>
        <v>2.19</v>
      </c>
      <c r="BU260" s="26">
        <v>6</v>
      </c>
      <c r="DB260" s="27">
        <v>4.96</v>
      </c>
      <c r="DC260" s="27">
        <v>1</v>
      </c>
      <c r="DD260" s="27">
        <v>2</v>
      </c>
      <c r="DE260" s="27"/>
      <c r="DF260" s="27">
        <f>7.34*2+0.65*4</f>
        <v>17.28</v>
      </c>
      <c r="DG260" s="27"/>
      <c r="DH260" s="27"/>
      <c r="DI260" s="27"/>
      <c r="DJ260" s="27"/>
      <c r="DK260" s="27"/>
      <c r="DL260" s="27"/>
      <c r="DM260" s="27">
        <v>0</v>
      </c>
      <c r="DN260" s="27">
        <v>0</v>
      </c>
      <c r="DO260" s="27"/>
      <c r="DP260" s="27"/>
      <c r="DQ260" s="27">
        <v>0</v>
      </c>
      <c r="DR260" s="27">
        <v>0</v>
      </c>
      <c r="DS260" s="27">
        <v>0</v>
      </c>
      <c r="DT260" s="26">
        <v>0</v>
      </c>
    </row>
    <row r="261" spans="1:124" s="26" customFormat="1" x14ac:dyDescent="0.2">
      <c r="A261" s="25">
        <v>42943</v>
      </c>
      <c r="B261" s="26" t="s">
        <v>303</v>
      </c>
      <c r="C261" s="26" t="s">
        <v>345</v>
      </c>
      <c r="D261" s="26" t="s">
        <v>346</v>
      </c>
      <c r="E261" s="26">
        <v>38</v>
      </c>
      <c r="F261" s="27">
        <v>85.5</v>
      </c>
      <c r="G261" s="27">
        <v>83.4</v>
      </c>
      <c r="H261" s="27">
        <v>28.7</v>
      </c>
      <c r="I261" s="26">
        <v>61.84</v>
      </c>
      <c r="J261" s="26">
        <v>0</v>
      </c>
      <c r="K261" s="26">
        <v>0</v>
      </c>
      <c r="L261" s="26">
        <v>0</v>
      </c>
      <c r="M261" s="26">
        <v>37.42</v>
      </c>
      <c r="N261" s="26">
        <v>0</v>
      </c>
      <c r="O261" s="26">
        <v>0.73</v>
      </c>
      <c r="P261" s="26">
        <v>0</v>
      </c>
      <c r="Q261" s="26">
        <v>0</v>
      </c>
      <c r="R261" s="26">
        <v>0.74</v>
      </c>
      <c r="S261" s="26">
        <v>0</v>
      </c>
      <c r="T261" s="26">
        <v>7.34</v>
      </c>
      <c r="U261" s="26">
        <v>25.37</v>
      </c>
      <c r="V261" s="26">
        <v>15.03</v>
      </c>
      <c r="W261" s="26">
        <v>30.09</v>
      </c>
      <c r="X261" s="26">
        <v>0</v>
      </c>
      <c r="Y261" s="26">
        <v>0</v>
      </c>
      <c r="Z261" s="26">
        <v>0</v>
      </c>
      <c r="AM261" s="26">
        <v>1.7</v>
      </c>
      <c r="AN261" s="26">
        <v>0</v>
      </c>
      <c r="AY261" s="28"/>
      <c r="BQ261" s="26">
        <v>1</v>
      </c>
      <c r="BR261" s="26">
        <v>50</v>
      </c>
      <c r="BS261" s="26">
        <v>4</v>
      </c>
      <c r="BT261" s="26">
        <v>0.46</v>
      </c>
      <c r="BU261" s="26">
        <v>6</v>
      </c>
      <c r="BV261" s="26">
        <v>40</v>
      </c>
      <c r="BW261" s="26">
        <v>10</v>
      </c>
      <c r="BX261" s="26">
        <f>0.17*2+0.06+0.07</f>
        <v>0.47000000000000003</v>
      </c>
      <c r="BY261" s="26">
        <v>1</v>
      </c>
      <c r="BZ261" s="26">
        <v>40</v>
      </c>
      <c r="CA261" s="26">
        <v>10</v>
      </c>
      <c r="CB261" s="26">
        <f>0.17*2+0.07*2+0.03</f>
        <v>0.51</v>
      </c>
      <c r="CC261" s="26">
        <v>6</v>
      </c>
      <c r="CD261" s="26">
        <v>60</v>
      </c>
      <c r="CE261" s="26">
        <v>6</v>
      </c>
      <c r="CF261" s="26">
        <f>4.4*2+0.39*2+0.26</f>
        <v>9.84</v>
      </c>
      <c r="CG261" s="26">
        <v>3</v>
      </c>
      <c r="DB261" s="27">
        <v>1.55</v>
      </c>
      <c r="DC261" s="27">
        <v>1</v>
      </c>
      <c r="DD261" s="27">
        <v>1</v>
      </c>
      <c r="DE261" s="27"/>
      <c r="DF261" s="27">
        <f>1.65*2</f>
        <v>3.3</v>
      </c>
      <c r="DG261" s="27">
        <v>2</v>
      </c>
      <c r="DH261" s="27"/>
      <c r="DI261" s="27">
        <v>0.54</v>
      </c>
      <c r="DJ261" s="27"/>
      <c r="DK261" s="27"/>
      <c r="DL261" s="27"/>
      <c r="DM261" s="27">
        <v>5.74</v>
      </c>
      <c r="DN261" s="27">
        <v>3.64</v>
      </c>
      <c r="DO261" s="27"/>
      <c r="DP261" s="27"/>
      <c r="DQ261" s="27">
        <v>0</v>
      </c>
      <c r="DR261" s="27">
        <v>0</v>
      </c>
      <c r="DS261" s="27">
        <v>0</v>
      </c>
      <c r="DT261" s="26">
        <v>0</v>
      </c>
    </row>
    <row r="262" spans="1:124" s="26" customFormat="1" x14ac:dyDescent="0.2">
      <c r="A262" s="25">
        <v>42943</v>
      </c>
      <c r="B262" s="26" t="s">
        <v>303</v>
      </c>
      <c r="C262" s="26" t="s">
        <v>345</v>
      </c>
      <c r="D262" s="26" t="s">
        <v>347</v>
      </c>
      <c r="E262" s="26">
        <v>63.5</v>
      </c>
      <c r="F262" s="27">
        <v>98.9</v>
      </c>
      <c r="G262" s="27">
        <v>83.4</v>
      </c>
      <c r="H262" s="27">
        <v>51</v>
      </c>
      <c r="I262" s="26">
        <v>53.65</v>
      </c>
      <c r="J262" s="26">
        <v>0</v>
      </c>
      <c r="K262" s="26">
        <v>11.99</v>
      </c>
      <c r="L262" s="26">
        <v>24.1</v>
      </c>
      <c r="M262" s="26">
        <v>10.26</v>
      </c>
      <c r="N262" s="26">
        <v>0</v>
      </c>
      <c r="O262" s="26">
        <v>0</v>
      </c>
      <c r="P262" s="26">
        <v>0</v>
      </c>
      <c r="Q262" s="26">
        <v>0</v>
      </c>
      <c r="R262" s="26">
        <v>0</v>
      </c>
      <c r="S262" s="26">
        <v>0</v>
      </c>
      <c r="T262" s="26">
        <v>9.1</v>
      </c>
      <c r="U262" s="26">
        <v>26.31</v>
      </c>
      <c r="V262" s="26">
        <v>5.53</v>
      </c>
      <c r="W262" s="26">
        <v>0.94</v>
      </c>
      <c r="X262" s="26">
        <v>0</v>
      </c>
      <c r="Y262" s="26">
        <v>0</v>
      </c>
      <c r="Z262" s="26">
        <v>0</v>
      </c>
      <c r="AM262" s="26">
        <v>6.1</v>
      </c>
      <c r="AN262" s="26">
        <v>0</v>
      </c>
      <c r="AY262" s="28"/>
      <c r="BQ262" s="26">
        <v>1</v>
      </c>
      <c r="BR262" s="26">
        <v>50</v>
      </c>
      <c r="BS262" s="26">
        <v>1</v>
      </c>
      <c r="BT262" s="26">
        <v>0.39</v>
      </c>
      <c r="BU262" s="26">
        <v>3</v>
      </c>
      <c r="BV262" s="26">
        <v>50</v>
      </c>
      <c r="BW262" s="26">
        <v>2</v>
      </c>
      <c r="BX262" s="26">
        <f>0.19+0.23</f>
        <v>0.42000000000000004</v>
      </c>
      <c r="BY262" s="26">
        <v>4</v>
      </c>
      <c r="BZ262" s="26">
        <v>60</v>
      </c>
      <c r="CA262" s="26">
        <v>12</v>
      </c>
      <c r="CB262" s="26">
        <f>0.78*2</f>
        <v>1.56</v>
      </c>
      <c r="CC262" s="26">
        <v>6</v>
      </c>
      <c r="DB262" s="27">
        <v>5.39</v>
      </c>
      <c r="DC262" s="27">
        <v>1</v>
      </c>
      <c r="DD262" s="27">
        <v>1</v>
      </c>
      <c r="DE262" s="27"/>
      <c r="DF262" s="27">
        <f>2.04*3+0.36*2</f>
        <v>6.84</v>
      </c>
      <c r="DG262" s="27">
        <v>2</v>
      </c>
      <c r="DH262" s="27"/>
      <c r="DI262" s="27">
        <f>0.72*2+0.36</f>
        <v>1.7999999999999998</v>
      </c>
      <c r="DJ262" s="27">
        <v>3</v>
      </c>
      <c r="DK262" s="27"/>
      <c r="DL262" s="27">
        <v>0.5</v>
      </c>
      <c r="DM262" s="27">
        <v>0.94</v>
      </c>
      <c r="DN262" s="27">
        <v>0.94</v>
      </c>
      <c r="DO262" s="27"/>
      <c r="DP262" s="27"/>
      <c r="DQ262" s="27">
        <v>0</v>
      </c>
      <c r="DR262" s="27">
        <v>0</v>
      </c>
      <c r="DS262" s="27">
        <v>0</v>
      </c>
      <c r="DT262" s="26">
        <v>0</v>
      </c>
    </row>
    <row r="263" spans="1:124" s="26" customFormat="1" x14ac:dyDescent="0.2">
      <c r="A263" s="25">
        <v>42943</v>
      </c>
      <c r="B263" s="26" t="s">
        <v>303</v>
      </c>
      <c r="C263" s="26" t="s">
        <v>345</v>
      </c>
      <c r="D263" s="26" t="s">
        <v>348</v>
      </c>
      <c r="E263" s="26">
        <v>30.5</v>
      </c>
      <c r="F263" s="27">
        <v>69.11</v>
      </c>
      <c r="G263" s="27">
        <v>83.4</v>
      </c>
      <c r="H263" s="27">
        <v>18.100000000000001</v>
      </c>
      <c r="I263" s="26">
        <v>79.03</v>
      </c>
      <c r="J263" s="26">
        <v>0.45</v>
      </c>
      <c r="K263" s="26">
        <v>0</v>
      </c>
      <c r="L263" s="26">
        <v>0</v>
      </c>
      <c r="M263" s="26">
        <v>20.52</v>
      </c>
      <c r="N263" s="26">
        <v>0</v>
      </c>
      <c r="O263" s="26">
        <v>0</v>
      </c>
      <c r="P263" s="26">
        <v>0</v>
      </c>
      <c r="Q263" s="26">
        <v>0</v>
      </c>
      <c r="R263" s="26">
        <v>0</v>
      </c>
      <c r="S263" s="26">
        <v>0</v>
      </c>
      <c r="T263" s="26">
        <v>0</v>
      </c>
      <c r="U263" s="26">
        <v>12.58</v>
      </c>
      <c r="V263" s="26">
        <v>17.940000000000001</v>
      </c>
      <c r="W263" s="26">
        <v>18.04</v>
      </c>
      <c r="X263" s="26">
        <v>0</v>
      </c>
      <c r="Y263" s="26">
        <v>0</v>
      </c>
      <c r="Z263" s="26">
        <v>0</v>
      </c>
      <c r="AM263" s="26">
        <v>8.1</v>
      </c>
      <c r="AN263" s="26">
        <v>1</v>
      </c>
      <c r="AO263" s="26">
        <v>35</v>
      </c>
      <c r="AP263" s="26">
        <v>4</v>
      </c>
      <c r="AQ263" s="26">
        <f>2.2+0.39</f>
        <v>2.5900000000000003</v>
      </c>
      <c r="AR263" s="26">
        <v>3</v>
      </c>
      <c r="AY263" s="28"/>
      <c r="BQ263" s="26">
        <v>1</v>
      </c>
      <c r="BR263" s="26">
        <v>60</v>
      </c>
      <c r="BS263" s="26">
        <v>1</v>
      </c>
      <c r="BT263" s="26">
        <v>0.73</v>
      </c>
      <c r="BU263" s="26">
        <v>3</v>
      </c>
      <c r="DB263" s="27">
        <v>3.89</v>
      </c>
      <c r="DC263" s="27">
        <v>1</v>
      </c>
      <c r="DD263" s="27">
        <v>1</v>
      </c>
      <c r="DE263" s="27"/>
      <c r="DF263" s="27">
        <f>0.14*2+0.21*2</f>
        <v>0.7</v>
      </c>
      <c r="DG263" s="27">
        <v>2</v>
      </c>
      <c r="DH263" s="27"/>
      <c r="DI263" s="27">
        <f>1.65*2</f>
        <v>3.3</v>
      </c>
      <c r="DJ263" s="27"/>
      <c r="DK263" s="27"/>
      <c r="DL263" s="27"/>
      <c r="DM263" s="27">
        <v>0</v>
      </c>
      <c r="DN263" s="27">
        <v>0</v>
      </c>
      <c r="DO263" s="27"/>
      <c r="DP263" s="27"/>
      <c r="DQ263" s="27">
        <v>0</v>
      </c>
      <c r="DR263" s="27">
        <v>0</v>
      </c>
      <c r="DS263" s="27">
        <v>0</v>
      </c>
      <c r="DT263" s="26">
        <v>0</v>
      </c>
    </row>
    <row r="264" spans="1:124" s="26" customFormat="1" x14ac:dyDescent="0.2">
      <c r="A264" s="25">
        <v>42943</v>
      </c>
      <c r="B264" s="26" t="s">
        <v>303</v>
      </c>
      <c r="C264" s="26" t="s">
        <v>345</v>
      </c>
      <c r="D264" s="26" t="s">
        <v>349</v>
      </c>
      <c r="E264" s="26">
        <v>42.5</v>
      </c>
      <c r="F264" s="27">
        <v>92.2</v>
      </c>
      <c r="G264" s="27">
        <v>83.4</v>
      </c>
      <c r="H264" s="27">
        <v>33.5</v>
      </c>
      <c r="I264" s="26">
        <v>25.89</v>
      </c>
      <c r="J264" s="26">
        <v>0</v>
      </c>
      <c r="K264" s="26">
        <v>0</v>
      </c>
      <c r="L264" s="26">
        <v>0</v>
      </c>
      <c r="M264" s="26">
        <v>0</v>
      </c>
      <c r="N264" s="26">
        <v>0</v>
      </c>
      <c r="O264" s="26">
        <v>74.11</v>
      </c>
      <c r="P264" s="26">
        <v>25.43</v>
      </c>
      <c r="Q264" s="26">
        <v>9.7200000000000006</v>
      </c>
      <c r="R264" s="26">
        <v>2.94</v>
      </c>
      <c r="S264" s="26">
        <v>0</v>
      </c>
      <c r="T264" s="26">
        <v>11.38</v>
      </c>
      <c r="U264" s="26">
        <v>16.89</v>
      </c>
      <c r="V264" s="26">
        <v>27.26</v>
      </c>
      <c r="W264" s="26">
        <v>0</v>
      </c>
      <c r="X264" s="26">
        <v>0</v>
      </c>
      <c r="Y264" s="26">
        <v>0</v>
      </c>
      <c r="Z264" s="26">
        <v>0</v>
      </c>
      <c r="AM264" s="26">
        <v>3.6</v>
      </c>
      <c r="AN264" s="26">
        <v>1</v>
      </c>
      <c r="AO264" s="26">
        <v>35</v>
      </c>
      <c r="AP264" s="26">
        <v>6</v>
      </c>
      <c r="AQ264" s="26">
        <f>0.13*4</f>
        <v>0.52</v>
      </c>
      <c r="AR264" s="26">
        <v>3</v>
      </c>
      <c r="AS264" s="26">
        <v>25</v>
      </c>
      <c r="AT264" s="26">
        <v>2</v>
      </c>
      <c r="AU264" s="26">
        <f>0.13*2</f>
        <v>0.26</v>
      </c>
      <c r="AV264" s="26">
        <v>4</v>
      </c>
      <c r="AY264" s="28"/>
      <c r="BQ264" s="26">
        <v>0</v>
      </c>
      <c r="DB264" s="27">
        <v>3.01</v>
      </c>
      <c r="DC264" s="27">
        <v>1</v>
      </c>
      <c r="DD264" s="27">
        <v>1</v>
      </c>
      <c r="DE264" s="27"/>
      <c r="DF264" s="27">
        <f>1.65*5+0.13*2+0.36+0.18</f>
        <v>9.0499999999999989</v>
      </c>
      <c r="DG264" s="27"/>
      <c r="DH264" s="27"/>
      <c r="DI264" s="27"/>
      <c r="DJ264" s="27"/>
      <c r="DK264" s="27"/>
      <c r="DL264" s="27"/>
      <c r="DM264" s="27">
        <v>2.16</v>
      </c>
      <c r="DN264" s="27">
        <v>0.52</v>
      </c>
      <c r="DO264" s="27"/>
      <c r="DP264" s="27"/>
      <c r="DQ264" s="27">
        <v>0</v>
      </c>
      <c r="DR264" s="27">
        <v>0</v>
      </c>
      <c r="DS264" s="27">
        <v>0</v>
      </c>
      <c r="DT264" s="26">
        <v>0</v>
      </c>
    </row>
    <row r="265" spans="1:124" s="26" customFormat="1" x14ac:dyDescent="0.2">
      <c r="A265" s="25">
        <v>42943</v>
      </c>
      <c r="B265" s="26" t="s">
        <v>303</v>
      </c>
      <c r="C265" s="26" t="s">
        <v>345</v>
      </c>
      <c r="D265" s="26" t="s">
        <v>350</v>
      </c>
      <c r="E265" s="26">
        <v>37</v>
      </c>
      <c r="F265" s="27">
        <v>86.3</v>
      </c>
      <c r="G265" s="27">
        <v>83.4</v>
      </c>
      <c r="H265" s="27">
        <v>31.3</v>
      </c>
      <c r="I265" s="26">
        <v>24.09</v>
      </c>
      <c r="J265" s="26">
        <v>0</v>
      </c>
      <c r="K265" s="26">
        <v>0</v>
      </c>
      <c r="L265" s="26">
        <v>0</v>
      </c>
      <c r="M265" s="26">
        <v>0</v>
      </c>
      <c r="N265" s="26">
        <v>0</v>
      </c>
      <c r="O265" s="26">
        <v>75.91</v>
      </c>
      <c r="P265" s="26">
        <v>21.83</v>
      </c>
      <c r="Q265" s="26">
        <v>8.6300000000000008</v>
      </c>
      <c r="R265" s="26">
        <v>2.94</v>
      </c>
      <c r="S265" s="26">
        <v>0</v>
      </c>
      <c r="T265" s="26">
        <v>13.66</v>
      </c>
      <c r="U265" s="26">
        <v>10.54</v>
      </c>
      <c r="V265" s="26">
        <v>28.39</v>
      </c>
      <c r="W265" s="26">
        <v>0</v>
      </c>
      <c r="X265" s="26">
        <v>0</v>
      </c>
      <c r="Y265" s="26">
        <v>0</v>
      </c>
      <c r="Z265" s="26">
        <v>0</v>
      </c>
      <c r="AM265" s="26">
        <v>2.7</v>
      </c>
      <c r="AN265" s="26">
        <v>1</v>
      </c>
      <c r="AO265" s="26">
        <v>52</v>
      </c>
      <c r="AP265" s="26">
        <v>1</v>
      </c>
      <c r="AQ265" s="26">
        <v>0.39</v>
      </c>
      <c r="AR265" s="26">
        <v>2</v>
      </c>
      <c r="AS265" s="26">
        <v>35</v>
      </c>
      <c r="AT265" s="26">
        <v>4</v>
      </c>
      <c r="AU265" s="26">
        <v>0.26</v>
      </c>
      <c r="AV265" s="26">
        <v>3</v>
      </c>
      <c r="AY265" s="28"/>
      <c r="BQ265" s="26">
        <v>0</v>
      </c>
      <c r="DB265" s="27">
        <v>2.83</v>
      </c>
      <c r="DC265" s="27">
        <v>1</v>
      </c>
      <c r="DD265" s="27">
        <v>1</v>
      </c>
      <c r="DE265" s="27"/>
      <c r="DF265" s="27">
        <f>1.65*5</f>
        <v>8.25</v>
      </c>
      <c r="DG265" s="27"/>
      <c r="DH265" s="27"/>
      <c r="DI265" s="27"/>
      <c r="DJ265" s="27"/>
      <c r="DK265" s="27"/>
      <c r="DL265" s="27"/>
      <c r="DM265" s="27">
        <v>0</v>
      </c>
      <c r="DN265" s="27">
        <v>0</v>
      </c>
      <c r="DO265" s="27"/>
      <c r="DP265" s="27"/>
      <c r="DQ265" s="27">
        <v>0</v>
      </c>
      <c r="DR265" s="27">
        <v>0</v>
      </c>
      <c r="DS265" s="27">
        <v>0</v>
      </c>
      <c r="DT265" s="26">
        <v>0</v>
      </c>
    </row>
    <row r="266" spans="1:124" s="26" customFormat="1" x14ac:dyDescent="0.2">
      <c r="A266" s="25">
        <v>42943</v>
      </c>
      <c r="B266" s="26" t="s">
        <v>303</v>
      </c>
      <c r="C266" s="26" t="s">
        <v>345</v>
      </c>
      <c r="D266" s="26" t="s">
        <v>351</v>
      </c>
      <c r="E266" s="26">
        <v>43.5</v>
      </c>
      <c r="F266" s="27">
        <v>73.8</v>
      </c>
      <c r="G266" s="27">
        <v>83.4</v>
      </c>
      <c r="H266" s="27">
        <v>26.5</v>
      </c>
      <c r="I266" s="26">
        <v>20.2</v>
      </c>
      <c r="J266" s="26">
        <v>0</v>
      </c>
      <c r="K266" s="26">
        <v>26.95</v>
      </c>
      <c r="L266" s="26">
        <v>0</v>
      </c>
      <c r="M266" s="26">
        <v>0.39</v>
      </c>
      <c r="N266" s="26">
        <v>0</v>
      </c>
      <c r="O266" s="26">
        <v>79.41</v>
      </c>
      <c r="P266" s="26">
        <v>26.95</v>
      </c>
      <c r="Q266" s="26">
        <v>0</v>
      </c>
      <c r="R266" s="26">
        <v>0</v>
      </c>
      <c r="S266" s="26">
        <v>0</v>
      </c>
      <c r="T266" s="26">
        <v>35.200000000000003</v>
      </c>
      <c r="U266" s="26">
        <v>15.96</v>
      </c>
      <c r="V266" s="26">
        <v>39.090000000000003</v>
      </c>
      <c r="W266" s="26">
        <v>0.32</v>
      </c>
      <c r="X266" s="26">
        <v>0</v>
      </c>
      <c r="Y266" s="26">
        <v>0</v>
      </c>
      <c r="Z266" s="26">
        <v>0</v>
      </c>
      <c r="AM266" s="26">
        <v>14.4</v>
      </c>
      <c r="AN266" s="26">
        <v>1</v>
      </c>
      <c r="AO266" s="26">
        <v>30</v>
      </c>
      <c r="AP266" s="26">
        <v>5</v>
      </c>
      <c r="AQ266" s="26">
        <f>2.94+0.6</f>
        <v>3.54</v>
      </c>
      <c r="AR266" s="26">
        <v>3</v>
      </c>
      <c r="AS266" s="26">
        <v>34</v>
      </c>
      <c r="AT266" s="26">
        <v>1</v>
      </c>
      <c r="AU266" s="26">
        <v>1.65</v>
      </c>
      <c r="AV266" s="26">
        <v>1</v>
      </c>
      <c r="AW266" s="26">
        <v>52</v>
      </c>
      <c r="AX266" s="26">
        <v>6</v>
      </c>
      <c r="AY266" s="28">
        <f>0.7+0.77+0.08+0.05</f>
        <v>1.6</v>
      </c>
      <c r="AZ266" s="26">
        <v>2</v>
      </c>
      <c r="BA266" s="26">
        <v>35</v>
      </c>
      <c r="BB266" s="26">
        <v>1</v>
      </c>
      <c r="BC266" s="26">
        <v>0.19</v>
      </c>
      <c r="BD266" s="26">
        <v>3</v>
      </c>
      <c r="BE266" s="26">
        <v>23</v>
      </c>
      <c r="BF266" s="26">
        <v>3</v>
      </c>
      <c r="BG266" s="26">
        <f>0.39+0.77</f>
        <v>1.1600000000000001</v>
      </c>
      <c r="BH266" s="26">
        <v>3</v>
      </c>
      <c r="BQ266" s="26">
        <v>0</v>
      </c>
      <c r="DB266" s="27">
        <v>1.22</v>
      </c>
      <c r="DC266" s="27">
        <v>1</v>
      </c>
      <c r="DD266" s="27">
        <v>1</v>
      </c>
      <c r="DE266" s="27"/>
      <c r="DF266" s="27">
        <f>0.97*2+1.07*2</f>
        <v>4.08</v>
      </c>
      <c r="DG266" s="27"/>
      <c r="DH266" s="27"/>
      <c r="DI266" s="27"/>
      <c r="DJ266" s="27"/>
      <c r="DK266" s="27"/>
      <c r="DL266" s="27"/>
      <c r="DM266" s="27">
        <v>0</v>
      </c>
      <c r="DN266" s="27">
        <v>0</v>
      </c>
      <c r="DO266" s="27"/>
      <c r="DP266" s="27"/>
      <c r="DQ266" s="27">
        <v>0</v>
      </c>
      <c r="DR266" s="27">
        <v>0</v>
      </c>
      <c r="DS266" s="27">
        <v>1.22</v>
      </c>
      <c r="DT266" s="26">
        <v>0</v>
      </c>
    </row>
    <row r="267" spans="1:124" s="26" customFormat="1" x14ac:dyDescent="0.2">
      <c r="A267" s="25">
        <v>42943</v>
      </c>
      <c r="B267" s="26" t="s">
        <v>303</v>
      </c>
      <c r="C267" s="26" t="s">
        <v>345</v>
      </c>
      <c r="D267" s="26" t="s">
        <v>352</v>
      </c>
      <c r="E267" s="26">
        <v>33.5</v>
      </c>
      <c r="F267" s="27">
        <v>92.3</v>
      </c>
      <c r="G267" s="27">
        <v>83.4</v>
      </c>
      <c r="H267" s="27">
        <v>19.8</v>
      </c>
      <c r="I267" s="26">
        <v>72.02</v>
      </c>
      <c r="J267" s="26">
        <v>2.2000000000000002</v>
      </c>
      <c r="K267" s="26">
        <v>7.75</v>
      </c>
      <c r="L267" s="26">
        <v>0</v>
      </c>
      <c r="M267" s="26">
        <v>5.49</v>
      </c>
      <c r="N267" s="26">
        <v>0</v>
      </c>
      <c r="O267" s="26">
        <v>6.84</v>
      </c>
      <c r="P267" s="26">
        <v>0</v>
      </c>
      <c r="Q267" s="26">
        <v>0</v>
      </c>
      <c r="R267" s="26">
        <v>0</v>
      </c>
      <c r="S267" s="26">
        <v>0</v>
      </c>
      <c r="T267" s="26">
        <v>7.13</v>
      </c>
      <c r="U267" s="26">
        <v>54.84</v>
      </c>
      <c r="V267" s="26">
        <v>10.130000000000001</v>
      </c>
      <c r="W267" s="26">
        <v>3.36</v>
      </c>
      <c r="X267" s="26">
        <v>5.7</v>
      </c>
      <c r="Y267" s="26">
        <v>0</v>
      </c>
      <c r="Z267" s="26">
        <v>0</v>
      </c>
      <c r="AI267" s="26">
        <v>2</v>
      </c>
      <c r="AM267" s="26">
        <v>3.4</v>
      </c>
      <c r="AN267" s="26">
        <v>1</v>
      </c>
      <c r="AO267" s="26">
        <v>34</v>
      </c>
      <c r="AP267" s="26">
        <v>1</v>
      </c>
      <c r="AQ267" s="26">
        <v>1.28</v>
      </c>
      <c r="AR267" s="26">
        <v>1</v>
      </c>
      <c r="AS267" s="26">
        <v>52</v>
      </c>
      <c r="AT267" s="26">
        <v>1</v>
      </c>
      <c r="AU267" s="26">
        <v>0.73</v>
      </c>
      <c r="AV267" s="26">
        <v>2</v>
      </c>
      <c r="AW267" s="26">
        <v>30</v>
      </c>
      <c r="AX267" s="26">
        <v>1</v>
      </c>
      <c r="AY267" s="28">
        <v>0.13</v>
      </c>
      <c r="AZ267" s="26">
        <v>3</v>
      </c>
      <c r="BQ267" s="26">
        <v>1</v>
      </c>
      <c r="BR267" s="26">
        <v>40</v>
      </c>
      <c r="BS267" s="26">
        <v>1</v>
      </c>
      <c r="BT267" s="26">
        <v>1.83</v>
      </c>
      <c r="BU267" s="26">
        <v>6</v>
      </c>
      <c r="BV267" s="26">
        <v>40</v>
      </c>
      <c r="BW267" s="26">
        <v>1</v>
      </c>
      <c r="BX267" s="26">
        <v>1.65</v>
      </c>
      <c r="BY267" s="26">
        <v>3</v>
      </c>
      <c r="BZ267" s="26">
        <v>40</v>
      </c>
      <c r="CA267" s="26">
        <v>1</v>
      </c>
      <c r="CB267" s="26">
        <v>1.83</v>
      </c>
      <c r="CC267" s="26">
        <v>4</v>
      </c>
      <c r="CD267" s="26">
        <v>40</v>
      </c>
      <c r="CE267" s="26">
        <v>4</v>
      </c>
      <c r="CF267" s="26">
        <v>0.26</v>
      </c>
      <c r="CG267" s="26">
        <v>1</v>
      </c>
      <c r="DB267" s="27">
        <v>3.89</v>
      </c>
      <c r="DC267" s="27">
        <v>1</v>
      </c>
      <c r="DD267" s="27">
        <v>1</v>
      </c>
      <c r="DE267" s="27"/>
      <c r="DF267" s="27">
        <f>0.36*2</f>
        <v>0.72</v>
      </c>
      <c r="DG267" s="27">
        <v>2</v>
      </c>
      <c r="DH267" s="27"/>
      <c r="DI267" s="27">
        <f>2.04*2</f>
        <v>4.08</v>
      </c>
      <c r="DJ267" s="27"/>
      <c r="DK267" s="27"/>
      <c r="DL267" s="27"/>
      <c r="DM267" s="27">
        <v>3.27</v>
      </c>
      <c r="DN267" s="27">
        <v>2.46</v>
      </c>
      <c r="DO267" s="27"/>
      <c r="DP267" s="27"/>
      <c r="DQ267" s="27">
        <v>2.88</v>
      </c>
      <c r="DR267" s="27">
        <v>4.1399999999999997</v>
      </c>
      <c r="DS267" s="27">
        <v>0</v>
      </c>
      <c r="DT267" s="26">
        <v>0</v>
      </c>
    </row>
    <row r="268" spans="1:124" s="26" customFormat="1" x14ac:dyDescent="0.2">
      <c r="A268" s="25">
        <v>42943</v>
      </c>
      <c r="B268" s="26" t="s">
        <v>303</v>
      </c>
      <c r="C268" s="26" t="s">
        <v>345</v>
      </c>
      <c r="D268" s="26" t="s">
        <v>353</v>
      </c>
      <c r="E268" s="26">
        <v>44.5</v>
      </c>
      <c r="F268" s="27">
        <v>101.7</v>
      </c>
      <c r="G268" s="27">
        <v>83.4</v>
      </c>
      <c r="H268" s="27">
        <v>22.5</v>
      </c>
      <c r="I268" s="26">
        <v>75.78</v>
      </c>
      <c r="J268" s="26">
        <v>0</v>
      </c>
      <c r="K268" s="26">
        <v>2.04</v>
      </c>
      <c r="L268" s="26">
        <v>0</v>
      </c>
      <c r="M268" s="26">
        <v>8.57</v>
      </c>
      <c r="N268" s="26">
        <v>0</v>
      </c>
      <c r="O268" s="26">
        <v>2.21</v>
      </c>
      <c r="P268" s="26">
        <v>0</v>
      </c>
      <c r="Q268" s="26">
        <v>1.1000000000000001</v>
      </c>
      <c r="R268" s="26">
        <v>0</v>
      </c>
      <c r="S268" s="26">
        <v>0</v>
      </c>
      <c r="T268" s="26">
        <v>1.61</v>
      </c>
      <c r="U268" s="26">
        <v>54.76</v>
      </c>
      <c r="V268" s="26">
        <v>16</v>
      </c>
      <c r="W268" s="26">
        <v>6.05</v>
      </c>
      <c r="X268" s="26">
        <v>10.83</v>
      </c>
      <c r="Y268" s="26">
        <v>10.1</v>
      </c>
      <c r="Z268" s="26">
        <v>1</v>
      </c>
      <c r="AA268" s="26">
        <v>2</v>
      </c>
      <c r="AC268" s="26">
        <v>3</v>
      </c>
      <c r="AD268" s="26">
        <v>5</v>
      </c>
      <c r="AF268" s="26">
        <v>1</v>
      </c>
      <c r="AG268" s="26">
        <v>3</v>
      </c>
      <c r="AI268" s="26">
        <v>1</v>
      </c>
      <c r="AM268" s="26">
        <v>3</v>
      </c>
      <c r="AN268" s="26">
        <v>1</v>
      </c>
      <c r="AO268" s="26">
        <v>52</v>
      </c>
      <c r="AP268" s="26">
        <v>1</v>
      </c>
      <c r="AQ268" s="26">
        <v>0.73</v>
      </c>
      <c r="AR268" s="26">
        <v>2</v>
      </c>
      <c r="AS268" s="26">
        <v>34</v>
      </c>
      <c r="AT268" s="26">
        <v>1</v>
      </c>
      <c r="AU268" s="26">
        <v>1.28</v>
      </c>
      <c r="AV268" s="26">
        <v>1</v>
      </c>
      <c r="AY268" s="28"/>
      <c r="BQ268" s="26">
        <v>1</v>
      </c>
      <c r="BR268" s="26">
        <v>40</v>
      </c>
      <c r="BS268" s="26">
        <v>1</v>
      </c>
      <c r="BT268" s="26">
        <v>1.83</v>
      </c>
      <c r="BU268" s="26">
        <v>6</v>
      </c>
      <c r="BV268" s="26">
        <v>40</v>
      </c>
      <c r="BW268" s="26">
        <v>1</v>
      </c>
      <c r="BX268" s="26">
        <v>1.65</v>
      </c>
      <c r="BY268" s="26">
        <v>3</v>
      </c>
      <c r="BZ268" s="26">
        <v>40</v>
      </c>
      <c r="CA268" s="26">
        <v>3</v>
      </c>
      <c r="CB268" s="26">
        <f>0.26+1.83</f>
        <v>2.09</v>
      </c>
      <c r="CC268" s="26">
        <v>4</v>
      </c>
      <c r="DB268" s="27">
        <v>3.87</v>
      </c>
      <c r="DC268" s="27">
        <v>1</v>
      </c>
      <c r="DD268" s="27">
        <v>1</v>
      </c>
      <c r="DE268" s="27"/>
      <c r="DF268" s="27">
        <f>0.46*2+0.08</f>
        <v>1</v>
      </c>
      <c r="DG268" s="27">
        <v>2</v>
      </c>
      <c r="DH268" s="27"/>
      <c r="DI268" s="27">
        <f>4.08</f>
        <v>4.08</v>
      </c>
      <c r="DJ268" s="27"/>
      <c r="DK268" s="27"/>
      <c r="DL268" s="27"/>
      <c r="DM268" s="27">
        <v>2.2000000000000002</v>
      </c>
      <c r="DN268" s="27">
        <v>2.2000000000000002</v>
      </c>
      <c r="DO268" s="27"/>
      <c r="DP268" s="27"/>
      <c r="DQ268" s="27">
        <v>2.88</v>
      </c>
      <c r="DR268" s="27">
        <v>3.04</v>
      </c>
      <c r="DS268" s="27">
        <v>0</v>
      </c>
      <c r="DT268" s="26">
        <v>0</v>
      </c>
    </row>
    <row r="269" spans="1:124" s="26" customFormat="1" x14ac:dyDescent="0.2">
      <c r="A269" s="25">
        <v>42944</v>
      </c>
      <c r="B269" s="26" t="s">
        <v>303</v>
      </c>
      <c r="C269" s="26" t="s">
        <v>345</v>
      </c>
      <c r="D269" s="26" t="s">
        <v>354</v>
      </c>
      <c r="E269" s="26">
        <v>40</v>
      </c>
      <c r="F269" s="27">
        <v>78.099999999999994</v>
      </c>
      <c r="G269" s="27">
        <v>83.4</v>
      </c>
      <c r="H269" s="27">
        <v>34.6</v>
      </c>
      <c r="I269" s="26">
        <v>66.599999999999994</v>
      </c>
      <c r="J269" s="26">
        <v>0</v>
      </c>
      <c r="K269" s="26">
        <v>18.54</v>
      </c>
      <c r="L269" s="26">
        <v>7.52</v>
      </c>
      <c r="M269" s="26">
        <v>0</v>
      </c>
      <c r="N269" s="26">
        <v>0</v>
      </c>
      <c r="O269" s="26">
        <v>0</v>
      </c>
      <c r="P269" s="26">
        <v>0</v>
      </c>
      <c r="Q269" s="26">
        <v>0</v>
      </c>
      <c r="R269" s="26">
        <v>0</v>
      </c>
      <c r="S269" s="26">
        <v>0</v>
      </c>
      <c r="T269" s="26">
        <v>0</v>
      </c>
      <c r="U269" s="26">
        <v>28.45</v>
      </c>
      <c r="V269" s="26">
        <v>20.45</v>
      </c>
      <c r="W269" s="26">
        <v>0.01</v>
      </c>
      <c r="X269" s="26">
        <v>7.34</v>
      </c>
      <c r="Y269" s="26">
        <v>0</v>
      </c>
      <c r="Z269" s="26">
        <v>0</v>
      </c>
      <c r="AM269" s="26">
        <v>0</v>
      </c>
      <c r="AN269" s="26">
        <v>0</v>
      </c>
      <c r="AY269" s="28"/>
      <c r="BQ269" s="26">
        <v>1</v>
      </c>
      <c r="BR269" s="26">
        <v>40</v>
      </c>
      <c r="BS269" s="26">
        <v>1</v>
      </c>
      <c r="BT269" s="26">
        <v>0.73</v>
      </c>
      <c r="BU269" s="26">
        <v>3</v>
      </c>
      <c r="DB269" s="27">
        <v>1.22</v>
      </c>
      <c r="DC269" s="27">
        <v>1</v>
      </c>
      <c r="DD269" s="27">
        <v>1</v>
      </c>
      <c r="DE269" s="27"/>
      <c r="DF269" s="27">
        <f>1.65+3.3</f>
        <v>4.9499999999999993</v>
      </c>
      <c r="DG269" s="27"/>
      <c r="DH269" s="27"/>
      <c r="DI269" s="27"/>
      <c r="DJ269" s="27"/>
      <c r="DK269" s="27"/>
      <c r="DL269" s="27"/>
      <c r="DM269" s="27">
        <v>1.1000000000000001</v>
      </c>
      <c r="DN269" s="27">
        <v>1.1000000000000001</v>
      </c>
      <c r="DO269" s="27"/>
      <c r="DP269" s="27"/>
      <c r="DQ269" s="27">
        <v>2.88</v>
      </c>
      <c r="DR269" s="27">
        <v>6.79</v>
      </c>
      <c r="DS269" s="27">
        <v>0</v>
      </c>
      <c r="DT269" s="26">
        <v>0</v>
      </c>
    </row>
    <row r="270" spans="1:124" s="26" customFormat="1" x14ac:dyDescent="0.2">
      <c r="A270" s="25">
        <v>42944</v>
      </c>
      <c r="B270" s="26" t="s">
        <v>303</v>
      </c>
      <c r="C270" s="26" t="s">
        <v>345</v>
      </c>
      <c r="D270" s="26" t="s">
        <v>355</v>
      </c>
      <c r="E270" s="26">
        <v>34.5</v>
      </c>
      <c r="F270" s="27">
        <v>62.2</v>
      </c>
      <c r="G270" s="27">
        <v>83.4</v>
      </c>
      <c r="H270" s="27">
        <v>29.9</v>
      </c>
      <c r="I270" s="26">
        <v>73.95</v>
      </c>
      <c r="J270" s="26">
        <v>0</v>
      </c>
      <c r="K270" s="26">
        <v>18.53</v>
      </c>
      <c r="L270" s="26">
        <v>7.52</v>
      </c>
      <c r="M270" s="26">
        <v>0</v>
      </c>
      <c r="N270" s="26">
        <v>0</v>
      </c>
      <c r="O270" s="26">
        <v>0</v>
      </c>
      <c r="P270" s="26">
        <v>0</v>
      </c>
      <c r="Q270" s="26">
        <v>0</v>
      </c>
      <c r="R270" s="26">
        <v>0</v>
      </c>
      <c r="S270" s="26">
        <v>0</v>
      </c>
      <c r="T270" s="26">
        <v>0</v>
      </c>
      <c r="U270" s="26">
        <v>11.93</v>
      </c>
      <c r="V270" s="26">
        <v>21.11</v>
      </c>
      <c r="W270" s="26">
        <v>0</v>
      </c>
      <c r="X270" s="26">
        <v>0</v>
      </c>
      <c r="Y270" s="26">
        <v>0</v>
      </c>
      <c r="Z270" s="26">
        <v>0</v>
      </c>
      <c r="AM270" s="26">
        <v>0</v>
      </c>
      <c r="AN270" s="26">
        <v>0</v>
      </c>
      <c r="AY270" s="28"/>
      <c r="BQ270" s="26">
        <v>1</v>
      </c>
      <c r="BR270" s="26">
        <v>40</v>
      </c>
      <c r="BS270" s="26">
        <v>1</v>
      </c>
      <c r="BT270" s="26">
        <v>0.73</v>
      </c>
      <c r="BU270" s="26">
        <v>3</v>
      </c>
      <c r="DB270" s="27">
        <v>0.61</v>
      </c>
      <c r="DC270" s="27">
        <v>1</v>
      </c>
      <c r="DD270" s="27">
        <v>1</v>
      </c>
      <c r="DE270" s="27"/>
      <c r="DF270" s="27">
        <v>3.3</v>
      </c>
      <c r="DG270" s="27"/>
      <c r="DH270" s="27"/>
      <c r="DI270" s="27"/>
      <c r="DJ270" s="27"/>
      <c r="DK270" s="27"/>
      <c r="DL270" s="27"/>
      <c r="DM270" s="27">
        <v>1.1000000000000001</v>
      </c>
      <c r="DN270" s="27">
        <v>1.1000000000000001</v>
      </c>
      <c r="DO270" s="27"/>
      <c r="DP270" s="27"/>
      <c r="DQ270" s="27">
        <v>2.88</v>
      </c>
      <c r="DR270" s="27">
        <v>5.69</v>
      </c>
      <c r="DS270" s="27">
        <v>0</v>
      </c>
      <c r="DT270" s="26">
        <v>0</v>
      </c>
    </row>
    <row r="271" spans="1:124" s="26" customFormat="1" x14ac:dyDescent="0.2">
      <c r="A271" s="25">
        <v>42944</v>
      </c>
      <c r="B271" s="26" t="s">
        <v>303</v>
      </c>
      <c r="C271" s="26" t="s">
        <v>345</v>
      </c>
      <c r="D271" s="26" t="s">
        <v>356</v>
      </c>
      <c r="E271" s="26">
        <v>43.5</v>
      </c>
      <c r="F271" s="27">
        <v>66.400000000000006</v>
      </c>
      <c r="G271" s="27">
        <v>83.4</v>
      </c>
      <c r="H271" s="27">
        <v>16.5</v>
      </c>
      <c r="I271" s="26">
        <v>78.510000000000005</v>
      </c>
      <c r="J271" s="26">
        <v>0</v>
      </c>
      <c r="K271" s="26">
        <v>0</v>
      </c>
      <c r="L271" s="26">
        <v>0.19</v>
      </c>
      <c r="M271" s="26">
        <v>6.28</v>
      </c>
      <c r="N271" s="26">
        <v>0</v>
      </c>
      <c r="O271" s="26">
        <v>7.67</v>
      </c>
      <c r="P271" s="26">
        <v>5.27</v>
      </c>
      <c r="Q271" s="26">
        <v>0</v>
      </c>
      <c r="R271" s="26">
        <v>0</v>
      </c>
      <c r="S271" s="26">
        <v>0</v>
      </c>
      <c r="T271" s="26">
        <v>7.48</v>
      </c>
      <c r="U271" s="26">
        <v>24.58</v>
      </c>
      <c r="V271" s="26">
        <v>13.75</v>
      </c>
      <c r="W271" s="26">
        <v>0</v>
      </c>
      <c r="X271" s="26">
        <v>7.34</v>
      </c>
      <c r="Y271" s="26">
        <v>0</v>
      </c>
      <c r="Z271" s="26">
        <v>0</v>
      </c>
      <c r="AM271" s="26">
        <v>4.9000000000000004</v>
      </c>
      <c r="AN271" s="26">
        <v>1</v>
      </c>
      <c r="AO271" s="26">
        <v>35</v>
      </c>
      <c r="AP271" s="26">
        <v>2</v>
      </c>
      <c r="AQ271" s="26">
        <f>0.42+0.07</f>
        <v>0.49</v>
      </c>
      <c r="AR271" s="26">
        <v>3</v>
      </c>
      <c r="AS271" s="26">
        <v>26</v>
      </c>
      <c r="AT271" s="26">
        <v>2</v>
      </c>
      <c r="AU271" s="26">
        <v>0.12</v>
      </c>
      <c r="AV271" s="26">
        <v>2</v>
      </c>
      <c r="AW271" s="26">
        <v>52</v>
      </c>
      <c r="AX271" s="26">
        <v>1</v>
      </c>
      <c r="AY271" s="28">
        <v>0.08</v>
      </c>
      <c r="AZ271" s="26">
        <v>2</v>
      </c>
      <c r="BQ271" s="26">
        <v>1</v>
      </c>
      <c r="BR271" s="26">
        <v>60</v>
      </c>
      <c r="BS271" s="26">
        <v>5</v>
      </c>
      <c r="BT271" s="26">
        <f>0.13+0.42+0.03+0.07+0.19</f>
        <v>0.84000000000000008</v>
      </c>
      <c r="BU271" s="26">
        <v>1</v>
      </c>
      <c r="BV271" s="26">
        <v>50</v>
      </c>
      <c r="BW271" s="26">
        <v>1</v>
      </c>
      <c r="BX271" s="26">
        <v>0.19</v>
      </c>
      <c r="BY271" s="26">
        <v>1</v>
      </c>
      <c r="DB271" s="27">
        <v>7.37</v>
      </c>
      <c r="DC271" s="27">
        <v>1</v>
      </c>
      <c r="DD271" s="27">
        <v>1</v>
      </c>
      <c r="DE271" s="27"/>
      <c r="DF271" s="27">
        <v>1.65</v>
      </c>
      <c r="DG271" s="27">
        <v>2</v>
      </c>
      <c r="DH271" s="27"/>
      <c r="DI271" s="27">
        <f>2.04*4</f>
        <v>8.16</v>
      </c>
      <c r="DJ271" s="27"/>
      <c r="DK271" s="27"/>
      <c r="DL271" s="27"/>
      <c r="DM271" s="27">
        <v>10.69</v>
      </c>
      <c r="DN271" s="27">
        <v>10.8</v>
      </c>
      <c r="DO271" s="27"/>
      <c r="DP271" s="27"/>
      <c r="DQ271" s="27">
        <v>3.6</v>
      </c>
      <c r="DR271" s="27">
        <v>1.1000000000000001</v>
      </c>
      <c r="DS271" s="27">
        <v>0</v>
      </c>
      <c r="DT271" s="26">
        <v>0</v>
      </c>
    </row>
    <row r="272" spans="1:124" s="26" customFormat="1" x14ac:dyDescent="0.2">
      <c r="A272" s="25">
        <v>42944</v>
      </c>
      <c r="B272" s="26" t="s">
        <v>303</v>
      </c>
      <c r="C272" s="26" t="s">
        <v>345</v>
      </c>
      <c r="D272" s="26" t="s">
        <v>357</v>
      </c>
      <c r="E272" s="26">
        <v>34</v>
      </c>
      <c r="F272" s="27">
        <v>59.4</v>
      </c>
      <c r="G272" s="27">
        <v>83.4</v>
      </c>
      <c r="H272" s="27">
        <v>9.1</v>
      </c>
      <c r="I272" s="26">
        <v>92.63</v>
      </c>
      <c r="J272" s="26">
        <v>0</v>
      </c>
      <c r="K272" s="26">
        <v>0.36</v>
      </c>
      <c r="L272" s="26">
        <v>0</v>
      </c>
      <c r="M272" s="26">
        <v>7.01</v>
      </c>
      <c r="N272" s="26">
        <v>0</v>
      </c>
      <c r="O272" s="26">
        <v>0</v>
      </c>
      <c r="P272" s="26">
        <v>0</v>
      </c>
      <c r="Q272" s="26">
        <v>0</v>
      </c>
      <c r="R272" s="26">
        <v>0</v>
      </c>
      <c r="S272" s="26">
        <v>0</v>
      </c>
      <c r="T272" s="26">
        <v>0</v>
      </c>
      <c r="U272" s="26">
        <v>16.010000000000002</v>
      </c>
      <c r="V272" s="26">
        <v>17.149999999999999</v>
      </c>
      <c r="W272" s="26">
        <v>0</v>
      </c>
      <c r="X272" s="26">
        <v>0</v>
      </c>
      <c r="Y272" s="26">
        <v>0</v>
      </c>
      <c r="Z272" s="26">
        <v>0</v>
      </c>
      <c r="AM272" s="26">
        <v>5.0999999999999996</v>
      </c>
      <c r="AN272" s="26">
        <v>0</v>
      </c>
      <c r="AY272" s="28"/>
      <c r="BQ272" s="26">
        <v>1</v>
      </c>
      <c r="BR272" s="26">
        <v>80</v>
      </c>
      <c r="BS272" s="26">
        <v>4</v>
      </c>
      <c r="BT272" s="26">
        <f>0.95*2</f>
        <v>1.9</v>
      </c>
      <c r="BU272" s="26">
        <v>3</v>
      </c>
      <c r="BV272" s="26">
        <v>100</v>
      </c>
      <c r="BW272" s="26">
        <v>1</v>
      </c>
      <c r="BX272" s="26">
        <v>0.36</v>
      </c>
      <c r="BY272" s="26">
        <v>1</v>
      </c>
      <c r="DB272" s="27">
        <v>8.6999999999999993</v>
      </c>
      <c r="DC272" s="27">
        <v>1</v>
      </c>
      <c r="DD272" s="27">
        <v>2</v>
      </c>
      <c r="DE272" s="27"/>
      <c r="DF272" s="27">
        <f>2.04*4+1.65+0.29</f>
        <v>10.1</v>
      </c>
      <c r="DG272" s="27"/>
      <c r="DH272" s="27"/>
      <c r="DI272" s="27"/>
      <c r="DJ272" s="27"/>
      <c r="DK272" s="27"/>
      <c r="DL272" s="27"/>
      <c r="DM272" s="27">
        <v>11.09</v>
      </c>
      <c r="DN272" s="27">
        <v>17.02</v>
      </c>
      <c r="DO272" s="27"/>
      <c r="DP272" s="27"/>
      <c r="DQ272" s="27">
        <v>0</v>
      </c>
      <c r="DR272" s="27">
        <v>0</v>
      </c>
      <c r="DS272" s="27">
        <v>0</v>
      </c>
      <c r="DT272" s="26">
        <v>0</v>
      </c>
    </row>
    <row r="273" spans="1:124" x14ac:dyDescent="0.2">
      <c r="A273" s="10">
        <v>42944</v>
      </c>
      <c r="B273" s="9" t="s">
        <v>303</v>
      </c>
      <c r="C273" s="9" t="s">
        <v>358</v>
      </c>
      <c r="D273" s="9" t="s">
        <v>359</v>
      </c>
      <c r="E273" s="9">
        <v>35.5</v>
      </c>
      <c r="F273" s="11">
        <v>93.5</v>
      </c>
      <c r="G273" s="11">
        <v>83.4</v>
      </c>
      <c r="H273" s="11">
        <v>18.2</v>
      </c>
      <c r="I273" s="9">
        <v>81.819999999999993</v>
      </c>
      <c r="J273" s="9">
        <v>0</v>
      </c>
      <c r="K273" s="9">
        <v>0</v>
      </c>
      <c r="L273" s="9">
        <v>0</v>
      </c>
      <c r="M273" s="9">
        <v>18.18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37.1</v>
      </c>
      <c r="U273" s="9">
        <v>47.46</v>
      </c>
      <c r="V273" s="9">
        <v>20.37</v>
      </c>
      <c r="W273" s="9">
        <v>3.52</v>
      </c>
      <c r="X273" s="9">
        <v>0</v>
      </c>
      <c r="Y273" s="9">
        <v>0</v>
      </c>
      <c r="Z273" s="9">
        <v>0</v>
      </c>
      <c r="AM273" s="9">
        <v>8.4</v>
      </c>
      <c r="AN273" s="9">
        <v>0</v>
      </c>
      <c r="BQ273" s="9">
        <v>1</v>
      </c>
      <c r="BR273" s="9">
        <v>80</v>
      </c>
      <c r="BS273" s="9">
        <v>9</v>
      </c>
      <c r="BT273" s="9">
        <f>2.94*2+0.13</f>
        <v>6.01</v>
      </c>
      <c r="BU273" s="9">
        <v>3</v>
      </c>
      <c r="BV273" s="9">
        <v>50</v>
      </c>
      <c r="BW273" s="9">
        <v>4</v>
      </c>
      <c r="BX273" s="9">
        <v>5.56</v>
      </c>
      <c r="BY273" s="9">
        <v>3</v>
      </c>
      <c r="DB273" s="11">
        <v>1.69</v>
      </c>
      <c r="DC273" s="11">
        <v>1</v>
      </c>
      <c r="DD273" s="11">
        <v>1</v>
      </c>
      <c r="DE273" s="11"/>
      <c r="DF273" s="11">
        <v>3.6</v>
      </c>
      <c r="DG273" s="11"/>
      <c r="DH273" s="11"/>
      <c r="DI273" s="11"/>
      <c r="DJ273" s="11"/>
      <c r="DK273" s="11"/>
      <c r="DL273" s="11"/>
      <c r="DM273" s="11">
        <v>3.24</v>
      </c>
      <c r="DN273" s="11">
        <v>2.54</v>
      </c>
      <c r="DO273" s="11"/>
      <c r="DP273" s="11"/>
      <c r="DQ273" s="11">
        <v>3.6</v>
      </c>
      <c r="DR273" s="11">
        <v>8.8000000000000007</v>
      </c>
      <c r="DS273" s="11">
        <v>0</v>
      </c>
      <c r="DT273" s="9">
        <v>0</v>
      </c>
    </row>
    <row r="274" spans="1:124" x14ac:dyDescent="0.2">
      <c r="A274" s="10">
        <v>42944</v>
      </c>
      <c r="B274" s="9" t="s">
        <v>303</v>
      </c>
      <c r="C274" s="9" t="s">
        <v>358</v>
      </c>
      <c r="D274" s="9" t="s">
        <v>360</v>
      </c>
      <c r="E274" s="9">
        <v>29</v>
      </c>
      <c r="F274" s="11">
        <v>86.2</v>
      </c>
      <c r="G274" s="11">
        <v>83.4</v>
      </c>
      <c r="H274" s="11">
        <v>15.4</v>
      </c>
      <c r="I274" s="9">
        <v>87</v>
      </c>
      <c r="J274" s="9">
        <v>0</v>
      </c>
      <c r="K274" s="9">
        <v>0</v>
      </c>
      <c r="L274" s="9">
        <v>0</v>
      </c>
      <c r="M274" s="9">
        <v>13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37.36</v>
      </c>
      <c r="U274" s="9">
        <v>46.33</v>
      </c>
      <c r="V274" s="9">
        <v>18.45</v>
      </c>
      <c r="W274" s="9">
        <v>0</v>
      </c>
      <c r="X274" s="9">
        <v>0</v>
      </c>
      <c r="Y274" s="9">
        <v>0</v>
      </c>
      <c r="Z274" s="9">
        <v>0</v>
      </c>
      <c r="AM274" s="9">
        <v>8.3000000000000007</v>
      </c>
      <c r="AN274" s="9">
        <v>0</v>
      </c>
      <c r="BQ274" s="9">
        <v>1</v>
      </c>
      <c r="BR274" s="9">
        <v>80</v>
      </c>
      <c r="BS274" s="9">
        <v>9</v>
      </c>
      <c r="BT274" s="9">
        <v>6.01</v>
      </c>
      <c r="BU274" s="9">
        <v>3</v>
      </c>
      <c r="DB274" s="11">
        <v>1.8</v>
      </c>
      <c r="DC274" s="11">
        <v>1</v>
      </c>
      <c r="DD274" s="11">
        <v>1</v>
      </c>
      <c r="DE274" s="11"/>
      <c r="DF274" s="11">
        <v>3.6</v>
      </c>
      <c r="DG274" s="11"/>
      <c r="DH274" s="11"/>
      <c r="DI274" s="11"/>
      <c r="DJ274" s="11"/>
      <c r="DK274" s="11"/>
      <c r="DL274" s="11"/>
      <c r="DM274" s="11">
        <v>0.54</v>
      </c>
      <c r="DN274" s="11">
        <v>0.13</v>
      </c>
      <c r="DO274" s="11"/>
      <c r="DP274" s="11"/>
      <c r="DQ274" s="11">
        <v>2.88</v>
      </c>
      <c r="DR274" s="11">
        <v>6.91</v>
      </c>
      <c r="DS274" s="11">
        <v>0</v>
      </c>
      <c r="DT274" s="9">
        <v>0</v>
      </c>
    </row>
    <row r="275" spans="1:124" x14ac:dyDescent="0.2">
      <c r="A275" s="10">
        <v>42944</v>
      </c>
      <c r="B275" s="9" t="s">
        <v>303</v>
      </c>
      <c r="C275" s="9" t="s">
        <v>358</v>
      </c>
      <c r="D275" s="9" t="s">
        <v>361</v>
      </c>
      <c r="E275" s="9">
        <v>46.5</v>
      </c>
      <c r="F275" s="11">
        <v>69.2</v>
      </c>
      <c r="G275" s="11">
        <v>83.4</v>
      </c>
      <c r="H275" s="11">
        <v>28.7</v>
      </c>
      <c r="I275" s="9">
        <v>53.82</v>
      </c>
      <c r="J275" s="9">
        <v>0</v>
      </c>
      <c r="K275" s="9">
        <v>0</v>
      </c>
      <c r="L275" s="9">
        <v>0</v>
      </c>
      <c r="M275" s="9">
        <v>46.18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5.46</v>
      </c>
      <c r="V275" s="9">
        <v>46.31</v>
      </c>
      <c r="W275" s="9">
        <v>1.06</v>
      </c>
      <c r="X275" s="9">
        <v>0</v>
      </c>
      <c r="Y275" s="9">
        <v>0</v>
      </c>
      <c r="Z275" s="9">
        <v>0</v>
      </c>
      <c r="AM275" s="9">
        <v>13.3</v>
      </c>
      <c r="AN275" s="9">
        <v>1</v>
      </c>
      <c r="AO275" s="9">
        <v>52</v>
      </c>
      <c r="AP275" s="9">
        <v>23</v>
      </c>
      <c r="AQ275" s="9">
        <f>7.18+2.15+0.07+0.84+0.15+0.14+0.12</f>
        <v>10.65</v>
      </c>
      <c r="AR275" s="9">
        <v>2</v>
      </c>
      <c r="BQ275" s="9">
        <v>0</v>
      </c>
      <c r="DB275" s="11">
        <v>1.39</v>
      </c>
      <c r="DC275" s="11">
        <v>1</v>
      </c>
      <c r="DD275" s="11">
        <v>1</v>
      </c>
      <c r="DE275" s="11"/>
      <c r="DF275" s="11">
        <f>1.32*2+1.62</f>
        <v>4.26</v>
      </c>
      <c r="DG275" s="11"/>
      <c r="DH275" s="11"/>
      <c r="DI275" s="11"/>
      <c r="DJ275" s="11"/>
      <c r="DK275" s="11"/>
      <c r="DL275" s="11"/>
      <c r="DM275" s="11">
        <v>0</v>
      </c>
      <c r="DN275" s="11">
        <v>0</v>
      </c>
      <c r="DO275" s="11"/>
      <c r="DP275" s="11"/>
      <c r="DQ275" s="11">
        <v>2.88</v>
      </c>
      <c r="DR275" s="11">
        <v>5.21</v>
      </c>
      <c r="DS275" s="11">
        <v>0</v>
      </c>
      <c r="DT275" s="9">
        <v>0</v>
      </c>
    </row>
    <row r="276" spans="1:124" x14ac:dyDescent="0.2">
      <c r="A276" s="10">
        <v>42944</v>
      </c>
      <c r="B276" s="9" t="s">
        <v>303</v>
      </c>
      <c r="C276" s="9" t="s">
        <v>358</v>
      </c>
      <c r="D276" s="9" t="s">
        <v>362</v>
      </c>
      <c r="E276" s="9">
        <v>43.5</v>
      </c>
      <c r="F276" s="11">
        <v>71.7</v>
      </c>
      <c r="G276" s="11">
        <v>83.4</v>
      </c>
      <c r="H276" s="11">
        <v>26.2</v>
      </c>
      <c r="I276" s="9">
        <v>62.72</v>
      </c>
      <c r="J276" s="9">
        <v>0</v>
      </c>
      <c r="K276" s="9">
        <v>0</v>
      </c>
      <c r="L276" s="9">
        <v>0</v>
      </c>
      <c r="M276" s="9">
        <v>37.28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5.91</v>
      </c>
      <c r="V276" s="9">
        <v>43.24</v>
      </c>
      <c r="W276" s="9">
        <v>0.36</v>
      </c>
      <c r="X276" s="9">
        <v>0</v>
      </c>
      <c r="Y276" s="9">
        <v>0</v>
      </c>
      <c r="Z276" s="9">
        <v>0</v>
      </c>
      <c r="AM276" s="9">
        <v>12.7</v>
      </c>
      <c r="AN276" s="9">
        <v>1</v>
      </c>
      <c r="AO276" s="9">
        <v>52</v>
      </c>
      <c r="AP276" s="9">
        <v>13</v>
      </c>
      <c r="AQ276" s="9">
        <f>7.18+2.15</f>
        <v>9.33</v>
      </c>
      <c r="AR276" s="9">
        <v>2</v>
      </c>
      <c r="BQ276" s="9">
        <v>0</v>
      </c>
      <c r="DB276" s="11">
        <v>1.39</v>
      </c>
      <c r="DC276" s="11">
        <v>1</v>
      </c>
      <c r="DD276" s="11">
        <v>1</v>
      </c>
      <c r="DE276" s="11"/>
      <c r="DF276" s="11">
        <f>1.32*2+1.62</f>
        <v>4.26</v>
      </c>
      <c r="DG276" s="11"/>
      <c r="DH276" s="11"/>
      <c r="DI276" s="11"/>
      <c r="DJ276" s="11"/>
      <c r="DK276" s="11"/>
      <c r="DL276" s="11"/>
      <c r="DM276" s="11">
        <v>0</v>
      </c>
      <c r="DN276" s="11">
        <v>0</v>
      </c>
      <c r="DO276" s="11"/>
      <c r="DP276" s="11"/>
      <c r="DQ276" s="11">
        <v>2.88</v>
      </c>
      <c r="DR276" s="11">
        <v>5.57</v>
      </c>
      <c r="DS276" s="11">
        <v>0</v>
      </c>
      <c r="DT276" s="9">
        <v>0</v>
      </c>
    </row>
    <row r="277" spans="1:124" x14ac:dyDescent="0.2">
      <c r="A277" s="10">
        <v>42944</v>
      </c>
      <c r="B277" s="9" t="s">
        <v>303</v>
      </c>
      <c r="C277" s="9" t="s">
        <v>358</v>
      </c>
      <c r="D277" s="9" t="s">
        <v>363</v>
      </c>
      <c r="E277" s="9">
        <v>46</v>
      </c>
      <c r="F277" s="11">
        <v>97.8</v>
      </c>
      <c r="G277" s="11">
        <v>83.4</v>
      </c>
      <c r="H277" s="11">
        <v>9.8000000000000007</v>
      </c>
      <c r="I277" s="9">
        <v>97.48</v>
      </c>
      <c r="J277" s="9">
        <v>0</v>
      </c>
      <c r="K277" s="9">
        <v>1.83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3.67</v>
      </c>
      <c r="U277" s="9">
        <v>10.58</v>
      </c>
      <c r="V277" s="9">
        <v>65.89</v>
      </c>
      <c r="W277" s="9">
        <v>0</v>
      </c>
      <c r="X277" s="9">
        <v>0</v>
      </c>
      <c r="Y277" s="9">
        <v>0</v>
      </c>
      <c r="Z277" s="9">
        <v>0</v>
      </c>
      <c r="AM277" s="9">
        <v>29.3</v>
      </c>
      <c r="AN277" s="9">
        <v>1</v>
      </c>
      <c r="AO277" s="9">
        <v>40</v>
      </c>
      <c r="AP277" s="9">
        <v>10</v>
      </c>
      <c r="AQ277" s="9">
        <f>0.91+0.39</f>
        <v>1.3</v>
      </c>
      <c r="AR277" s="9">
        <v>2</v>
      </c>
      <c r="AS277" s="9">
        <v>35</v>
      </c>
      <c r="AT277" s="9">
        <v>10</v>
      </c>
      <c r="AU277" s="9">
        <f>0.58+1.36</f>
        <v>1.94</v>
      </c>
      <c r="AV277" s="9">
        <v>3</v>
      </c>
      <c r="BQ277" s="9">
        <v>1</v>
      </c>
      <c r="BR277" s="9">
        <v>60</v>
      </c>
      <c r="BS277" s="9">
        <v>5</v>
      </c>
      <c r="BT277" s="9">
        <v>3.67</v>
      </c>
      <c r="BU277" s="9">
        <v>3</v>
      </c>
      <c r="BV277" s="9">
        <v>30</v>
      </c>
      <c r="BW277" s="9">
        <v>6</v>
      </c>
      <c r="BX277" s="9">
        <v>5.87</v>
      </c>
      <c r="BY277" s="9">
        <v>4</v>
      </c>
      <c r="DB277" s="11">
        <v>1.87</v>
      </c>
      <c r="DC277" s="11">
        <v>1</v>
      </c>
      <c r="DD277" s="11">
        <v>1</v>
      </c>
      <c r="DE277" s="11"/>
      <c r="DF277" s="11">
        <f>2.04*2</f>
        <v>4.08</v>
      </c>
      <c r="DG277" s="11">
        <v>2</v>
      </c>
      <c r="DH277" s="11"/>
      <c r="DI277" s="11">
        <f>0.36*2</f>
        <v>0.72</v>
      </c>
      <c r="DJ277" s="11"/>
      <c r="DK277" s="11"/>
      <c r="DL277" s="11"/>
      <c r="DM277" s="11">
        <v>5.07</v>
      </c>
      <c r="DN277" s="11">
        <v>2.33</v>
      </c>
      <c r="DO277" s="11"/>
      <c r="DP277" s="11"/>
      <c r="DQ277" s="11">
        <v>0</v>
      </c>
      <c r="DR277" s="11">
        <v>0</v>
      </c>
      <c r="DS277" s="11">
        <v>0</v>
      </c>
      <c r="DT277" s="9">
        <v>0</v>
      </c>
    </row>
    <row r="278" spans="1:124" x14ac:dyDescent="0.2">
      <c r="A278" s="10">
        <v>42944</v>
      </c>
      <c r="B278" s="9" t="s">
        <v>303</v>
      </c>
      <c r="C278" s="9" t="s">
        <v>358</v>
      </c>
      <c r="D278" s="9" t="s">
        <v>364</v>
      </c>
      <c r="E278" s="9">
        <v>49.5</v>
      </c>
      <c r="F278" s="11">
        <v>97.8</v>
      </c>
      <c r="G278" s="11">
        <v>83.4</v>
      </c>
      <c r="H278" s="11">
        <v>9.9</v>
      </c>
      <c r="I278" s="9">
        <v>97.48</v>
      </c>
      <c r="J278" s="9">
        <v>0</v>
      </c>
      <c r="K278" s="9">
        <v>1.83</v>
      </c>
      <c r="L278" s="9">
        <v>0</v>
      </c>
      <c r="M278" s="9">
        <v>0.68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3.67</v>
      </c>
      <c r="U278" s="9">
        <v>8.74</v>
      </c>
      <c r="V278" s="9">
        <v>67.72</v>
      </c>
      <c r="W278" s="9">
        <v>0</v>
      </c>
      <c r="X278" s="9">
        <v>0</v>
      </c>
      <c r="Y278" s="9">
        <v>0</v>
      </c>
      <c r="Z278" s="9">
        <v>0</v>
      </c>
      <c r="AM278" s="9">
        <v>32.5</v>
      </c>
      <c r="AN278" s="9">
        <v>1</v>
      </c>
      <c r="AO278" s="9">
        <v>30</v>
      </c>
      <c r="AP278" s="9">
        <v>11</v>
      </c>
      <c r="AQ278" s="9">
        <f>6.61+5.5</f>
        <v>12.11</v>
      </c>
      <c r="AR278" s="9">
        <v>4</v>
      </c>
      <c r="AS278" s="9">
        <v>40</v>
      </c>
      <c r="AT278" s="9">
        <v>12</v>
      </c>
      <c r="AU278" s="9">
        <f>2.2+1.47+0.91</f>
        <v>4.58</v>
      </c>
      <c r="AV278" s="9">
        <v>2</v>
      </c>
      <c r="AW278" s="9">
        <v>35</v>
      </c>
      <c r="AX278" s="9">
        <v>10</v>
      </c>
      <c r="AY278" s="12">
        <f>1.36+0.58</f>
        <v>1.94</v>
      </c>
      <c r="AZ278" s="9">
        <v>3</v>
      </c>
      <c r="BA278" s="9">
        <v>78</v>
      </c>
      <c r="BB278" s="9">
        <v>3</v>
      </c>
      <c r="BC278" s="9">
        <v>0.39</v>
      </c>
      <c r="BD278" s="9">
        <v>2</v>
      </c>
      <c r="BQ278" s="9">
        <v>0</v>
      </c>
      <c r="DB278" s="11">
        <v>1.87</v>
      </c>
      <c r="DC278" s="11">
        <v>1</v>
      </c>
      <c r="DD278" s="11">
        <v>1</v>
      </c>
      <c r="DE278" s="11"/>
      <c r="DF278" s="11">
        <f>2.04*2</f>
        <v>4.08</v>
      </c>
      <c r="DG278" s="11">
        <v>2</v>
      </c>
      <c r="DH278" s="11"/>
      <c r="DI278" s="11">
        <v>0.7</v>
      </c>
      <c r="DJ278" s="11"/>
      <c r="DK278" s="11"/>
      <c r="DL278" s="11"/>
      <c r="DM278" s="11">
        <v>5.01</v>
      </c>
      <c r="DN278" s="11">
        <v>1.3</v>
      </c>
      <c r="DO278" s="11"/>
      <c r="DP278" s="11"/>
      <c r="DQ278" s="11">
        <v>0</v>
      </c>
      <c r="DR278" s="11">
        <v>0</v>
      </c>
      <c r="DS278" s="11">
        <v>0</v>
      </c>
      <c r="DT278" s="9">
        <v>0</v>
      </c>
    </row>
    <row r="279" spans="1:124" x14ac:dyDescent="0.2">
      <c r="A279" s="10">
        <v>42944</v>
      </c>
      <c r="B279" s="9" t="s">
        <v>303</v>
      </c>
      <c r="C279" s="9" t="s">
        <v>358</v>
      </c>
      <c r="D279" s="30">
        <v>120</v>
      </c>
      <c r="E279" s="9">
        <v>41</v>
      </c>
      <c r="F279" s="11">
        <v>75.900000000000006</v>
      </c>
      <c r="G279" s="11">
        <v>83.4</v>
      </c>
      <c r="H279" s="11">
        <v>13.8</v>
      </c>
      <c r="I279" s="9">
        <v>83.58</v>
      </c>
      <c r="J279" s="9">
        <v>0</v>
      </c>
      <c r="K279" s="9">
        <v>0</v>
      </c>
      <c r="L279" s="9">
        <v>0</v>
      </c>
      <c r="M279" s="9">
        <v>9.73</v>
      </c>
      <c r="N279" s="9">
        <v>0</v>
      </c>
      <c r="O279" s="9">
        <v>6.69</v>
      </c>
      <c r="P279" s="9">
        <v>0</v>
      </c>
      <c r="Q279" s="9">
        <v>0</v>
      </c>
      <c r="R279" s="9">
        <v>0</v>
      </c>
      <c r="S279" s="9">
        <v>0</v>
      </c>
      <c r="T279" s="9">
        <v>11.59</v>
      </c>
      <c r="U279" s="9">
        <v>26.54</v>
      </c>
      <c r="V279" s="9">
        <v>10.81</v>
      </c>
      <c r="W279" s="9">
        <v>6.87</v>
      </c>
      <c r="X279" s="9">
        <v>0</v>
      </c>
      <c r="Y279" s="9">
        <v>20</v>
      </c>
      <c r="Z279" s="9">
        <v>1</v>
      </c>
      <c r="AA279" s="9">
        <v>3</v>
      </c>
      <c r="AC279" s="9">
        <v>4</v>
      </c>
      <c r="AM279" s="9">
        <v>1.9</v>
      </c>
      <c r="AN279" s="9">
        <v>1</v>
      </c>
      <c r="AO279" s="9">
        <v>34</v>
      </c>
      <c r="AP279" s="9">
        <v>4</v>
      </c>
      <c r="AQ279" s="9">
        <f>4.04+0.71</f>
        <v>4.75</v>
      </c>
      <c r="AR279" s="9">
        <v>1</v>
      </c>
      <c r="AS279" s="9">
        <v>52</v>
      </c>
      <c r="AT279" s="9">
        <v>2</v>
      </c>
      <c r="AU279" s="9">
        <f>0.73+0.13</f>
        <v>0.86</v>
      </c>
      <c r="AV279" s="9">
        <v>2</v>
      </c>
      <c r="BQ279" s="9">
        <v>0</v>
      </c>
      <c r="DB279" s="11">
        <v>0</v>
      </c>
      <c r="DC279" s="11">
        <v>0</v>
      </c>
      <c r="DD279" s="11"/>
      <c r="DE279" s="11"/>
      <c r="DF279" s="11"/>
      <c r="DG279" s="11"/>
      <c r="DH279" s="11"/>
      <c r="DI279" s="11"/>
      <c r="DJ279" s="11"/>
      <c r="DK279" s="11"/>
      <c r="DL279" s="11"/>
      <c r="DM279" s="11">
        <v>5.08</v>
      </c>
      <c r="DN279" s="11">
        <v>4.75</v>
      </c>
      <c r="DO279" s="11"/>
      <c r="DP279" s="11"/>
      <c r="DQ279" s="11">
        <v>0</v>
      </c>
      <c r="DR279" s="11">
        <v>0</v>
      </c>
      <c r="DS279" s="11">
        <v>0</v>
      </c>
      <c r="DT279" s="9">
        <v>0</v>
      </c>
    </row>
    <row r="280" spans="1:124" x14ac:dyDescent="0.2">
      <c r="A280" s="10">
        <v>42944</v>
      </c>
      <c r="B280" s="9" t="s">
        <v>303</v>
      </c>
      <c r="C280" s="9" t="s">
        <v>358</v>
      </c>
      <c r="D280" s="9" t="s">
        <v>365</v>
      </c>
      <c r="E280" s="9">
        <v>27.5</v>
      </c>
      <c r="F280" s="11">
        <v>76.8</v>
      </c>
      <c r="G280" s="11">
        <v>83.4</v>
      </c>
      <c r="H280" s="11">
        <v>16</v>
      </c>
      <c r="I280" s="9">
        <v>82.97</v>
      </c>
      <c r="J280" s="9">
        <v>0</v>
      </c>
      <c r="K280" s="9">
        <v>0.28999999999999998</v>
      </c>
      <c r="L280" s="9">
        <v>0</v>
      </c>
      <c r="M280" s="9">
        <v>16.739999999999998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1.65</v>
      </c>
      <c r="V280" s="9">
        <v>49.33</v>
      </c>
      <c r="W280" s="9">
        <v>1.23</v>
      </c>
      <c r="X280" s="9">
        <v>0</v>
      </c>
      <c r="Y280" s="9">
        <v>0</v>
      </c>
      <c r="Z280" s="9">
        <v>0</v>
      </c>
      <c r="AM280" s="9">
        <v>8.6999999999999993</v>
      </c>
      <c r="AN280" s="9">
        <v>1</v>
      </c>
      <c r="AO280" s="9">
        <v>35</v>
      </c>
      <c r="AP280" s="9">
        <v>3</v>
      </c>
      <c r="AQ280" s="9">
        <f>0.13*2+0.73</f>
        <v>0.99</v>
      </c>
      <c r="AR280" s="9">
        <v>3</v>
      </c>
      <c r="AS280" s="9">
        <v>47</v>
      </c>
      <c r="AT280" s="9">
        <v>4</v>
      </c>
      <c r="AU280" s="9">
        <v>0.52</v>
      </c>
      <c r="AV280" s="9">
        <v>3</v>
      </c>
      <c r="BQ280" s="9">
        <v>0</v>
      </c>
      <c r="DB280" s="11">
        <v>1.44</v>
      </c>
      <c r="DC280" s="11">
        <v>1</v>
      </c>
      <c r="DD280" s="11">
        <v>1</v>
      </c>
      <c r="DE280" s="11"/>
      <c r="DF280" s="11">
        <f>3.3*2+0.36*2</f>
        <v>7.3199999999999994</v>
      </c>
      <c r="DG280" s="11"/>
      <c r="DH280" s="11"/>
      <c r="DI280" s="11"/>
      <c r="DJ280" s="11"/>
      <c r="DK280" s="11"/>
      <c r="DL280" s="11"/>
      <c r="DM280" s="11">
        <v>1.08</v>
      </c>
      <c r="DN280" s="11">
        <v>0.26</v>
      </c>
      <c r="DO280" s="11"/>
      <c r="DP280" s="11"/>
      <c r="DQ280" s="11">
        <v>0</v>
      </c>
      <c r="DR280" s="11">
        <v>0</v>
      </c>
      <c r="DS280" s="11">
        <v>0</v>
      </c>
      <c r="DT280" s="9">
        <v>0</v>
      </c>
    </row>
    <row r="281" spans="1:124" x14ac:dyDescent="0.2">
      <c r="A281" s="10">
        <v>42944</v>
      </c>
      <c r="B281" s="9" t="s">
        <v>303</v>
      </c>
      <c r="C281" s="9" t="s">
        <v>358</v>
      </c>
      <c r="D281" s="9" t="s">
        <v>366</v>
      </c>
      <c r="E281" s="9">
        <v>45</v>
      </c>
      <c r="F281" s="11">
        <v>68.099999999999994</v>
      </c>
      <c r="G281" s="11">
        <v>83.4</v>
      </c>
      <c r="H281" s="11">
        <v>15.3</v>
      </c>
      <c r="I281" s="9">
        <v>83.75</v>
      </c>
      <c r="J281" s="9">
        <v>0</v>
      </c>
      <c r="K281" s="9">
        <v>0.28999999999999998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5.69</v>
      </c>
      <c r="V281" s="9">
        <v>43.64</v>
      </c>
      <c r="W281" s="9">
        <v>0.45</v>
      </c>
      <c r="X281" s="9">
        <v>0</v>
      </c>
      <c r="Y281" s="9">
        <v>0</v>
      </c>
      <c r="Z281" s="9">
        <v>0</v>
      </c>
      <c r="AM281" s="9">
        <v>22.5</v>
      </c>
      <c r="AN281" s="9">
        <v>1</v>
      </c>
      <c r="AO281" s="9">
        <v>35</v>
      </c>
      <c r="AP281" s="9">
        <v>5</v>
      </c>
      <c r="AQ281" s="9">
        <f>0.73*2+2.2+0.13*2</f>
        <v>3.92</v>
      </c>
      <c r="AR281" s="9">
        <v>3</v>
      </c>
      <c r="AS281" s="9">
        <v>47</v>
      </c>
      <c r="AT281" s="9">
        <v>4</v>
      </c>
      <c r="AU281" s="9">
        <v>0.52</v>
      </c>
      <c r="AV281" s="9">
        <v>3</v>
      </c>
      <c r="BQ281" s="9">
        <v>0</v>
      </c>
      <c r="DB281" s="11">
        <v>1.44</v>
      </c>
      <c r="DC281" s="11">
        <v>1</v>
      </c>
      <c r="DD281" s="11">
        <v>1</v>
      </c>
      <c r="DE281" s="11"/>
      <c r="DF281" s="11">
        <f>3.3*2+0.36*2</f>
        <v>7.3199999999999994</v>
      </c>
      <c r="DG281" s="11"/>
      <c r="DH281" s="11"/>
      <c r="DI281" s="11"/>
      <c r="DJ281" s="11"/>
      <c r="DK281" s="11"/>
      <c r="DL281" s="11"/>
      <c r="DM281" s="11">
        <v>5.41</v>
      </c>
      <c r="DN281" s="11">
        <v>3.92</v>
      </c>
      <c r="DO281" s="11"/>
      <c r="DP281" s="11"/>
      <c r="DQ281" s="11">
        <v>0</v>
      </c>
      <c r="DR281" s="11">
        <v>0</v>
      </c>
      <c r="DS281" s="11">
        <v>0</v>
      </c>
      <c r="DT281" s="9">
        <v>0</v>
      </c>
    </row>
    <row r="282" spans="1:124" x14ac:dyDescent="0.2">
      <c r="A282" s="10">
        <v>42944</v>
      </c>
      <c r="B282" s="9" t="s">
        <v>303</v>
      </c>
      <c r="C282" s="9" t="s">
        <v>358</v>
      </c>
      <c r="D282" s="9" t="s">
        <v>367</v>
      </c>
      <c r="E282" s="9">
        <v>47</v>
      </c>
      <c r="F282" s="11">
        <v>79.7</v>
      </c>
      <c r="G282" s="11">
        <v>83.4</v>
      </c>
      <c r="H282" s="11">
        <v>32</v>
      </c>
      <c r="I282" s="9">
        <v>49.45</v>
      </c>
      <c r="J282" s="9">
        <v>0</v>
      </c>
      <c r="K282" s="9">
        <v>0</v>
      </c>
      <c r="L282" s="9">
        <v>0</v>
      </c>
      <c r="M282" s="9">
        <v>50.55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0.73</v>
      </c>
      <c r="V282" s="9">
        <v>36.32</v>
      </c>
      <c r="W282" s="9">
        <v>29.96</v>
      </c>
      <c r="X282" s="9">
        <v>0</v>
      </c>
      <c r="Y282" s="9">
        <v>0</v>
      </c>
      <c r="Z282" s="9">
        <v>0</v>
      </c>
      <c r="AM282" s="9">
        <v>9.4</v>
      </c>
      <c r="AN282" s="9">
        <v>1</v>
      </c>
      <c r="AO282" s="9">
        <v>52</v>
      </c>
      <c r="AP282" s="9">
        <v>3</v>
      </c>
      <c r="AQ282" s="9">
        <v>2.2000000000000002</v>
      </c>
      <c r="AR282" s="9">
        <v>2</v>
      </c>
      <c r="BQ282" s="9">
        <v>1</v>
      </c>
      <c r="BR282" s="9">
        <v>40</v>
      </c>
      <c r="BS282" s="9">
        <v>5</v>
      </c>
      <c r="BT282" s="9">
        <f>1.47+1.26+1.65+2.2</f>
        <v>6.58</v>
      </c>
      <c r="BU282" s="9">
        <v>6</v>
      </c>
      <c r="BV282" s="9">
        <v>50</v>
      </c>
      <c r="BW282" s="9">
        <v>2</v>
      </c>
      <c r="BX282" s="9" t="s">
        <v>469</v>
      </c>
      <c r="BY282" s="9">
        <v>6</v>
      </c>
      <c r="DB282" s="11">
        <v>5.18</v>
      </c>
      <c r="DC282" s="11">
        <v>1</v>
      </c>
      <c r="DD282" s="11">
        <v>1</v>
      </c>
      <c r="DE282" s="11"/>
      <c r="DF282" s="11">
        <f>8.15+3.99</f>
        <v>12.14</v>
      </c>
      <c r="DG282" s="11">
        <v>2</v>
      </c>
      <c r="DH282" s="11"/>
      <c r="DI282" s="11">
        <f>4.08+1.99</f>
        <v>6.07</v>
      </c>
      <c r="DJ282" s="11"/>
      <c r="DK282" s="11"/>
      <c r="DL282" s="11"/>
      <c r="DM282" s="11">
        <v>0</v>
      </c>
      <c r="DN282" s="11">
        <v>0</v>
      </c>
      <c r="DO282" s="11"/>
      <c r="DP282" s="11"/>
      <c r="DQ282" s="11">
        <v>0</v>
      </c>
      <c r="DR282" s="11">
        <v>0</v>
      </c>
      <c r="DS282" s="11">
        <v>0</v>
      </c>
      <c r="DT282" s="9">
        <v>0</v>
      </c>
    </row>
    <row r="283" spans="1:124" x14ac:dyDescent="0.2">
      <c r="A283" s="10">
        <v>42944</v>
      </c>
      <c r="B283" s="9" t="s">
        <v>303</v>
      </c>
      <c r="C283" s="9" t="s">
        <v>358</v>
      </c>
      <c r="D283" s="9" t="s">
        <v>368</v>
      </c>
      <c r="E283" s="9">
        <v>48.5</v>
      </c>
      <c r="F283" s="11">
        <v>84.6</v>
      </c>
      <c r="G283" s="11">
        <v>83.4</v>
      </c>
      <c r="H283" s="11">
        <v>32.5</v>
      </c>
      <c r="I283" s="9">
        <v>48.7</v>
      </c>
      <c r="J283" s="9">
        <v>0</v>
      </c>
      <c r="K283" s="9">
        <v>0</v>
      </c>
      <c r="L283" s="9">
        <v>0</v>
      </c>
      <c r="M283" s="9">
        <v>51.3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0.73</v>
      </c>
      <c r="V283" s="9">
        <v>33.47</v>
      </c>
      <c r="W283" s="9">
        <v>29.96</v>
      </c>
      <c r="X283" s="9">
        <v>0</v>
      </c>
      <c r="Y283" s="9">
        <v>0</v>
      </c>
      <c r="Z283" s="9">
        <v>0</v>
      </c>
      <c r="AM283" s="9">
        <v>9.4</v>
      </c>
      <c r="AN283" s="9">
        <v>1</v>
      </c>
      <c r="AO283" s="9">
        <v>52</v>
      </c>
      <c r="AP283" s="9">
        <v>3</v>
      </c>
      <c r="AQ283" s="9">
        <v>2.2000000000000002</v>
      </c>
      <c r="AR283" s="9">
        <v>2</v>
      </c>
      <c r="BQ283" s="9">
        <v>1</v>
      </c>
      <c r="BR283" s="9">
        <v>40</v>
      </c>
      <c r="BS283" s="9">
        <v>5</v>
      </c>
      <c r="BT283" s="9">
        <f>0.73+1.28+1.65*2+1.83</f>
        <v>7.14</v>
      </c>
      <c r="BU283" s="9">
        <v>6</v>
      </c>
      <c r="BV283" s="9">
        <v>50</v>
      </c>
      <c r="BW283" s="9">
        <v>2</v>
      </c>
      <c r="BX283" s="9">
        <f>0.37*2</f>
        <v>0.74</v>
      </c>
      <c r="BY283" s="9">
        <v>6</v>
      </c>
      <c r="DB283" s="11">
        <v>6.25</v>
      </c>
      <c r="DC283" s="11">
        <v>1</v>
      </c>
      <c r="DD283" s="11">
        <v>2</v>
      </c>
      <c r="DE283" s="11"/>
      <c r="DF283" s="11">
        <f>4.08+3.99+1.99</f>
        <v>10.06</v>
      </c>
      <c r="DG283" s="11">
        <v>1</v>
      </c>
      <c r="DH283" s="11"/>
      <c r="DI283" s="11">
        <v>8.15</v>
      </c>
      <c r="DJ283" s="11"/>
      <c r="DK283" s="11"/>
      <c r="DL283" s="11"/>
      <c r="DM283" s="11">
        <v>0</v>
      </c>
      <c r="DN283" s="11">
        <v>0</v>
      </c>
      <c r="DO283" s="11"/>
      <c r="DP283" s="11"/>
      <c r="DQ283" s="11">
        <v>0</v>
      </c>
      <c r="DR283" s="11">
        <v>0</v>
      </c>
      <c r="DS283" s="11">
        <v>0</v>
      </c>
      <c r="DT283" s="9">
        <v>0</v>
      </c>
    </row>
    <row r="284" spans="1:124" x14ac:dyDescent="0.2">
      <c r="A284" s="10">
        <v>42944</v>
      </c>
      <c r="B284" s="9" t="s">
        <v>303</v>
      </c>
      <c r="C284" s="9" t="s">
        <v>358</v>
      </c>
      <c r="D284" s="9" t="s">
        <v>369</v>
      </c>
      <c r="E284" s="9">
        <v>49</v>
      </c>
      <c r="F284" s="11">
        <v>100.1</v>
      </c>
      <c r="G284" s="11">
        <v>83.4</v>
      </c>
      <c r="H284" s="11">
        <v>22.4</v>
      </c>
      <c r="I284" s="9">
        <v>74.59</v>
      </c>
      <c r="J284" s="9">
        <v>0</v>
      </c>
      <c r="K284" s="9">
        <v>0</v>
      </c>
      <c r="L284" s="9">
        <v>1.1000000000000001</v>
      </c>
      <c r="M284" s="9">
        <v>24.31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3.95</v>
      </c>
      <c r="U284" s="9">
        <v>9.2799999999999994</v>
      </c>
      <c r="V284" s="9">
        <v>9.25</v>
      </c>
      <c r="W284" s="9">
        <v>19.89</v>
      </c>
      <c r="X284" s="9">
        <v>0</v>
      </c>
      <c r="Y284" s="9">
        <v>17</v>
      </c>
      <c r="Z284" s="9">
        <v>0</v>
      </c>
      <c r="AM284" s="9">
        <v>1.9</v>
      </c>
      <c r="AN284" s="9">
        <v>1</v>
      </c>
      <c r="AO284" s="9">
        <v>34</v>
      </c>
      <c r="AP284" s="9">
        <v>4</v>
      </c>
      <c r="AQ284" s="9">
        <f>4.04+0.71</f>
        <v>4.75</v>
      </c>
      <c r="AR284" s="9">
        <v>1</v>
      </c>
      <c r="BQ284" s="9">
        <v>1</v>
      </c>
      <c r="BR284" s="9">
        <v>80</v>
      </c>
      <c r="BS284" s="9">
        <v>1</v>
      </c>
      <c r="BT284" s="9">
        <v>11.01</v>
      </c>
      <c r="BU284" s="9">
        <v>3</v>
      </c>
      <c r="BV284" s="9">
        <v>60</v>
      </c>
      <c r="BW284" s="9">
        <v>1</v>
      </c>
      <c r="BX284" s="9">
        <v>1.1000000000000001</v>
      </c>
      <c r="BY284" s="9">
        <v>1</v>
      </c>
      <c r="DB284" s="11">
        <v>0</v>
      </c>
      <c r="DC284" s="11">
        <v>0</v>
      </c>
      <c r="DD284" s="11"/>
      <c r="DE284" s="11"/>
      <c r="DF284" s="11"/>
      <c r="DG284" s="11"/>
      <c r="DH284" s="11"/>
      <c r="DI284" s="11"/>
      <c r="DJ284" s="11"/>
      <c r="DK284" s="11"/>
      <c r="DL284" s="11"/>
      <c r="DM284" s="11">
        <v>7.63</v>
      </c>
      <c r="DN284" s="11">
        <v>7.31</v>
      </c>
      <c r="DO284" s="11"/>
      <c r="DP284" s="11"/>
      <c r="DQ284" s="11">
        <v>0</v>
      </c>
      <c r="DR284" s="11">
        <v>0</v>
      </c>
      <c r="DS284" s="11">
        <v>0</v>
      </c>
      <c r="DT284" s="9">
        <v>0</v>
      </c>
    </row>
    <row r="285" spans="1:124" x14ac:dyDescent="0.2">
      <c r="A285" s="10">
        <v>42944</v>
      </c>
      <c r="B285" s="9" t="s">
        <v>370</v>
      </c>
      <c r="C285" s="9" t="s">
        <v>371</v>
      </c>
      <c r="D285" s="9" t="s">
        <v>72</v>
      </c>
      <c r="E285" s="9">
        <v>34</v>
      </c>
      <c r="F285" s="11">
        <v>77.2</v>
      </c>
      <c r="G285" s="11">
        <v>82.8</v>
      </c>
      <c r="H285" s="11">
        <v>7.6</v>
      </c>
      <c r="I285" s="9">
        <v>95.3</v>
      </c>
      <c r="J285" s="9">
        <v>0</v>
      </c>
      <c r="K285" s="9">
        <v>0</v>
      </c>
      <c r="L285" s="9">
        <v>0</v>
      </c>
      <c r="M285" s="9">
        <v>2.54</v>
      </c>
      <c r="N285" s="9">
        <v>0</v>
      </c>
      <c r="O285" s="9">
        <v>2.15</v>
      </c>
      <c r="P285" s="9">
        <v>0</v>
      </c>
      <c r="Q285" s="9">
        <v>0</v>
      </c>
      <c r="R285" s="9">
        <v>2.15</v>
      </c>
      <c r="S285" s="9">
        <v>0</v>
      </c>
      <c r="T285" s="9">
        <v>3.46</v>
      </c>
      <c r="U285" s="9">
        <v>39.58</v>
      </c>
      <c r="V285" s="9">
        <v>19.690000000000001</v>
      </c>
      <c r="W285" s="9">
        <v>0.52</v>
      </c>
      <c r="X285" s="9">
        <v>0</v>
      </c>
      <c r="Y285" s="9">
        <v>0</v>
      </c>
      <c r="Z285" s="9">
        <v>0</v>
      </c>
      <c r="AM285" s="9">
        <v>24.7</v>
      </c>
      <c r="AN285" s="9">
        <v>1</v>
      </c>
      <c r="AO285" s="9">
        <v>35</v>
      </c>
      <c r="AP285" s="9">
        <v>12</v>
      </c>
      <c r="AQ285" s="9">
        <f>0.74+1.18+0.78+1.48+2.22*2+0.2+0.26+0.13</f>
        <v>9.2100000000000009</v>
      </c>
      <c r="AR285" s="9">
        <v>3</v>
      </c>
      <c r="BQ285" s="9">
        <v>1</v>
      </c>
      <c r="DB285" s="11">
        <v>0</v>
      </c>
      <c r="DC285" s="11">
        <v>0</v>
      </c>
      <c r="DD285" s="11"/>
      <c r="DE285" s="11"/>
      <c r="DF285" s="11"/>
      <c r="DG285" s="11"/>
      <c r="DH285" s="11"/>
      <c r="DI285" s="11"/>
      <c r="DJ285" s="11"/>
      <c r="DK285" s="11"/>
      <c r="DL285" s="11"/>
      <c r="DM285" s="11">
        <v>0.54</v>
      </c>
      <c r="DN285" s="11">
        <v>0.13</v>
      </c>
      <c r="DO285" s="11"/>
      <c r="DP285" s="11"/>
      <c r="DQ285" s="11">
        <v>0</v>
      </c>
      <c r="DR285" s="11">
        <v>0</v>
      </c>
      <c r="DS285" s="11">
        <v>0</v>
      </c>
      <c r="DT285" s="9">
        <v>0</v>
      </c>
    </row>
    <row r="286" spans="1:124" x14ac:dyDescent="0.2">
      <c r="A286" s="10">
        <v>42944</v>
      </c>
      <c r="B286" s="9" t="s">
        <v>370</v>
      </c>
      <c r="C286" s="9" t="s">
        <v>371</v>
      </c>
      <c r="D286" s="9" t="s">
        <v>71</v>
      </c>
      <c r="E286" s="9">
        <v>34</v>
      </c>
      <c r="F286" s="11">
        <v>77.2</v>
      </c>
      <c r="G286" s="11">
        <v>82.8</v>
      </c>
      <c r="H286" s="11">
        <v>7.6</v>
      </c>
      <c r="I286" s="9">
        <v>95.3</v>
      </c>
      <c r="J286" s="9">
        <v>0</v>
      </c>
      <c r="K286" s="9">
        <v>0</v>
      </c>
      <c r="L286" s="9">
        <v>0</v>
      </c>
      <c r="M286" s="9">
        <v>2.54</v>
      </c>
      <c r="N286" s="9">
        <v>0</v>
      </c>
      <c r="O286" s="9">
        <v>2.15</v>
      </c>
      <c r="P286" s="9">
        <v>0</v>
      </c>
      <c r="Q286" s="9">
        <v>0</v>
      </c>
      <c r="R286" s="9">
        <v>2.15</v>
      </c>
      <c r="S286" s="9">
        <v>0</v>
      </c>
      <c r="T286" s="9">
        <v>3.46</v>
      </c>
      <c r="U286" s="9">
        <v>39.58</v>
      </c>
      <c r="V286" s="9">
        <v>19.690000000000001</v>
      </c>
      <c r="W286" s="9">
        <v>0.52</v>
      </c>
      <c r="X286" s="9">
        <v>0</v>
      </c>
      <c r="Y286" s="9">
        <v>0</v>
      </c>
      <c r="Z286" s="9">
        <v>0</v>
      </c>
      <c r="AM286" s="9">
        <v>24.7</v>
      </c>
      <c r="AN286" s="9">
        <v>1</v>
      </c>
      <c r="AO286" s="9">
        <v>35</v>
      </c>
      <c r="AP286" s="9">
        <v>12</v>
      </c>
      <c r="AQ286" s="9">
        <f>0.74+1.18+0.78+1.48+2.22*2+0.2+0.26+0.13</f>
        <v>9.2100000000000009</v>
      </c>
      <c r="AR286" s="9">
        <v>4</v>
      </c>
      <c r="BQ286" s="9">
        <v>1</v>
      </c>
      <c r="DB286" s="11">
        <v>0</v>
      </c>
      <c r="DC286" s="11">
        <v>0</v>
      </c>
      <c r="DD286" s="11"/>
      <c r="DE286" s="11"/>
      <c r="DF286" s="11"/>
      <c r="DG286" s="11"/>
      <c r="DH286" s="11"/>
      <c r="DI286" s="11"/>
      <c r="DJ286" s="11"/>
      <c r="DK286" s="11"/>
      <c r="DL286" s="11"/>
      <c r="DM286" s="11">
        <v>0.54</v>
      </c>
      <c r="DN286" s="11">
        <v>0.13</v>
      </c>
      <c r="DO286" s="11"/>
      <c r="DP286" s="11"/>
      <c r="DQ286" s="11">
        <v>0</v>
      </c>
      <c r="DR286" s="11">
        <v>0</v>
      </c>
      <c r="DS286" s="11">
        <v>0</v>
      </c>
      <c r="DT286" s="9">
        <v>0</v>
      </c>
    </row>
    <row r="287" spans="1:124" x14ac:dyDescent="0.2">
      <c r="A287" s="10">
        <v>42944</v>
      </c>
      <c r="B287" s="9" t="s">
        <v>370</v>
      </c>
      <c r="C287" s="9" t="s">
        <v>371</v>
      </c>
      <c r="D287" s="9" t="s">
        <v>74</v>
      </c>
      <c r="E287" s="9">
        <v>29</v>
      </c>
      <c r="F287" s="11">
        <v>86</v>
      </c>
      <c r="G287" s="11">
        <v>82.8</v>
      </c>
      <c r="H287" s="11">
        <v>28.2</v>
      </c>
      <c r="I287" s="9">
        <v>64.150000000000006</v>
      </c>
      <c r="J287" s="9">
        <v>0</v>
      </c>
      <c r="K287" s="9">
        <v>18.11</v>
      </c>
      <c r="L287" s="9">
        <v>0</v>
      </c>
      <c r="M287" s="9">
        <v>16.260000000000002</v>
      </c>
      <c r="N287" s="9">
        <v>0</v>
      </c>
      <c r="O287" s="9">
        <v>1.48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25.68</v>
      </c>
      <c r="V287" s="9">
        <v>26.98</v>
      </c>
      <c r="W287" s="9">
        <v>0</v>
      </c>
      <c r="X287" s="9">
        <v>0</v>
      </c>
      <c r="Y287" s="9">
        <v>0</v>
      </c>
      <c r="Z287" s="9">
        <v>0</v>
      </c>
      <c r="AM287" s="9">
        <v>0</v>
      </c>
      <c r="AN287" s="9">
        <v>0</v>
      </c>
      <c r="BQ287" s="9">
        <v>0</v>
      </c>
      <c r="DB287" s="11">
        <v>0</v>
      </c>
      <c r="DC287" s="11">
        <v>0</v>
      </c>
      <c r="DD287" s="11"/>
      <c r="DE287" s="11"/>
      <c r="DF287" s="11"/>
      <c r="DG287" s="11"/>
      <c r="DH287" s="11"/>
      <c r="DI287" s="11"/>
      <c r="DJ287" s="11"/>
      <c r="DK287" s="11"/>
      <c r="DL287" s="11"/>
      <c r="DM287" s="11">
        <v>0</v>
      </c>
      <c r="DN287" s="11">
        <v>0</v>
      </c>
      <c r="DO287" s="11"/>
      <c r="DP287" s="11"/>
      <c r="DQ287" s="11">
        <v>0</v>
      </c>
      <c r="DR287" s="11">
        <v>0</v>
      </c>
      <c r="DS287" s="11">
        <v>0</v>
      </c>
      <c r="DT287" s="9">
        <v>0</v>
      </c>
    </row>
    <row r="288" spans="1:124" x14ac:dyDescent="0.2">
      <c r="A288" s="10">
        <v>42944</v>
      </c>
      <c r="B288" s="9" t="s">
        <v>370</v>
      </c>
      <c r="C288" s="9" t="s">
        <v>371</v>
      </c>
      <c r="D288" s="9" t="s">
        <v>73</v>
      </c>
      <c r="E288" s="9">
        <v>29</v>
      </c>
      <c r="F288" s="11">
        <v>86</v>
      </c>
      <c r="G288" s="11">
        <v>82.8</v>
      </c>
      <c r="H288" s="11">
        <v>28.2</v>
      </c>
      <c r="I288" s="9">
        <v>64.150000000000006</v>
      </c>
      <c r="J288" s="9">
        <v>0</v>
      </c>
      <c r="K288" s="9">
        <v>18.11</v>
      </c>
      <c r="L288" s="9">
        <v>0</v>
      </c>
      <c r="M288" s="9">
        <v>16.260000000000002</v>
      </c>
      <c r="N288" s="9">
        <v>0</v>
      </c>
      <c r="O288" s="9">
        <v>1.48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25.68</v>
      </c>
      <c r="V288" s="9">
        <v>26.98</v>
      </c>
      <c r="W288" s="9">
        <v>0</v>
      </c>
      <c r="X288" s="9">
        <v>0</v>
      </c>
      <c r="Y288" s="9">
        <v>0</v>
      </c>
      <c r="Z288" s="9">
        <v>0</v>
      </c>
      <c r="AM288" s="9">
        <v>0</v>
      </c>
      <c r="AN288" s="9">
        <v>0</v>
      </c>
      <c r="BQ288" s="9">
        <v>0</v>
      </c>
      <c r="DB288" s="11">
        <v>0</v>
      </c>
      <c r="DC288" s="11">
        <v>0</v>
      </c>
      <c r="DD288" s="11"/>
      <c r="DE288" s="11"/>
      <c r="DF288" s="11"/>
      <c r="DG288" s="11"/>
      <c r="DH288" s="11"/>
      <c r="DI288" s="11"/>
      <c r="DJ288" s="11"/>
      <c r="DK288" s="11"/>
      <c r="DL288" s="11"/>
      <c r="DM288" s="11">
        <v>0</v>
      </c>
      <c r="DN288" s="11">
        <v>0</v>
      </c>
      <c r="DO288" s="11"/>
      <c r="DP288" s="11"/>
      <c r="DQ288" s="11">
        <v>0</v>
      </c>
      <c r="DR288" s="11">
        <v>0</v>
      </c>
      <c r="DS288" s="11">
        <v>0</v>
      </c>
      <c r="DT288" s="9">
        <v>0</v>
      </c>
    </row>
    <row r="289" spans="1:124" x14ac:dyDescent="0.2">
      <c r="A289" s="10">
        <v>42944</v>
      </c>
      <c r="B289" s="9" t="s">
        <v>370</v>
      </c>
      <c r="C289" s="9" t="s">
        <v>371</v>
      </c>
      <c r="D289" s="9" t="s">
        <v>463</v>
      </c>
      <c r="E289" s="9">
        <v>43.5</v>
      </c>
      <c r="F289" s="11">
        <v>79.599999999999994</v>
      </c>
      <c r="G289" s="11">
        <v>82.8</v>
      </c>
      <c r="I289" s="9">
        <v>97.36</v>
      </c>
      <c r="J289" s="9">
        <v>0</v>
      </c>
      <c r="K289" s="9">
        <v>0.62</v>
      </c>
      <c r="L289" s="9">
        <v>0</v>
      </c>
      <c r="M289" s="9">
        <v>2.0299999999999998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4.8</v>
      </c>
      <c r="U289" s="9">
        <v>38.130000000000003</v>
      </c>
      <c r="V289" s="9">
        <v>5.96</v>
      </c>
      <c r="W289" s="9">
        <v>0</v>
      </c>
      <c r="X289" s="9">
        <v>0</v>
      </c>
      <c r="Z289" s="9">
        <v>1</v>
      </c>
      <c r="AA289" s="9">
        <v>10</v>
      </c>
      <c r="AC289" s="9">
        <v>1</v>
      </c>
      <c r="AD289" s="9">
        <v>5</v>
      </c>
      <c r="AF289" s="9">
        <v>1</v>
      </c>
      <c r="AN289" s="9">
        <v>1</v>
      </c>
      <c r="AO289" s="9">
        <v>35</v>
      </c>
      <c r="AP289" s="9">
        <v>8</v>
      </c>
      <c r="AQ289" s="9">
        <f>0.34*2+0.46+0.76*3+1.09+0.06</f>
        <v>4.57</v>
      </c>
      <c r="AR289" s="9">
        <v>34</v>
      </c>
      <c r="AS289" s="9">
        <v>1</v>
      </c>
      <c r="AT289" s="9">
        <v>0.23</v>
      </c>
      <c r="AU289" s="9">
        <v>1</v>
      </c>
      <c r="AV289" s="9">
        <v>40</v>
      </c>
      <c r="AW289" s="9">
        <v>1</v>
      </c>
      <c r="AX289" s="9">
        <v>0.02</v>
      </c>
      <c r="AY289" s="12">
        <v>3</v>
      </c>
      <c r="BQ289" s="9">
        <v>0</v>
      </c>
      <c r="DB289" s="11"/>
      <c r="DC289" s="11">
        <v>0</v>
      </c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>
        <f>0.51+0.34+1.09</f>
        <v>1.9400000000000002</v>
      </c>
      <c r="DO289" s="11"/>
      <c r="DP289" s="11"/>
      <c r="DQ289" s="11"/>
      <c r="DR289" s="11">
        <v>0</v>
      </c>
      <c r="DS289" s="11"/>
      <c r="DT289" s="9">
        <v>0</v>
      </c>
    </row>
    <row r="290" spans="1:124" x14ac:dyDescent="0.2">
      <c r="A290" s="10">
        <v>42944</v>
      </c>
      <c r="B290" s="9" t="s">
        <v>370</v>
      </c>
      <c r="C290" s="9" t="s">
        <v>371</v>
      </c>
      <c r="D290" s="9" t="s">
        <v>464</v>
      </c>
      <c r="E290" s="9">
        <v>45</v>
      </c>
      <c r="F290" s="11">
        <v>79.599999999999994</v>
      </c>
      <c r="G290" s="11">
        <v>82.8</v>
      </c>
      <c r="I290" s="9">
        <v>97.36</v>
      </c>
      <c r="J290" s="9">
        <v>0</v>
      </c>
      <c r="K290" s="9">
        <v>0.62</v>
      </c>
      <c r="L290" s="9">
        <v>0</v>
      </c>
      <c r="M290" s="9">
        <v>2.0299999999999998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4.76</v>
      </c>
      <c r="U290" s="9">
        <v>38.22</v>
      </c>
      <c r="V290" s="9">
        <v>5.93</v>
      </c>
      <c r="W290" s="9">
        <v>0</v>
      </c>
      <c r="X290" s="9">
        <v>0</v>
      </c>
      <c r="Z290" s="9">
        <v>1</v>
      </c>
      <c r="AA290" s="9">
        <v>10</v>
      </c>
      <c r="AC290" s="9">
        <v>1</v>
      </c>
      <c r="AD290" s="9">
        <v>5</v>
      </c>
      <c r="AF290" s="9">
        <v>1</v>
      </c>
      <c r="AN290" s="9">
        <v>1</v>
      </c>
      <c r="AO290" s="9">
        <v>35</v>
      </c>
      <c r="AP290" s="9">
        <v>8</v>
      </c>
      <c r="AQ290" s="9">
        <v>4.57</v>
      </c>
      <c r="AR290" s="9">
        <v>34</v>
      </c>
      <c r="AS290" s="9">
        <v>1</v>
      </c>
      <c r="AT290" s="9">
        <v>0.23</v>
      </c>
      <c r="AU290" s="9">
        <v>1</v>
      </c>
      <c r="AV290" s="9">
        <v>40</v>
      </c>
      <c r="AW290" s="9">
        <v>1</v>
      </c>
      <c r="AX290" s="9">
        <v>0</v>
      </c>
      <c r="AY290" s="12">
        <v>3</v>
      </c>
      <c r="BQ290" s="9">
        <v>0</v>
      </c>
      <c r="DB290" s="11"/>
      <c r="DC290" s="11">
        <v>0</v>
      </c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>
        <f>2+0.51+0.34*2+1.09+0.02</f>
        <v>4.3</v>
      </c>
      <c r="DO290" s="11"/>
      <c r="DP290" s="11"/>
      <c r="DQ290" s="11"/>
      <c r="DR290" s="11">
        <v>0</v>
      </c>
      <c r="DS290" s="11"/>
      <c r="DT290" s="9">
        <v>0</v>
      </c>
    </row>
    <row r="291" spans="1:124" x14ac:dyDescent="0.2">
      <c r="A291" s="10">
        <v>42944</v>
      </c>
      <c r="B291" s="9" t="s">
        <v>370</v>
      </c>
      <c r="C291" s="9" t="s">
        <v>371</v>
      </c>
      <c r="D291" s="9" t="s">
        <v>85</v>
      </c>
      <c r="E291" s="9">
        <v>45.5</v>
      </c>
      <c r="F291" s="11">
        <v>79.7</v>
      </c>
      <c r="G291" s="11">
        <v>82.8</v>
      </c>
      <c r="H291" s="11">
        <v>7.6</v>
      </c>
      <c r="I291" s="9">
        <v>97.4</v>
      </c>
      <c r="J291" s="9">
        <v>0</v>
      </c>
      <c r="K291" s="9">
        <v>0.62</v>
      </c>
      <c r="L291" s="9">
        <v>0</v>
      </c>
      <c r="M291" s="9">
        <v>1.98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4.6900000000000004</v>
      </c>
      <c r="U291" s="9">
        <v>38.44</v>
      </c>
      <c r="V291" s="9">
        <v>5.92</v>
      </c>
      <c r="W291" s="9">
        <v>0</v>
      </c>
      <c r="X291" s="9">
        <v>0</v>
      </c>
      <c r="Y291" s="9">
        <v>14.2</v>
      </c>
      <c r="Z291" s="9">
        <v>1</v>
      </c>
      <c r="AA291" s="9">
        <v>10</v>
      </c>
      <c r="AC291" s="9">
        <v>2</v>
      </c>
      <c r="AM291" s="9">
        <v>14.7</v>
      </c>
      <c r="AN291" s="9">
        <v>1</v>
      </c>
      <c r="AO291" s="9">
        <v>35</v>
      </c>
      <c r="AP291" s="9">
        <v>8</v>
      </c>
      <c r="AQ291" s="9">
        <f>0.39*2+0.52+0.74*3+1.11+0.07</f>
        <v>4.7</v>
      </c>
      <c r="AR291" s="9">
        <v>3</v>
      </c>
      <c r="AS291" s="9">
        <v>34</v>
      </c>
      <c r="AT291" s="9">
        <v>1</v>
      </c>
      <c r="AU291" s="9">
        <v>0.26</v>
      </c>
      <c r="AV291" s="9">
        <v>1</v>
      </c>
      <c r="BQ291" s="9">
        <v>0</v>
      </c>
      <c r="DB291" s="11">
        <v>0</v>
      </c>
      <c r="DC291" s="11">
        <v>0</v>
      </c>
      <c r="DD291" s="11"/>
      <c r="DE291" s="11"/>
      <c r="DF291" s="11"/>
      <c r="DG291" s="11"/>
      <c r="DH291" s="11"/>
      <c r="DI291" s="11"/>
      <c r="DJ291" s="11"/>
      <c r="DK291" s="11"/>
      <c r="DL291" s="11"/>
      <c r="DM291" s="11">
        <v>5.71</v>
      </c>
      <c r="DN291" s="11">
        <v>4.51</v>
      </c>
      <c r="DO291" s="11"/>
      <c r="DP291" s="11"/>
      <c r="DQ291" s="11">
        <v>0</v>
      </c>
      <c r="DR291" s="11">
        <v>0</v>
      </c>
      <c r="DS291" s="11">
        <v>0</v>
      </c>
      <c r="DT291" s="9">
        <v>0</v>
      </c>
    </row>
    <row r="292" spans="1:124" x14ac:dyDescent="0.2">
      <c r="A292" s="10">
        <v>42944</v>
      </c>
      <c r="B292" s="9" t="s">
        <v>370</v>
      </c>
      <c r="C292" s="9" t="s">
        <v>371</v>
      </c>
      <c r="D292" s="9" t="s">
        <v>84</v>
      </c>
      <c r="E292" s="9">
        <v>44</v>
      </c>
      <c r="F292" s="11">
        <v>79.7</v>
      </c>
      <c r="G292" s="11">
        <v>82.8</v>
      </c>
      <c r="H292" s="11">
        <v>7.6</v>
      </c>
      <c r="I292" s="9">
        <v>97.4</v>
      </c>
      <c r="J292" s="9">
        <v>0</v>
      </c>
      <c r="K292" s="9">
        <v>0.62</v>
      </c>
      <c r="L292" s="9">
        <v>0</v>
      </c>
      <c r="M292" s="9">
        <v>1.98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4.6900000000000004</v>
      </c>
      <c r="U292" s="9">
        <v>38.44</v>
      </c>
      <c r="V292" s="9">
        <v>5.92</v>
      </c>
      <c r="W292" s="9">
        <v>0</v>
      </c>
      <c r="X292" s="9">
        <v>0</v>
      </c>
      <c r="Y292" s="9">
        <v>13.9</v>
      </c>
      <c r="Z292" s="9">
        <v>1</v>
      </c>
      <c r="AA292" s="9">
        <v>10</v>
      </c>
      <c r="AC292" s="9">
        <v>1</v>
      </c>
      <c r="AD292" s="9">
        <v>5</v>
      </c>
      <c r="AF292" s="9">
        <v>1</v>
      </c>
      <c r="AM292" s="9">
        <v>14.7</v>
      </c>
      <c r="AN292" s="9">
        <v>1</v>
      </c>
      <c r="AO292" s="9">
        <v>35</v>
      </c>
      <c r="AP292" s="9">
        <v>8</v>
      </c>
      <c r="AQ292" s="9">
        <f>0.39*2+0.52+0.74*3+1.11+0.07</f>
        <v>4.7</v>
      </c>
      <c r="AR292" s="9">
        <v>3</v>
      </c>
      <c r="AS292" s="9">
        <v>34</v>
      </c>
      <c r="AT292" s="9">
        <v>1</v>
      </c>
      <c r="AU292" s="9">
        <v>0.26</v>
      </c>
      <c r="AV292" s="9">
        <v>1</v>
      </c>
      <c r="BQ292" s="9">
        <v>0</v>
      </c>
      <c r="DB292" s="11">
        <v>0</v>
      </c>
      <c r="DC292" s="11">
        <v>0</v>
      </c>
      <c r="DD292" s="11"/>
      <c r="DE292" s="11"/>
      <c r="DF292" s="11"/>
      <c r="DG292" s="11"/>
      <c r="DH292" s="11"/>
      <c r="DI292" s="11"/>
      <c r="DJ292" s="11"/>
      <c r="DK292" s="11"/>
      <c r="DL292" s="11"/>
      <c r="DM292" s="11">
        <v>4.76</v>
      </c>
      <c r="DN292" s="11">
        <v>2.09</v>
      </c>
      <c r="DO292" s="11"/>
      <c r="DP292" s="11"/>
      <c r="DQ292" s="11">
        <v>0</v>
      </c>
      <c r="DR292" s="11">
        <v>0</v>
      </c>
      <c r="DS292" s="11">
        <v>0</v>
      </c>
      <c r="DT292" s="9">
        <v>0</v>
      </c>
    </row>
    <row r="293" spans="1:124" x14ac:dyDescent="0.2">
      <c r="A293" s="10">
        <v>42945</v>
      </c>
      <c r="B293" s="9" t="s">
        <v>370</v>
      </c>
      <c r="C293" s="9" t="s">
        <v>371</v>
      </c>
      <c r="D293" s="9" t="s">
        <v>88</v>
      </c>
      <c r="E293" s="9">
        <v>34.5</v>
      </c>
      <c r="F293" s="11">
        <v>83.7</v>
      </c>
      <c r="G293" s="11">
        <v>82.8</v>
      </c>
      <c r="H293" s="11">
        <v>7.7</v>
      </c>
      <c r="I293" s="9">
        <v>30.75</v>
      </c>
      <c r="J293" s="9">
        <v>0</v>
      </c>
      <c r="K293" s="9">
        <v>0</v>
      </c>
      <c r="L293" s="9">
        <v>0</v>
      </c>
      <c r="M293" s="9">
        <v>1.1100000000000001</v>
      </c>
      <c r="N293" s="9">
        <v>0</v>
      </c>
      <c r="O293" s="9">
        <v>68.14</v>
      </c>
      <c r="P293" s="9">
        <v>0</v>
      </c>
      <c r="Q293" s="9">
        <v>0</v>
      </c>
      <c r="R293" s="9">
        <v>2.2200000000000002</v>
      </c>
      <c r="S293" s="9">
        <v>0</v>
      </c>
      <c r="T293" s="9">
        <v>0</v>
      </c>
      <c r="U293" s="9">
        <v>50.71</v>
      </c>
      <c r="V293" s="9">
        <v>1.66</v>
      </c>
      <c r="W293" s="9">
        <v>0</v>
      </c>
      <c r="X293" s="9">
        <v>0</v>
      </c>
      <c r="Y293" s="9">
        <v>0</v>
      </c>
      <c r="Z293" s="9">
        <v>0</v>
      </c>
      <c r="AM293" s="9">
        <v>10.4</v>
      </c>
      <c r="AN293" s="9">
        <v>1</v>
      </c>
      <c r="AO293" s="9">
        <v>35</v>
      </c>
      <c r="AP293" s="9">
        <v>3</v>
      </c>
      <c r="AQ293" s="9">
        <f>1.48+2.03+1.11</f>
        <v>4.62</v>
      </c>
      <c r="AR293" s="9">
        <v>3</v>
      </c>
      <c r="BQ293" s="9">
        <v>0</v>
      </c>
      <c r="DB293" s="11">
        <v>1.85</v>
      </c>
      <c r="DC293" s="11">
        <v>1</v>
      </c>
      <c r="DD293" s="11">
        <v>1</v>
      </c>
      <c r="DE293" s="11"/>
      <c r="DF293" s="11">
        <f>2.05+4.11+2.05</f>
        <v>8.2100000000000009</v>
      </c>
      <c r="DG293" s="11"/>
      <c r="DH293" s="11"/>
      <c r="DI293" s="11"/>
      <c r="DJ293" s="11"/>
      <c r="DK293" s="11"/>
      <c r="DL293" s="11"/>
      <c r="DM293" s="11">
        <v>11.16</v>
      </c>
      <c r="DN293" s="11">
        <f>2.05+4.11+1.11+1.48+2.03*3+1.31+1.11+2.03</f>
        <v>19.29</v>
      </c>
      <c r="DO293" s="11"/>
      <c r="DP293" s="11"/>
      <c r="DQ293" s="11">
        <v>2.9</v>
      </c>
      <c r="DR293" s="11">
        <f>1.66+7.76+1.11+1.48+2.03+1.66+1.11+1.48+2.03+1.11</f>
        <v>21.43</v>
      </c>
      <c r="DS293" s="11">
        <v>0</v>
      </c>
      <c r="DT293" s="9">
        <v>0</v>
      </c>
    </row>
    <row r="294" spans="1:124" x14ac:dyDescent="0.2">
      <c r="A294" s="10">
        <v>42946</v>
      </c>
      <c r="B294" s="9" t="s">
        <v>370</v>
      </c>
      <c r="C294" s="9" t="s">
        <v>371</v>
      </c>
      <c r="D294" s="9" t="s">
        <v>87</v>
      </c>
      <c r="E294" s="9">
        <v>35</v>
      </c>
      <c r="F294" s="11">
        <v>83.7</v>
      </c>
      <c r="G294" s="11">
        <v>82.8</v>
      </c>
      <c r="H294" s="11">
        <v>7.7</v>
      </c>
      <c r="I294" s="9">
        <v>24.47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75.53</v>
      </c>
      <c r="P294" s="9">
        <v>0</v>
      </c>
      <c r="Q294" s="9">
        <v>0</v>
      </c>
      <c r="R294" s="9">
        <v>2.2200000000000002</v>
      </c>
      <c r="S294" s="9">
        <v>0</v>
      </c>
      <c r="T294" s="9">
        <v>0</v>
      </c>
      <c r="U294" s="9">
        <v>50.71</v>
      </c>
      <c r="V294" s="9">
        <v>1.66</v>
      </c>
      <c r="W294" s="9">
        <v>0</v>
      </c>
      <c r="X294" s="9">
        <v>0</v>
      </c>
      <c r="Y294" s="9">
        <v>0</v>
      </c>
      <c r="Z294" s="9">
        <v>0</v>
      </c>
      <c r="AM294" s="9">
        <v>12.9</v>
      </c>
      <c r="AN294" s="9">
        <v>1</v>
      </c>
      <c r="AO294" s="9">
        <v>35</v>
      </c>
      <c r="AP294" s="9">
        <v>3</v>
      </c>
      <c r="AQ294" s="9">
        <v>4.62</v>
      </c>
      <c r="AR294" s="9">
        <v>3</v>
      </c>
      <c r="BQ294" s="9">
        <v>0</v>
      </c>
      <c r="DB294" s="11">
        <v>1.85</v>
      </c>
      <c r="DC294" s="11">
        <v>1</v>
      </c>
      <c r="DD294" s="11">
        <v>1</v>
      </c>
      <c r="DE294" s="11"/>
      <c r="DF294" s="11">
        <f>2.05+4.11+2.05</f>
        <v>8.2100000000000009</v>
      </c>
      <c r="DG294" s="11"/>
      <c r="DH294" s="11"/>
      <c r="DI294" s="11"/>
      <c r="DJ294" s="11"/>
      <c r="DK294" s="11"/>
      <c r="DL294" s="11"/>
      <c r="DM294" s="11">
        <v>9.52</v>
      </c>
      <c r="DN294" s="11">
        <f>2.05+4.11+1.11+1.48+2.03*3+1.31+1.11+2.03</f>
        <v>19.29</v>
      </c>
      <c r="DO294" s="11"/>
      <c r="DP294" s="11"/>
      <c r="DQ294" s="11">
        <v>2.9</v>
      </c>
      <c r="DR294" s="11">
        <f>1.66+7.76+1.11+1.48+2.03+1.66+1.11+1.48+2.03+1.11</f>
        <v>21.43</v>
      </c>
      <c r="DS294" s="11">
        <v>0</v>
      </c>
      <c r="DT294" s="9">
        <v>1</v>
      </c>
    </row>
    <row r="295" spans="1:124" x14ac:dyDescent="0.2">
      <c r="A295" s="10">
        <v>42944</v>
      </c>
      <c r="B295" s="9" t="s">
        <v>370</v>
      </c>
      <c r="C295" s="9" t="s">
        <v>371</v>
      </c>
      <c r="D295" s="9" t="s">
        <v>90</v>
      </c>
      <c r="E295" s="9">
        <v>30.5</v>
      </c>
      <c r="F295" s="11">
        <v>78.8</v>
      </c>
      <c r="G295" s="11">
        <v>82.8</v>
      </c>
      <c r="H295" s="11">
        <v>9.1999999999999993</v>
      </c>
      <c r="I295" s="9">
        <v>95.93</v>
      </c>
      <c r="J295" s="9">
        <v>0</v>
      </c>
      <c r="K295" s="9">
        <v>0</v>
      </c>
      <c r="L295" s="9">
        <v>0</v>
      </c>
      <c r="M295" s="9">
        <v>4.07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22.37</v>
      </c>
      <c r="U295" s="9">
        <v>33.49</v>
      </c>
      <c r="V295" s="9">
        <v>5.2</v>
      </c>
      <c r="W295" s="9">
        <v>0</v>
      </c>
      <c r="X295" s="9">
        <v>0</v>
      </c>
      <c r="Y295" s="9">
        <v>0</v>
      </c>
      <c r="Z295" s="9">
        <v>0</v>
      </c>
      <c r="AM295" s="9">
        <v>16.5</v>
      </c>
      <c r="AN295" s="9">
        <v>1</v>
      </c>
      <c r="AO295" s="9">
        <v>35</v>
      </c>
      <c r="AP295" s="9">
        <v>7</v>
      </c>
      <c r="AQ295" s="9">
        <f>3.33+0.56+1.11+0.19</f>
        <v>5.19</v>
      </c>
      <c r="AR295" s="9">
        <v>3</v>
      </c>
      <c r="BQ295" s="9">
        <v>0</v>
      </c>
      <c r="DB295" s="11">
        <v>0.94</v>
      </c>
      <c r="DC295" s="11">
        <v>1</v>
      </c>
      <c r="DD295" s="11">
        <v>1</v>
      </c>
      <c r="DE295" s="11"/>
      <c r="DF295" s="11">
        <f>2.05+0.18*2+0.36</f>
        <v>2.7699999999999996</v>
      </c>
      <c r="DG295" s="11"/>
      <c r="DH295" s="11"/>
      <c r="DI295" s="11"/>
      <c r="DJ295" s="11"/>
      <c r="DK295" s="11"/>
      <c r="DL295" s="11"/>
      <c r="DM295" s="11">
        <v>0.72</v>
      </c>
      <c r="DN295" s="11">
        <v>0.76</v>
      </c>
      <c r="DO295" s="11"/>
      <c r="DP295" s="11"/>
      <c r="DQ295" s="11">
        <v>0</v>
      </c>
      <c r="DR295" s="11">
        <v>0</v>
      </c>
      <c r="DS295" s="11">
        <v>0</v>
      </c>
      <c r="DT295" s="9">
        <v>0</v>
      </c>
    </row>
    <row r="296" spans="1:124" x14ac:dyDescent="0.2">
      <c r="A296" s="10">
        <v>42944</v>
      </c>
      <c r="B296" s="9" t="s">
        <v>370</v>
      </c>
      <c r="C296" s="9" t="s">
        <v>371</v>
      </c>
      <c r="D296" s="9" t="s">
        <v>89</v>
      </c>
      <c r="E296" s="9">
        <v>30.5</v>
      </c>
      <c r="F296" s="11">
        <v>78.8</v>
      </c>
      <c r="G296" s="11">
        <v>82.8</v>
      </c>
      <c r="H296" s="11">
        <v>9.1999999999999993</v>
      </c>
      <c r="I296" s="9">
        <v>95.93</v>
      </c>
      <c r="J296" s="9">
        <v>0</v>
      </c>
      <c r="K296" s="9">
        <v>0</v>
      </c>
      <c r="L296" s="9">
        <v>0</v>
      </c>
      <c r="M296" s="9">
        <v>4.07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22.37</v>
      </c>
      <c r="U296" s="9">
        <v>33.49</v>
      </c>
      <c r="V296" s="9">
        <v>5.2</v>
      </c>
      <c r="W296" s="9">
        <v>0</v>
      </c>
      <c r="X296" s="9">
        <v>0</v>
      </c>
      <c r="Y296" s="9">
        <v>0</v>
      </c>
      <c r="Z296" s="9">
        <v>0</v>
      </c>
      <c r="AM296" s="9">
        <v>16.5</v>
      </c>
      <c r="AN296" s="9">
        <v>1</v>
      </c>
      <c r="AO296" s="9">
        <v>35</v>
      </c>
      <c r="AP296" s="9">
        <v>7</v>
      </c>
      <c r="AQ296" s="9">
        <v>5.19</v>
      </c>
      <c r="AR296" s="9">
        <v>3</v>
      </c>
      <c r="BQ296" s="9">
        <v>0</v>
      </c>
      <c r="DB296" s="11">
        <v>0.94</v>
      </c>
      <c r="DC296" s="11">
        <v>1</v>
      </c>
      <c r="DD296" s="11">
        <v>1</v>
      </c>
      <c r="DE296" s="11"/>
      <c r="DF296" s="11">
        <f>2.05+0.18*2+0.36</f>
        <v>2.7699999999999996</v>
      </c>
      <c r="DG296" s="11"/>
      <c r="DH296" s="11"/>
      <c r="DI296" s="11"/>
      <c r="DJ296" s="11"/>
      <c r="DK296" s="11"/>
      <c r="DL296" s="11"/>
      <c r="DM296" s="11">
        <v>0.72</v>
      </c>
      <c r="DN296" s="11">
        <v>0.76</v>
      </c>
      <c r="DO296" s="11"/>
      <c r="DP296" s="11"/>
      <c r="DQ296" s="11">
        <v>0</v>
      </c>
      <c r="DR296" s="11">
        <v>0</v>
      </c>
      <c r="DS296" s="11">
        <v>0</v>
      </c>
      <c r="DT296" s="9">
        <v>0</v>
      </c>
    </row>
    <row r="297" spans="1:124" x14ac:dyDescent="0.2">
      <c r="A297" s="10">
        <v>42944</v>
      </c>
      <c r="B297" s="9" t="s">
        <v>370</v>
      </c>
      <c r="C297" s="9" t="s">
        <v>371</v>
      </c>
      <c r="D297" s="9" t="s">
        <v>92</v>
      </c>
      <c r="E297" s="9">
        <v>18.5</v>
      </c>
      <c r="F297" s="11">
        <v>83.7</v>
      </c>
      <c r="G297" s="11">
        <v>82.8</v>
      </c>
      <c r="H297" s="11">
        <v>5.2</v>
      </c>
      <c r="I297" s="9">
        <v>100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2.4</v>
      </c>
      <c r="U297" s="9">
        <v>56.23</v>
      </c>
      <c r="V297" s="9">
        <v>9.61</v>
      </c>
      <c r="W297" s="9">
        <v>0</v>
      </c>
      <c r="X297" s="9">
        <v>0</v>
      </c>
      <c r="Y297" s="9">
        <v>0</v>
      </c>
      <c r="Z297" s="9">
        <v>0</v>
      </c>
      <c r="AM297" s="9">
        <v>5.8</v>
      </c>
      <c r="AN297" s="9">
        <v>1</v>
      </c>
      <c r="AO297" s="9">
        <v>47</v>
      </c>
      <c r="AP297" s="9">
        <v>1</v>
      </c>
      <c r="AQ297" s="9">
        <v>2.0299999999999998</v>
      </c>
      <c r="AR297" s="9">
        <v>3</v>
      </c>
      <c r="BQ297" s="9">
        <v>0</v>
      </c>
      <c r="DB297" s="11">
        <v>1.23</v>
      </c>
      <c r="DC297" s="11">
        <v>1</v>
      </c>
      <c r="DD297" s="11">
        <v>1</v>
      </c>
      <c r="DE297" s="11"/>
      <c r="DF297" s="11">
        <v>4.0999999999999996</v>
      </c>
      <c r="DG297" s="11"/>
      <c r="DH297" s="11"/>
      <c r="DI297" s="11"/>
      <c r="DJ297" s="11"/>
      <c r="DK297" s="11"/>
      <c r="DL297" s="11"/>
      <c r="DM297" s="11">
        <v>0</v>
      </c>
      <c r="DN297" s="11">
        <v>0</v>
      </c>
      <c r="DO297" s="11"/>
      <c r="DP297" s="11"/>
      <c r="DQ297" s="11">
        <v>2.9</v>
      </c>
      <c r="DR297" s="11">
        <v>1.1100000000000001</v>
      </c>
      <c r="DS297" s="11">
        <v>0</v>
      </c>
      <c r="DT297" s="9">
        <v>0</v>
      </c>
    </row>
    <row r="298" spans="1:124" x14ac:dyDescent="0.2">
      <c r="A298" s="10">
        <v>42944</v>
      </c>
      <c r="B298" s="9" t="s">
        <v>370</v>
      </c>
      <c r="C298" s="9" t="s">
        <v>371</v>
      </c>
      <c r="D298" s="9" t="s">
        <v>91</v>
      </c>
      <c r="E298" s="9">
        <v>18.5</v>
      </c>
      <c r="F298" s="11">
        <v>83.7</v>
      </c>
      <c r="G298" s="11">
        <v>82.8</v>
      </c>
      <c r="H298" s="11">
        <v>5.2</v>
      </c>
      <c r="I298" s="9">
        <v>100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2.4</v>
      </c>
      <c r="U298" s="9">
        <v>56.23</v>
      </c>
      <c r="V298" s="9">
        <v>9.61</v>
      </c>
      <c r="W298" s="9">
        <v>0</v>
      </c>
      <c r="X298" s="9">
        <v>0</v>
      </c>
      <c r="Y298" s="9">
        <v>0</v>
      </c>
      <c r="Z298" s="9">
        <v>0</v>
      </c>
      <c r="AM298" s="9">
        <v>5.8</v>
      </c>
      <c r="AN298" s="9">
        <v>1</v>
      </c>
      <c r="AO298" s="9">
        <v>47</v>
      </c>
      <c r="AP298" s="9">
        <v>1</v>
      </c>
      <c r="AQ298" s="9">
        <v>2.0299999999999998</v>
      </c>
      <c r="AR298" s="9">
        <v>3</v>
      </c>
      <c r="BQ298" s="9">
        <v>0</v>
      </c>
      <c r="DB298" s="11">
        <v>1.23</v>
      </c>
      <c r="DC298" s="11">
        <v>1</v>
      </c>
      <c r="DD298" s="11">
        <v>1</v>
      </c>
      <c r="DE298" s="11"/>
      <c r="DF298" s="11">
        <v>4.0999999999999996</v>
      </c>
      <c r="DG298" s="11"/>
      <c r="DH298" s="11"/>
      <c r="DI298" s="11"/>
      <c r="DJ298" s="11"/>
      <c r="DK298" s="11"/>
      <c r="DL298" s="11"/>
      <c r="DM298" s="11">
        <v>0</v>
      </c>
      <c r="DN298" s="11">
        <v>0</v>
      </c>
      <c r="DO298" s="11"/>
      <c r="DP298" s="11"/>
      <c r="DQ298" s="11">
        <v>2.9</v>
      </c>
      <c r="DR298" s="11">
        <v>1.1100000000000001</v>
      </c>
      <c r="DS298" s="11">
        <v>0</v>
      </c>
      <c r="DT298" s="9">
        <v>0</v>
      </c>
    </row>
    <row r="299" spans="1:124" x14ac:dyDescent="0.2">
      <c r="A299" s="10">
        <v>42944</v>
      </c>
      <c r="B299" s="9" t="s">
        <v>370</v>
      </c>
      <c r="C299" s="9" t="s">
        <v>372</v>
      </c>
      <c r="D299" s="9" t="s">
        <v>95</v>
      </c>
      <c r="E299" s="9">
        <v>36.5</v>
      </c>
      <c r="F299" s="11">
        <v>86.6</v>
      </c>
      <c r="G299" s="11">
        <v>82.8</v>
      </c>
      <c r="H299" s="11">
        <v>15.5</v>
      </c>
      <c r="I299" s="9">
        <v>87.26</v>
      </c>
      <c r="J299" s="9">
        <v>0</v>
      </c>
      <c r="K299" s="9">
        <v>12.74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1.48</v>
      </c>
      <c r="U299" s="9">
        <v>43.85</v>
      </c>
      <c r="V299" s="9">
        <v>8.85</v>
      </c>
      <c r="W299" s="9">
        <v>0</v>
      </c>
      <c r="X299" s="9">
        <v>0</v>
      </c>
      <c r="Y299" s="9">
        <v>0</v>
      </c>
      <c r="Z299" s="9">
        <v>0</v>
      </c>
      <c r="AM299" s="9">
        <v>10.4</v>
      </c>
      <c r="AN299" s="9">
        <v>1</v>
      </c>
      <c r="AO299" s="9">
        <v>35</v>
      </c>
      <c r="AP299" s="9">
        <v>6</v>
      </c>
      <c r="AQ299" s="9">
        <f>0.72*3+0.76*3</f>
        <v>4.4400000000000004</v>
      </c>
      <c r="AR299" s="9">
        <v>3</v>
      </c>
      <c r="AS299" s="9">
        <v>34</v>
      </c>
      <c r="AT299" s="9">
        <v>1</v>
      </c>
      <c r="AU299" s="9">
        <v>0.28999999999999998</v>
      </c>
      <c r="AV299" s="9">
        <v>1</v>
      </c>
      <c r="BQ299" s="9">
        <v>1</v>
      </c>
      <c r="BR299" s="9">
        <v>50</v>
      </c>
      <c r="BS299" s="9">
        <v>3</v>
      </c>
      <c r="BT299" s="9">
        <f>1.11*2+0.2</f>
        <v>2.4200000000000004</v>
      </c>
      <c r="BU299" s="9">
        <v>3</v>
      </c>
      <c r="BV299" s="9">
        <v>40</v>
      </c>
      <c r="BW299" s="9">
        <v>2</v>
      </c>
      <c r="BX299" s="9">
        <f>0.26*2</f>
        <v>0.52</v>
      </c>
      <c r="BY299" s="9">
        <v>1</v>
      </c>
      <c r="DB299" s="11">
        <v>2.85</v>
      </c>
      <c r="DC299" s="11">
        <v>1</v>
      </c>
      <c r="DD299" s="11">
        <v>1</v>
      </c>
      <c r="DE299" s="11"/>
      <c r="DF299" s="11">
        <f>4.11*4+2.05</f>
        <v>18.490000000000002</v>
      </c>
      <c r="DG299" s="11"/>
      <c r="DH299" s="11"/>
      <c r="DI299" s="11"/>
      <c r="DJ299" s="11"/>
      <c r="DK299" s="11"/>
      <c r="DL299" s="11"/>
      <c r="DM299" s="11">
        <v>4.34</v>
      </c>
      <c r="DN299" s="11">
        <v>4.33</v>
      </c>
      <c r="DO299" s="11"/>
      <c r="DP299" s="11"/>
      <c r="DQ299" s="11">
        <v>0</v>
      </c>
      <c r="DR299" s="11">
        <v>0</v>
      </c>
      <c r="DS299" s="11">
        <v>0</v>
      </c>
      <c r="DT299" s="9">
        <v>0</v>
      </c>
    </row>
    <row r="300" spans="1:124" x14ac:dyDescent="0.2">
      <c r="A300" s="10">
        <v>42944</v>
      </c>
      <c r="B300" s="9" t="s">
        <v>370</v>
      </c>
      <c r="C300" s="9" t="s">
        <v>372</v>
      </c>
      <c r="D300" s="9" t="s">
        <v>94</v>
      </c>
      <c r="E300" s="9">
        <v>40.5</v>
      </c>
      <c r="F300" s="11">
        <v>86.6</v>
      </c>
      <c r="G300" s="11">
        <v>82.8</v>
      </c>
      <c r="H300" s="11">
        <v>15.5</v>
      </c>
      <c r="I300" s="9">
        <v>87.26</v>
      </c>
      <c r="J300" s="9">
        <v>0</v>
      </c>
      <c r="K300" s="9">
        <v>12.74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1.48</v>
      </c>
      <c r="U300" s="9">
        <v>43.85</v>
      </c>
      <c r="V300" s="9">
        <v>8.85</v>
      </c>
      <c r="W300" s="9">
        <v>0</v>
      </c>
      <c r="X300" s="9">
        <v>0</v>
      </c>
      <c r="Y300" s="9">
        <v>0</v>
      </c>
      <c r="Z300" s="9">
        <v>0</v>
      </c>
      <c r="AM300" s="9">
        <v>11.9</v>
      </c>
      <c r="AN300" s="9">
        <v>1</v>
      </c>
      <c r="AO300" s="9">
        <v>35</v>
      </c>
      <c r="AP300" s="9">
        <v>6</v>
      </c>
      <c r="AQ300" s="9">
        <f>0.72*3+0.76*3</f>
        <v>4.4400000000000004</v>
      </c>
      <c r="AR300" s="9">
        <v>3</v>
      </c>
      <c r="AS300" s="9">
        <v>34</v>
      </c>
      <c r="AT300" s="9">
        <v>1</v>
      </c>
      <c r="AU300" s="9">
        <v>0.28999999999999998</v>
      </c>
      <c r="AV300" s="9">
        <v>1</v>
      </c>
      <c r="BQ300" s="9">
        <v>1</v>
      </c>
      <c r="BR300" s="9">
        <v>50</v>
      </c>
      <c r="BS300" s="9">
        <v>3</v>
      </c>
      <c r="BT300" s="9">
        <f>1.11*2+0.2</f>
        <v>2.4200000000000004</v>
      </c>
      <c r="BU300" s="9">
        <v>3</v>
      </c>
      <c r="BV300" s="9">
        <v>40</v>
      </c>
      <c r="BW300" s="9">
        <v>4</v>
      </c>
      <c r="BX300" s="9">
        <f>0.26*2</f>
        <v>0.52</v>
      </c>
      <c r="BY300" s="9">
        <v>2</v>
      </c>
      <c r="DB300" s="11">
        <v>2.85</v>
      </c>
      <c r="DC300" s="11">
        <v>1</v>
      </c>
      <c r="DD300" s="11">
        <v>1</v>
      </c>
      <c r="DE300" s="11"/>
      <c r="DF300" s="11">
        <f>4.11*4+2.05</f>
        <v>18.490000000000002</v>
      </c>
      <c r="DG300" s="11"/>
      <c r="DH300" s="11"/>
      <c r="DI300" s="11"/>
      <c r="DJ300" s="11"/>
      <c r="DK300" s="11"/>
      <c r="DL300" s="11"/>
      <c r="DM300" s="11">
        <v>6.72</v>
      </c>
      <c r="DN300" s="11">
        <v>4.33</v>
      </c>
      <c r="DO300" s="11"/>
      <c r="DP300" s="11"/>
      <c r="DQ300" s="11">
        <v>0</v>
      </c>
      <c r="DR300" s="11">
        <v>0</v>
      </c>
      <c r="DS300" s="11">
        <v>0</v>
      </c>
      <c r="DT300" s="9">
        <v>0</v>
      </c>
    </row>
    <row r="301" spans="1:124" x14ac:dyDescent="0.2">
      <c r="A301" s="10">
        <v>42944</v>
      </c>
      <c r="B301" s="9" t="s">
        <v>370</v>
      </c>
      <c r="C301" s="9" t="s">
        <v>372</v>
      </c>
      <c r="D301" s="9" t="s">
        <v>98</v>
      </c>
      <c r="E301" s="9">
        <v>20.5</v>
      </c>
      <c r="F301" s="11">
        <v>90.8</v>
      </c>
      <c r="G301" s="11">
        <v>82.8</v>
      </c>
      <c r="H301" s="11">
        <v>11.8</v>
      </c>
      <c r="I301" s="9">
        <v>86.54</v>
      </c>
      <c r="J301" s="9">
        <v>0</v>
      </c>
      <c r="K301" s="9">
        <v>0</v>
      </c>
      <c r="L301" s="9">
        <v>0</v>
      </c>
      <c r="M301" s="9">
        <v>13.46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2.29</v>
      </c>
      <c r="U301" s="9">
        <v>50.9</v>
      </c>
      <c r="V301" s="9">
        <v>13.77</v>
      </c>
      <c r="W301" s="9">
        <v>0</v>
      </c>
      <c r="X301" s="9">
        <v>0</v>
      </c>
      <c r="Y301" s="9">
        <v>0</v>
      </c>
      <c r="Z301" s="9">
        <v>0</v>
      </c>
      <c r="AM301" s="9">
        <v>0</v>
      </c>
      <c r="AN301" s="9">
        <v>0</v>
      </c>
      <c r="BQ301" s="9">
        <v>0</v>
      </c>
      <c r="DB301" s="11">
        <v>4.2300000000000004</v>
      </c>
      <c r="DC301" s="11">
        <v>1</v>
      </c>
      <c r="DD301" s="11">
        <v>1</v>
      </c>
      <c r="DE301" s="11"/>
      <c r="DF301" s="11">
        <f>2.05*8+0.36*6</f>
        <v>18.559999999999999</v>
      </c>
      <c r="DG301" s="11"/>
      <c r="DH301" s="11"/>
      <c r="DI301" s="11"/>
      <c r="DJ301" s="11"/>
      <c r="DK301" s="11"/>
      <c r="DL301" s="11"/>
      <c r="DM301" s="11">
        <v>0.72</v>
      </c>
      <c r="DN301" s="11">
        <v>0.72</v>
      </c>
      <c r="DO301" s="11"/>
      <c r="DP301" s="11"/>
      <c r="DQ301" s="11">
        <v>0</v>
      </c>
      <c r="DR301" s="11">
        <v>0</v>
      </c>
      <c r="DS301" s="11">
        <v>0</v>
      </c>
      <c r="DT301" s="9">
        <v>0</v>
      </c>
    </row>
    <row r="302" spans="1:124" x14ac:dyDescent="0.2">
      <c r="A302" s="10">
        <v>42944</v>
      </c>
      <c r="B302" s="9" t="s">
        <v>370</v>
      </c>
      <c r="C302" s="9" t="s">
        <v>372</v>
      </c>
      <c r="D302" s="9" t="s">
        <v>97</v>
      </c>
      <c r="E302" s="9">
        <v>20.5</v>
      </c>
      <c r="F302" s="11">
        <v>90.8</v>
      </c>
      <c r="G302" s="11">
        <v>82.8</v>
      </c>
      <c r="H302" s="11">
        <v>11.8</v>
      </c>
      <c r="I302" s="9">
        <v>86.54</v>
      </c>
      <c r="J302" s="9">
        <v>0</v>
      </c>
      <c r="K302" s="9">
        <v>0</v>
      </c>
      <c r="L302" s="9">
        <v>0</v>
      </c>
      <c r="M302" s="9">
        <v>13.46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2.29</v>
      </c>
      <c r="U302" s="9">
        <v>80.900000000000006</v>
      </c>
      <c r="V302" s="9">
        <v>13.77</v>
      </c>
      <c r="W302" s="9">
        <v>0</v>
      </c>
      <c r="X302" s="9">
        <v>0</v>
      </c>
      <c r="Y302" s="9">
        <v>0</v>
      </c>
      <c r="Z302" s="9">
        <v>0</v>
      </c>
      <c r="AM302" s="9">
        <v>0</v>
      </c>
      <c r="AN302" s="9">
        <v>0</v>
      </c>
      <c r="BQ302" s="9">
        <v>0</v>
      </c>
      <c r="DB302" s="11">
        <v>4.2300000000000004</v>
      </c>
      <c r="DC302" s="11">
        <v>1</v>
      </c>
      <c r="DD302" s="11">
        <v>1</v>
      </c>
      <c r="DE302" s="11"/>
      <c r="DF302" s="11">
        <f>2.05*8+0.36*6</f>
        <v>18.559999999999999</v>
      </c>
      <c r="DG302" s="11"/>
      <c r="DH302" s="11"/>
      <c r="DI302" s="11"/>
      <c r="DJ302" s="11"/>
      <c r="DK302" s="11"/>
      <c r="DL302" s="11"/>
      <c r="DM302" s="11">
        <v>0.72</v>
      </c>
      <c r="DN302" s="11">
        <v>0.72</v>
      </c>
      <c r="DO302" s="11"/>
      <c r="DP302" s="11"/>
      <c r="DQ302" s="11">
        <v>0</v>
      </c>
      <c r="DR302" s="11">
        <v>0</v>
      </c>
      <c r="DS302" s="11">
        <v>0</v>
      </c>
      <c r="DT302" s="9">
        <v>0</v>
      </c>
    </row>
    <row r="303" spans="1:124" x14ac:dyDescent="0.2">
      <c r="A303" s="10">
        <v>42944</v>
      </c>
      <c r="B303" s="9" t="s">
        <v>370</v>
      </c>
      <c r="C303" s="9" t="s">
        <v>372</v>
      </c>
      <c r="D303" s="9" t="s">
        <v>373</v>
      </c>
      <c r="E303" s="9">
        <v>61.5</v>
      </c>
      <c r="F303" s="11">
        <v>85.4</v>
      </c>
      <c r="G303" s="11">
        <v>82.8</v>
      </c>
      <c r="H303" s="11">
        <v>17.899999999999999</v>
      </c>
      <c r="I303" s="9">
        <v>84.66</v>
      </c>
      <c r="J303" s="9">
        <v>0</v>
      </c>
      <c r="K303" s="9">
        <v>14.42</v>
      </c>
      <c r="L303" s="9">
        <v>0</v>
      </c>
      <c r="M303" s="9">
        <v>0.92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2.68</v>
      </c>
      <c r="U303" s="9">
        <v>36.869999999999997</v>
      </c>
      <c r="V303" s="9">
        <v>17.52</v>
      </c>
      <c r="W303" s="9">
        <v>0</v>
      </c>
      <c r="X303" s="9">
        <v>0</v>
      </c>
      <c r="Y303" s="9">
        <v>6</v>
      </c>
      <c r="Z303" s="9">
        <v>1</v>
      </c>
      <c r="AA303" s="9">
        <v>4.4000000000000004</v>
      </c>
      <c r="AC303" s="9">
        <v>1</v>
      </c>
      <c r="AM303" s="9">
        <v>27.8</v>
      </c>
      <c r="AN303" s="9">
        <v>1</v>
      </c>
      <c r="AO303" s="9">
        <v>35</v>
      </c>
      <c r="AP303" s="9">
        <v>13</v>
      </c>
      <c r="AQ303" s="9">
        <f>0.28+0.55+0.28+0.51+1.11+0.37</f>
        <v>3.1000000000000005</v>
      </c>
      <c r="AR303" s="9">
        <v>3</v>
      </c>
      <c r="AS303" s="9">
        <v>47</v>
      </c>
      <c r="AT303" s="9">
        <v>8</v>
      </c>
      <c r="AU303" s="9">
        <f>0.74+0.1</f>
        <v>0.84</v>
      </c>
      <c r="AV303" s="9">
        <v>6</v>
      </c>
      <c r="BQ303" s="9">
        <v>1</v>
      </c>
      <c r="BR303" s="9">
        <v>50</v>
      </c>
      <c r="BS303" s="9">
        <v>9</v>
      </c>
      <c r="BT303" s="9">
        <f>0.26*2+0.18+0.37+0.51+0.18*3</f>
        <v>2.12</v>
      </c>
      <c r="BU303" s="9">
        <v>2</v>
      </c>
      <c r="BV303" s="9">
        <v>60</v>
      </c>
      <c r="BW303" s="9">
        <v>13</v>
      </c>
      <c r="BX303" s="9">
        <f>0.28+0.18*3+0.28+0.18*3+0.51</f>
        <v>2.1500000000000004</v>
      </c>
      <c r="BY303" s="9">
        <v>50</v>
      </c>
      <c r="BZ303" s="9">
        <v>23</v>
      </c>
      <c r="CA303" s="9">
        <f>0.37+0.28+1.85+0.28*2+1.85</f>
        <v>4.91</v>
      </c>
      <c r="CB303" s="9">
        <v>4</v>
      </c>
      <c r="DB303" s="11">
        <v>0.15</v>
      </c>
      <c r="DC303" s="11">
        <v>1</v>
      </c>
      <c r="DD303" s="11">
        <v>1</v>
      </c>
      <c r="DE303" s="11"/>
      <c r="DF303" s="11">
        <v>0.26</v>
      </c>
      <c r="DG303" s="11"/>
      <c r="DH303" s="11"/>
      <c r="DI303" s="11"/>
      <c r="DJ303" s="11"/>
      <c r="DK303" s="11"/>
      <c r="DL303" s="11"/>
      <c r="DM303" s="11">
        <v>5.32</v>
      </c>
      <c r="DN303" s="11">
        <v>2.46</v>
      </c>
      <c r="DO303" s="11"/>
      <c r="DP303" s="11"/>
      <c r="DQ303" s="11">
        <v>0.91</v>
      </c>
      <c r="DR303" s="11">
        <v>1.29</v>
      </c>
      <c r="DS303" s="11">
        <v>0</v>
      </c>
      <c r="DT303" s="9">
        <v>0</v>
      </c>
    </row>
    <row r="304" spans="1:124" x14ac:dyDescent="0.2">
      <c r="A304" s="10">
        <v>42944</v>
      </c>
      <c r="B304" s="9" t="s">
        <v>370</v>
      </c>
      <c r="C304" s="9" t="s">
        <v>372</v>
      </c>
      <c r="D304" s="9" t="s">
        <v>374</v>
      </c>
      <c r="E304" s="9">
        <v>61.5</v>
      </c>
      <c r="F304" s="11">
        <v>85.4</v>
      </c>
      <c r="G304" s="11">
        <v>82.8</v>
      </c>
      <c r="H304" s="11">
        <v>18</v>
      </c>
      <c r="I304" s="9">
        <v>84.29</v>
      </c>
      <c r="J304" s="9">
        <v>0.37</v>
      </c>
      <c r="K304" s="9">
        <v>14.42</v>
      </c>
      <c r="L304" s="9">
        <v>0</v>
      </c>
      <c r="M304" s="9">
        <v>0.92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2.68</v>
      </c>
      <c r="U304" s="9">
        <v>36.869999999999997</v>
      </c>
      <c r="V304" s="9">
        <v>17.52</v>
      </c>
      <c r="W304" s="9">
        <v>0</v>
      </c>
      <c r="X304" s="9">
        <v>0</v>
      </c>
      <c r="Y304" s="9">
        <v>6</v>
      </c>
      <c r="Z304" s="9">
        <v>1</v>
      </c>
      <c r="AA304" s="9">
        <v>4.4000000000000004</v>
      </c>
      <c r="AC304" s="9">
        <v>1</v>
      </c>
      <c r="AM304" s="9">
        <v>27.8</v>
      </c>
      <c r="AN304" s="9">
        <v>1</v>
      </c>
      <c r="AO304" s="9">
        <v>35</v>
      </c>
      <c r="AP304" s="9">
        <v>13</v>
      </c>
      <c r="AQ304" s="9">
        <f>0.28+0.55+0.28+0.51+1.11+0.37</f>
        <v>3.1000000000000005</v>
      </c>
      <c r="AR304" s="9">
        <v>3</v>
      </c>
      <c r="AS304" s="9">
        <v>47</v>
      </c>
      <c r="AT304" s="9">
        <v>8</v>
      </c>
      <c r="AU304" s="9">
        <f>0.74+0.1</f>
        <v>0.84</v>
      </c>
      <c r="AV304" s="9">
        <v>7</v>
      </c>
      <c r="BQ304" s="9">
        <v>1</v>
      </c>
      <c r="BR304" s="9">
        <v>50</v>
      </c>
      <c r="BS304" s="9">
        <v>9</v>
      </c>
      <c r="BT304" s="9">
        <f>0.26*2+0.18+0.37+0.51+0.18*3</f>
        <v>2.12</v>
      </c>
      <c r="BU304" s="9">
        <v>2</v>
      </c>
      <c r="BV304" s="9">
        <v>60</v>
      </c>
      <c r="BW304" s="9">
        <v>13</v>
      </c>
      <c r="BX304" s="9">
        <f>0.28+0.18*3+0.28+0.18*3+0.51</f>
        <v>2.1500000000000004</v>
      </c>
      <c r="BY304" s="9">
        <v>50</v>
      </c>
      <c r="BZ304" s="9">
        <v>23</v>
      </c>
      <c r="CA304" s="9">
        <f>0.37+0.28+1.85+0.28*2+1.85</f>
        <v>4.91</v>
      </c>
      <c r="CB304" s="9">
        <v>5</v>
      </c>
      <c r="DB304" s="11">
        <v>0.15</v>
      </c>
      <c r="DC304" s="11">
        <v>1</v>
      </c>
      <c r="DD304" s="11">
        <v>1</v>
      </c>
      <c r="DE304" s="11"/>
      <c r="DF304" s="11">
        <v>0.26</v>
      </c>
      <c r="DG304" s="11"/>
      <c r="DH304" s="11"/>
      <c r="DI304" s="11"/>
      <c r="DJ304" s="11"/>
      <c r="DK304" s="11"/>
      <c r="DL304" s="11"/>
      <c r="DM304" s="11">
        <v>5.32</v>
      </c>
      <c r="DN304" s="11">
        <v>2.46</v>
      </c>
      <c r="DO304" s="11"/>
      <c r="DP304" s="11"/>
      <c r="DQ304" s="11">
        <v>0.91</v>
      </c>
      <c r="DR304" s="11">
        <v>1.29</v>
      </c>
      <c r="DS304" s="11">
        <v>0</v>
      </c>
      <c r="DT304" s="9">
        <v>0</v>
      </c>
    </row>
    <row r="305" spans="1:124" x14ac:dyDescent="0.2">
      <c r="A305" s="10">
        <v>42944</v>
      </c>
      <c r="B305" s="9" t="s">
        <v>370</v>
      </c>
      <c r="C305" s="9" t="s">
        <v>372</v>
      </c>
      <c r="D305" s="9" t="s">
        <v>375</v>
      </c>
      <c r="E305" s="9">
        <v>56</v>
      </c>
      <c r="F305" s="11">
        <v>90.9</v>
      </c>
      <c r="G305" s="11">
        <v>82.8</v>
      </c>
      <c r="H305" s="11">
        <v>12.9</v>
      </c>
      <c r="I305" s="9">
        <v>88.05</v>
      </c>
      <c r="J305" s="9">
        <v>0</v>
      </c>
      <c r="K305" s="9">
        <v>7.95</v>
      </c>
      <c r="L305" s="9">
        <v>0</v>
      </c>
      <c r="M305" s="9">
        <v>4.01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1.73</v>
      </c>
      <c r="U305" s="9">
        <v>46.98</v>
      </c>
      <c r="V305" s="9">
        <v>18.100000000000001</v>
      </c>
      <c r="W305" s="9">
        <v>0</v>
      </c>
      <c r="X305" s="9">
        <v>0</v>
      </c>
      <c r="Y305" s="9">
        <v>11.8</v>
      </c>
      <c r="Z305" s="9">
        <v>1</v>
      </c>
      <c r="AA305" s="9">
        <v>4</v>
      </c>
      <c r="AC305" s="9">
        <v>1</v>
      </c>
      <c r="AD305" s="9">
        <v>5.2</v>
      </c>
      <c r="AF305" s="9">
        <v>1</v>
      </c>
      <c r="AM305" s="9">
        <v>25.7</v>
      </c>
      <c r="AN305" s="9">
        <v>1</v>
      </c>
      <c r="AO305" s="9">
        <v>35</v>
      </c>
      <c r="AP305" s="9">
        <v>20</v>
      </c>
      <c r="AQ305" s="9">
        <f>1.48+6.38+0.28+0.2+0.36</f>
        <v>8.6999999999999975</v>
      </c>
      <c r="AR305" s="9">
        <v>3</v>
      </c>
      <c r="BQ305" s="9">
        <v>1</v>
      </c>
      <c r="BR305" s="9">
        <v>50</v>
      </c>
      <c r="BS305" s="9">
        <v>5</v>
      </c>
      <c r="BT305" s="9">
        <f>1.11+0.74+0.39</f>
        <v>2.2400000000000002</v>
      </c>
      <c r="DB305" s="11">
        <v>2.61</v>
      </c>
      <c r="DC305" s="11">
        <v>1</v>
      </c>
      <c r="DD305" s="11">
        <v>1</v>
      </c>
      <c r="DE305" s="11"/>
      <c r="DF305" s="11">
        <f>2.05*4+0.36*2</f>
        <v>8.92</v>
      </c>
      <c r="DG305" s="11"/>
      <c r="DH305" s="11"/>
      <c r="DI305" s="11"/>
      <c r="DJ305" s="11"/>
      <c r="DK305" s="11"/>
      <c r="DL305" s="11"/>
      <c r="DM305" s="11">
        <v>0</v>
      </c>
      <c r="DN305" s="11">
        <v>0</v>
      </c>
      <c r="DO305" s="11"/>
      <c r="DP305" s="11"/>
      <c r="DQ305" s="11">
        <v>0</v>
      </c>
      <c r="DR305" s="11">
        <v>0</v>
      </c>
      <c r="DS305" s="11">
        <v>0</v>
      </c>
      <c r="DT305" s="9">
        <v>0</v>
      </c>
    </row>
    <row r="306" spans="1:124" x14ac:dyDescent="0.2">
      <c r="A306" s="10">
        <v>42944</v>
      </c>
      <c r="B306" s="9" t="s">
        <v>370</v>
      </c>
      <c r="C306" s="9" t="s">
        <v>372</v>
      </c>
      <c r="D306" s="9" t="s">
        <v>111</v>
      </c>
      <c r="E306" s="9">
        <v>56</v>
      </c>
      <c r="F306" s="11">
        <v>90.9</v>
      </c>
      <c r="G306" s="11">
        <v>82.8</v>
      </c>
      <c r="H306" s="11">
        <v>12.9</v>
      </c>
      <c r="I306" s="9">
        <v>88.05</v>
      </c>
      <c r="J306" s="9">
        <v>0</v>
      </c>
      <c r="K306" s="9">
        <v>7.95</v>
      </c>
      <c r="L306" s="9">
        <v>0</v>
      </c>
      <c r="M306" s="9">
        <v>4.01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1.73</v>
      </c>
      <c r="U306" s="9">
        <v>46.98</v>
      </c>
      <c r="V306" s="9">
        <v>18.100000000000001</v>
      </c>
      <c r="W306" s="9">
        <v>0</v>
      </c>
      <c r="X306" s="9">
        <v>0</v>
      </c>
      <c r="Y306" s="9">
        <v>11.8</v>
      </c>
      <c r="Z306" s="9">
        <v>1</v>
      </c>
      <c r="AA306" s="9">
        <v>4</v>
      </c>
      <c r="AC306" s="9">
        <v>1</v>
      </c>
      <c r="AD306" s="9">
        <v>5.2</v>
      </c>
      <c r="AF306" s="9">
        <v>1</v>
      </c>
      <c r="AM306" s="9">
        <v>25.7</v>
      </c>
      <c r="AN306" s="9">
        <v>1</v>
      </c>
      <c r="AO306" s="9">
        <v>35</v>
      </c>
      <c r="AP306" s="9">
        <v>20</v>
      </c>
      <c r="AQ306" s="9">
        <f>1.48+6.38+0.28+0.2+0.36</f>
        <v>8.6999999999999975</v>
      </c>
      <c r="AR306" s="9">
        <v>3</v>
      </c>
      <c r="BQ306" s="9">
        <v>1</v>
      </c>
      <c r="BR306" s="9">
        <v>50</v>
      </c>
      <c r="BS306" s="9">
        <v>5</v>
      </c>
      <c r="BT306" s="9">
        <f>1.11+0.74+0.39</f>
        <v>2.2400000000000002</v>
      </c>
      <c r="DB306" s="11">
        <v>2.61</v>
      </c>
      <c r="DC306" s="11">
        <v>1</v>
      </c>
      <c r="DD306" s="11">
        <v>1</v>
      </c>
      <c r="DE306" s="11"/>
      <c r="DF306" s="11">
        <f>2.05*4+0.36*2</f>
        <v>8.92</v>
      </c>
      <c r="DG306" s="11"/>
      <c r="DH306" s="11"/>
      <c r="DI306" s="11"/>
      <c r="DJ306" s="11"/>
      <c r="DK306" s="11"/>
      <c r="DL306" s="11"/>
      <c r="DM306" s="11">
        <v>0</v>
      </c>
      <c r="DN306" s="11">
        <v>0</v>
      </c>
      <c r="DO306" s="11"/>
      <c r="DP306" s="11"/>
      <c r="DQ306" s="11">
        <v>0</v>
      </c>
      <c r="DR306" s="11">
        <v>0</v>
      </c>
      <c r="DS306" s="11">
        <v>0</v>
      </c>
      <c r="DT306" s="9">
        <v>0</v>
      </c>
    </row>
    <row r="307" spans="1:124" x14ac:dyDescent="0.2">
      <c r="A307" s="10">
        <v>42944</v>
      </c>
      <c r="B307" s="9" t="s">
        <v>370</v>
      </c>
      <c r="C307" s="9" t="s">
        <v>376</v>
      </c>
      <c r="D307" s="9" t="s">
        <v>120</v>
      </c>
      <c r="E307" s="9">
        <v>32.5</v>
      </c>
      <c r="F307" s="11">
        <v>84.1</v>
      </c>
      <c r="G307" s="11">
        <v>82.8</v>
      </c>
      <c r="H307" s="11">
        <v>8.1</v>
      </c>
      <c r="I307" s="9">
        <v>95.27</v>
      </c>
      <c r="J307" s="9">
        <v>0</v>
      </c>
      <c r="K307" s="9">
        <v>0</v>
      </c>
      <c r="L307" s="9">
        <v>0</v>
      </c>
      <c r="M307" s="9">
        <v>2.5099999999999998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6.02</v>
      </c>
      <c r="U307" s="9">
        <v>57.35</v>
      </c>
      <c r="V307" s="9">
        <v>2.09</v>
      </c>
      <c r="W307" s="9">
        <v>0</v>
      </c>
      <c r="X307" s="9">
        <v>2.2200000000000002</v>
      </c>
      <c r="Y307" s="9">
        <v>0</v>
      </c>
      <c r="Z307" s="9">
        <v>0</v>
      </c>
      <c r="AM307" s="9">
        <v>14.9</v>
      </c>
      <c r="AN307" s="9">
        <v>1</v>
      </c>
      <c r="AO307" s="9">
        <v>35</v>
      </c>
      <c r="AP307" s="9">
        <v>4</v>
      </c>
      <c r="AQ307" s="9">
        <f>1.11+2.06+1.48+0.96</f>
        <v>5.61</v>
      </c>
      <c r="AR307" s="9">
        <v>3</v>
      </c>
      <c r="BQ307" s="9">
        <v>1</v>
      </c>
      <c r="BR307" s="9">
        <v>50</v>
      </c>
      <c r="BS307" s="9">
        <v>4</v>
      </c>
      <c r="BT307" s="9">
        <f>0.74+1.48</f>
        <v>2.2199999999999998</v>
      </c>
      <c r="BU307" s="9">
        <v>3</v>
      </c>
      <c r="DB307" s="11">
        <v>3.33</v>
      </c>
      <c r="DC307" s="11">
        <v>1</v>
      </c>
      <c r="DD307" s="11">
        <v>1</v>
      </c>
      <c r="DE307" s="11"/>
      <c r="DF307" s="11">
        <f>3.08*4+0.54*2+0.18+2.35</f>
        <v>15.93</v>
      </c>
      <c r="DG307" s="11"/>
      <c r="DH307" s="11"/>
      <c r="DI307" s="11"/>
      <c r="DJ307" s="11"/>
      <c r="DK307" s="11"/>
      <c r="DL307" s="11"/>
      <c r="DM307" s="11">
        <v>3.08</v>
      </c>
      <c r="DN307" s="11">
        <v>3.07</v>
      </c>
      <c r="DO307" s="11"/>
      <c r="DP307" s="11"/>
      <c r="DQ307" s="11">
        <v>0</v>
      </c>
      <c r="DR307" s="11">
        <v>0</v>
      </c>
      <c r="DS307" s="11">
        <v>0</v>
      </c>
      <c r="DT307" s="9">
        <v>0</v>
      </c>
    </row>
    <row r="308" spans="1:124" x14ac:dyDescent="0.2">
      <c r="A308" s="10">
        <v>42944</v>
      </c>
      <c r="B308" s="9" t="s">
        <v>370</v>
      </c>
      <c r="C308" s="9" t="s">
        <v>376</v>
      </c>
      <c r="D308" s="9" t="s">
        <v>112</v>
      </c>
      <c r="E308" s="9">
        <v>32.5</v>
      </c>
      <c r="F308" s="11">
        <v>84.1</v>
      </c>
      <c r="G308" s="11">
        <v>82.8</v>
      </c>
      <c r="H308" s="11">
        <v>8.1</v>
      </c>
      <c r="I308" s="9">
        <v>95.27</v>
      </c>
      <c r="J308" s="9">
        <v>0</v>
      </c>
      <c r="K308" s="9">
        <v>0</v>
      </c>
      <c r="L308" s="9">
        <v>0</v>
      </c>
      <c r="M308" s="9">
        <v>2.5099999999999998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6.02</v>
      </c>
      <c r="U308" s="9">
        <v>57.35</v>
      </c>
      <c r="V308" s="9">
        <v>2.09</v>
      </c>
      <c r="W308" s="9">
        <v>0</v>
      </c>
      <c r="X308" s="9">
        <v>2.2200000000000002</v>
      </c>
      <c r="Y308" s="9">
        <v>0</v>
      </c>
      <c r="Z308" s="9">
        <v>0</v>
      </c>
      <c r="AM308" s="9">
        <v>14.9</v>
      </c>
      <c r="AN308" s="9">
        <v>1</v>
      </c>
      <c r="AO308" s="9">
        <v>35</v>
      </c>
      <c r="AP308" s="9">
        <v>4</v>
      </c>
      <c r="AQ308" s="9">
        <f>1.11+2.06+1.48+0.96</f>
        <v>5.61</v>
      </c>
      <c r="AR308" s="9">
        <v>3</v>
      </c>
      <c r="BQ308" s="9">
        <v>1</v>
      </c>
      <c r="BR308" s="9">
        <v>50</v>
      </c>
      <c r="BS308" s="9">
        <v>4</v>
      </c>
      <c r="BT308" s="9">
        <f>0.74+1.48</f>
        <v>2.2199999999999998</v>
      </c>
      <c r="BU308" s="9">
        <v>3</v>
      </c>
      <c r="DB308" s="11">
        <v>3.33</v>
      </c>
      <c r="DC308" s="11">
        <v>1</v>
      </c>
      <c r="DD308" s="11">
        <v>1</v>
      </c>
      <c r="DE308" s="11"/>
      <c r="DF308" s="11">
        <f>3.08*4+0.54*2+0.18+2.35</f>
        <v>15.93</v>
      </c>
      <c r="DG308" s="11"/>
      <c r="DH308" s="11"/>
      <c r="DI308" s="11"/>
      <c r="DJ308" s="11"/>
      <c r="DK308" s="11"/>
      <c r="DL308" s="11"/>
      <c r="DM308" s="11">
        <v>3.08</v>
      </c>
      <c r="DN308" s="11">
        <v>3.07</v>
      </c>
      <c r="DO308" s="11"/>
      <c r="DP308" s="11"/>
      <c r="DQ308" s="11">
        <v>0</v>
      </c>
      <c r="DR308" s="11">
        <v>0</v>
      </c>
      <c r="DS308" s="11">
        <v>0</v>
      </c>
      <c r="DT308" s="9">
        <v>0</v>
      </c>
    </row>
    <row r="309" spans="1:124" x14ac:dyDescent="0.2">
      <c r="A309" s="10">
        <v>42944</v>
      </c>
      <c r="B309" s="9" t="s">
        <v>370</v>
      </c>
      <c r="C309" s="9" t="s">
        <v>376</v>
      </c>
      <c r="D309" s="9" t="s">
        <v>377</v>
      </c>
      <c r="E309" s="9">
        <v>35.5</v>
      </c>
      <c r="F309" s="11">
        <v>80.2</v>
      </c>
      <c r="G309" s="11">
        <v>82.8</v>
      </c>
      <c r="H309" s="11">
        <v>5.3</v>
      </c>
      <c r="I309" s="9">
        <v>97.88</v>
      </c>
      <c r="J309" s="9">
        <v>0</v>
      </c>
      <c r="K309" s="9">
        <v>0</v>
      </c>
      <c r="L309" s="9">
        <v>0</v>
      </c>
      <c r="M309" s="9">
        <v>2.12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0.13</v>
      </c>
      <c r="U309" s="9">
        <v>54.89</v>
      </c>
      <c r="V309" s="9">
        <v>6.04</v>
      </c>
      <c r="W309" s="9">
        <v>0</v>
      </c>
      <c r="X309" s="9">
        <v>0</v>
      </c>
      <c r="Y309" s="9">
        <v>0</v>
      </c>
      <c r="Z309" s="9">
        <v>0</v>
      </c>
      <c r="AM309" s="9">
        <v>23.6</v>
      </c>
      <c r="AN309" s="9">
        <v>1</v>
      </c>
      <c r="AO309" s="9">
        <v>35</v>
      </c>
      <c r="AP309" s="9">
        <v>12</v>
      </c>
      <c r="AQ309" s="9">
        <f>4.44*2+0.26*2+0.2*3</f>
        <v>10</v>
      </c>
      <c r="AR309" s="9">
        <v>3</v>
      </c>
      <c r="BQ309" s="9">
        <v>0</v>
      </c>
      <c r="DB309" s="11">
        <v>3.22</v>
      </c>
      <c r="DC309" s="11">
        <v>1</v>
      </c>
      <c r="DD309" s="11">
        <v>1</v>
      </c>
      <c r="DE309" s="11"/>
      <c r="DF309" s="11">
        <f t="shared" ref="DF309:DF310" si="0">2.05*6</f>
        <v>12.299999999999999</v>
      </c>
      <c r="DG309" s="11"/>
      <c r="DH309" s="11"/>
      <c r="DI309" s="11"/>
      <c r="DJ309" s="11"/>
      <c r="DK309" s="11"/>
      <c r="DL309" s="11"/>
      <c r="DM309" s="11">
        <v>0</v>
      </c>
      <c r="DN309" s="11">
        <v>0</v>
      </c>
      <c r="DO309" s="11"/>
      <c r="DP309" s="11"/>
      <c r="DQ309" s="11">
        <v>0</v>
      </c>
      <c r="DR309" s="11">
        <v>0</v>
      </c>
      <c r="DS309" s="11">
        <v>0</v>
      </c>
      <c r="DT309" s="9">
        <v>0</v>
      </c>
    </row>
    <row r="310" spans="1:124" x14ac:dyDescent="0.2">
      <c r="A310" s="10">
        <v>42944</v>
      </c>
      <c r="B310" s="9" t="s">
        <v>370</v>
      </c>
      <c r="C310" s="9" t="s">
        <v>376</v>
      </c>
      <c r="D310" s="9" t="s">
        <v>378</v>
      </c>
      <c r="E310" s="9">
        <v>35.5</v>
      </c>
      <c r="F310" s="11">
        <v>80.2</v>
      </c>
      <c r="G310" s="11">
        <v>82.8</v>
      </c>
      <c r="H310" s="11">
        <v>5.3</v>
      </c>
      <c r="I310" s="9">
        <v>97.88</v>
      </c>
      <c r="J310" s="9">
        <v>0</v>
      </c>
      <c r="K310" s="9">
        <v>0</v>
      </c>
      <c r="L310" s="9">
        <v>0</v>
      </c>
      <c r="M310" s="9">
        <v>2.12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0.13</v>
      </c>
      <c r="U310" s="9">
        <v>54.89</v>
      </c>
      <c r="V310" s="9">
        <v>6.04</v>
      </c>
      <c r="W310" s="9">
        <v>0</v>
      </c>
      <c r="X310" s="9">
        <v>0</v>
      </c>
      <c r="Y310" s="9">
        <v>0</v>
      </c>
      <c r="Z310" s="9">
        <v>0</v>
      </c>
      <c r="AM310" s="9">
        <v>23.6</v>
      </c>
      <c r="AN310" s="9">
        <v>1</v>
      </c>
      <c r="AO310" s="9">
        <v>35</v>
      </c>
      <c r="AP310" s="9">
        <v>12</v>
      </c>
      <c r="AQ310" s="9">
        <f>4.44*2+0.26*2+0.2*3</f>
        <v>10</v>
      </c>
      <c r="AR310" s="9">
        <v>3</v>
      </c>
      <c r="BQ310" s="9">
        <v>0</v>
      </c>
      <c r="DB310" s="11">
        <v>3.22</v>
      </c>
      <c r="DC310" s="11">
        <v>1</v>
      </c>
      <c r="DD310" s="11">
        <v>1</v>
      </c>
      <c r="DE310" s="11"/>
      <c r="DF310" s="11">
        <f t="shared" si="0"/>
        <v>12.299999999999999</v>
      </c>
      <c r="DG310" s="11"/>
      <c r="DH310" s="11"/>
      <c r="DI310" s="11"/>
      <c r="DJ310" s="11"/>
      <c r="DK310" s="11"/>
      <c r="DL310" s="11"/>
      <c r="DM310" s="11">
        <v>0</v>
      </c>
      <c r="DN310" s="11">
        <v>0</v>
      </c>
      <c r="DO310" s="11"/>
      <c r="DP310" s="11"/>
      <c r="DQ310" s="11">
        <v>0</v>
      </c>
      <c r="DR310" s="11">
        <v>0</v>
      </c>
      <c r="DS310" s="11">
        <v>0</v>
      </c>
      <c r="DT310" s="9">
        <v>0</v>
      </c>
    </row>
    <row r="311" spans="1:124" x14ac:dyDescent="0.2">
      <c r="A311" s="10">
        <v>42943</v>
      </c>
      <c r="B311" s="9" t="s">
        <v>370</v>
      </c>
      <c r="C311" s="9" t="s">
        <v>376</v>
      </c>
      <c r="D311" s="9" t="s">
        <v>121</v>
      </c>
      <c r="E311" s="9">
        <v>23</v>
      </c>
      <c r="F311" s="11">
        <v>86.4</v>
      </c>
      <c r="G311" s="11">
        <v>82.8</v>
      </c>
      <c r="H311" s="11">
        <v>5.6</v>
      </c>
      <c r="I311" s="11">
        <v>97.22</v>
      </c>
      <c r="J311" s="11">
        <v>0</v>
      </c>
      <c r="K311" s="11">
        <v>0</v>
      </c>
      <c r="L311" s="11">
        <v>0</v>
      </c>
      <c r="M311" s="11">
        <v>2.78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0.39</v>
      </c>
      <c r="U311" s="11">
        <v>50.24</v>
      </c>
      <c r="V311" s="11">
        <v>5.01</v>
      </c>
      <c r="W311" s="11">
        <v>0</v>
      </c>
      <c r="X311" s="11">
        <v>0</v>
      </c>
      <c r="Y311" s="9">
        <v>0</v>
      </c>
      <c r="AM311" s="9">
        <v>5.7</v>
      </c>
      <c r="AN311" s="9">
        <v>1</v>
      </c>
      <c r="AO311" s="9">
        <v>35</v>
      </c>
      <c r="AP311" s="9">
        <v>4</v>
      </c>
      <c r="AQ311" s="9">
        <f>1.43+0.36+0.26</f>
        <v>2.0499999999999998</v>
      </c>
      <c r="AR311" s="9">
        <v>3</v>
      </c>
      <c r="BQ311" s="9">
        <v>1</v>
      </c>
      <c r="BR311" s="9">
        <v>50</v>
      </c>
      <c r="BS311" s="9">
        <v>1</v>
      </c>
      <c r="BT311" s="9">
        <v>1.48</v>
      </c>
      <c r="BU311" s="9">
        <v>3</v>
      </c>
      <c r="DB311" s="11">
        <v>3.29</v>
      </c>
      <c r="DC311" s="11">
        <v>1</v>
      </c>
      <c r="DD311" s="11">
        <v>1</v>
      </c>
      <c r="DE311" s="11"/>
      <c r="DF311" s="11">
        <f t="shared" ref="DF311:DF312" si="1">1.03*2+5.13+3.08+0.36+1.09+0.18+0.54</f>
        <v>12.439999999999998</v>
      </c>
      <c r="DG311" s="11"/>
      <c r="DH311" s="11"/>
      <c r="DI311" s="11"/>
      <c r="DJ311" s="11"/>
      <c r="DK311" s="11"/>
      <c r="DL311" s="11"/>
      <c r="DM311" s="11">
        <v>5.69</v>
      </c>
      <c r="DN311" s="11">
        <f>1.43+0.2+0.39*2+0.18+0.54</f>
        <v>3.1300000000000003</v>
      </c>
      <c r="DO311" s="11"/>
      <c r="DP311" s="11"/>
      <c r="DQ311" s="11">
        <v>0</v>
      </c>
      <c r="DR311" s="11">
        <v>0</v>
      </c>
      <c r="DS311" s="11">
        <v>0</v>
      </c>
      <c r="DT311" s="9">
        <v>0</v>
      </c>
    </row>
    <row r="312" spans="1:124" x14ac:dyDescent="0.2">
      <c r="A312" s="10">
        <v>42944</v>
      </c>
      <c r="B312" s="9" t="s">
        <v>370</v>
      </c>
      <c r="C312" s="9" t="s">
        <v>376</v>
      </c>
      <c r="D312" s="9" t="s">
        <v>123</v>
      </c>
      <c r="E312" s="9">
        <v>23</v>
      </c>
      <c r="F312" s="11">
        <v>86.4</v>
      </c>
      <c r="G312" s="11">
        <v>82.8</v>
      </c>
      <c r="H312" s="11">
        <v>5.6</v>
      </c>
      <c r="I312" s="9">
        <v>97.22</v>
      </c>
      <c r="J312" s="9">
        <v>0</v>
      </c>
      <c r="K312" s="9">
        <v>0</v>
      </c>
      <c r="L312" s="9">
        <v>0</v>
      </c>
      <c r="M312" s="9">
        <v>2.78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0.39</v>
      </c>
      <c r="U312" s="9">
        <v>50.24</v>
      </c>
      <c r="V312" s="9">
        <v>5.01</v>
      </c>
      <c r="W312" s="9">
        <v>0</v>
      </c>
      <c r="X312" s="9">
        <v>0</v>
      </c>
      <c r="Y312" s="9">
        <v>0</v>
      </c>
      <c r="Z312" s="9">
        <v>0</v>
      </c>
      <c r="AM312" s="9">
        <v>5.7</v>
      </c>
      <c r="AN312" s="9">
        <v>1</v>
      </c>
      <c r="AO312" s="9">
        <v>35</v>
      </c>
      <c r="AP312" s="9">
        <v>4</v>
      </c>
      <c r="AQ312" s="9">
        <f>1.43+0.36+0.26</f>
        <v>2.0499999999999998</v>
      </c>
      <c r="AR312" s="9">
        <v>3</v>
      </c>
      <c r="BQ312" s="9">
        <v>1</v>
      </c>
      <c r="BR312" s="9">
        <v>50</v>
      </c>
      <c r="BS312" s="9">
        <v>1</v>
      </c>
      <c r="BT312" s="9">
        <v>1.48</v>
      </c>
      <c r="BU312" s="9">
        <v>3</v>
      </c>
      <c r="DB312" s="11">
        <v>3.29</v>
      </c>
      <c r="DC312" s="11">
        <v>1</v>
      </c>
      <c r="DD312" s="11">
        <v>1</v>
      </c>
      <c r="DE312" s="11"/>
      <c r="DF312" s="11">
        <f t="shared" si="1"/>
        <v>12.439999999999998</v>
      </c>
      <c r="DG312" s="11"/>
      <c r="DH312" s="11"/>
      <c r="DI312" s="11"/>
      <c r="DJ312" s="11"/>
      <c r="DK312" s="11"/>
      <c r="DL312" s="11"/>
      <c r="DM312" s="11">
        <v>5.69</v>
      </c>
      <c r="DN312" s="11">
        <v>3.13</v>
      </c>
      <c r="DO312" s="11"/>
      <c r="DP312" s="11"/>
      <c r="DQ312" s="11">
        <v>0</v>
      </c>
      <c r="DR312" s="11">
        <v>0</v>
      </c>
      <c r="DS312" s="11">
        <v>0</v>
      </c>
      <c r="DT312" s="9">
        <v>0</v>
      </c>
    </row>
    <row r="313" spans="1:124" x14ac:dyDescent="0.2">
      <c r="A313" s="10">
        <v>42944</v>
      </c>
      <c r="B313" s="9" t="s">
        <v>370</v>
      </c>
      <c r="C313" s="9" t="s">
        <v>376</v>
      </c>
      <c r="D313" s="9" t="s">
        <v>379</v>
      </c>
      <c r="E313" s="9">
        <v>38.5</v>
      </c>
      <c r="F313" s="11">
        <v>83</v>
      </c>
      <c r="G313" s="11">
        <v>82.8</v>
      </c>
      <c r="H313" s="11">
        <v>5.2</v>
      </c>
      <c r="I313" s="9">
        <v>100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1.1599999999999999</v>
      </c>
      <c r="U313" s="9">
        <v>43.19</v>
      </c>
      <c r="V313" s="9">
        <v>13.04</v>
      </c>
      <c r="W313" s="9">
        <v>0</v>
      </c>
      <c r="X313" s="9">
        <v>0</v>
      </c>
      <c r="Y313" s="9">
        <v>0</v>
      </c>
      <c r="Z313" s="9">
        <v>0</v>
      </c>
      <c r="AM313" s="9">
        <v>21.5</v>
      </c>
      <c r="AN313" s="9">
        <v>1</v>
      </c>
      <c r="AO313" s="9">
        <v>35</v>
      </c>
      <c r="AP313" s="9">
        <v>9</v>
      </c>
      <c r="AQ313" s="9">
        <f>1.11*2+2.52+3.33+0.12+0.05+0.08</f>
        <v>8.32</v>
      </c>
      <c r="AR313" s="9">
        <v>3</v>
      </c>
      <c r="BQ313" s="9">
        <v>1</v>
      </c>
      <c r="BR313" s="9">
        <v>40</v>
      </c>
      <c r="BS313" s="9">
        <v>6</v>
      </c>
      <c r="BT313" s="9">
        <f>0.74+0.49+0.37+0.25</f>
        <v>1.85</v>
      </c>
      <c r="BU313" s="9">
        <v>3</v>
      </c>
      <c r="DB313" s="11">
        <v>1.25</v>
      </c>
      <c r="DC313" s="11">
        <v>1</v>
      </c>
      <c r="DD313" s="11">
        <v>1</v>
      </c>
      <c r="DE313" s="11"/>
      <c r="DF313" s="11">
        <f t="shared" ref="DF313" si="2">2.63+3.51+0.36+0.22*2</f>
        <v>6.94</v>
      </c>
      <c r="DG313" s="11"/>
      <c r="DH313" s="11"/>
      <c r="DI313" s="11"/>
      <c r="DJ313" s="11"/>
      <c r="DK313" s="11"/>
      <c r="DL313" s="11"/>
      <c r="DM313" s="11">
        <v>9.08</v>
      </c>
      <c r="DN313" s="11">
        <v>8.85</v>
      </c>
      <c r="DO313" s="11"/>
      <c r="DP313" s="11"/>
      <c r="DQ313" s="11">
        <v>0</v>
      </c>
      <c r="DR313" s="11">
        <v>0</v>
      </c>
      <c r="DS313" s="11">
        <v>0</v>
      </c>
      <c r="DT313" s="9">
        <v>0</v>
      </c>
    </row>
    <row r="314" spans="1:124" x14ac:dyDescent="0.2">
      <c r="A314" s="10">
        <v>42944</v>
      </c>
      <c r="B314" s="9" t="s">
        <v>370</v>
      </c>
      <c r="C314" s="9" t="s">
        <v>376</v>
      </c>
      <c r="D314" s="9" t="s">
        <v>127</v>
      </c>
      <c r="E314" s="9">
        <v>37</v>
      </c>
      <c r="F314" s="11">
        <v>85.3</v>
      </c>
      <c r="G314" s="11">
        <v>82.8</v>
      </c>
      <c r="H314" s="11">
        <v>4.9000000000000004</v>
      </c>
      <c r="I314" s="9">
        <v>100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1.19</v>
      </c>
      <c r="U314" s="9">
        <v>43.48</v>
      </c>
      <c r="V314" s="9">
        <v>8.27</v>
      </c>
      <c r="W314" s="9">
        <v>0</v>
      </c>
      <c r="X314" s="9">
        <v>0</v>
      </c>
      <c r="Y314" s="9">
        <v>0</v>
      </c>
      <c r="Z314" s="9">
        <v>0</v>
      </c>
      <c r="AM314" s="9">
        <v>21.2</v>
      </c>
      <c r="AN314" s="9">
        <v>1</v>
      </c>
      <c r="AO314" s="9">
        <v>35</v>
      </c>
      <c r="AP314" s="9">
        <v>9</v>
      </c>
      <c r="AQ314" s="9">
        <f>1.11*2+2.52+3.33+0.12+0.05+0.08</f>
        <v>8.32</v>
      </c>
      <c r="AR314" s="9">
        <v>4</v>
      </c>
      <c r="BQ314" s="9">
        <v>1</v>
      </c>
      <c r="BR314" s="9">
        <v>40</v>
      </c>
      <c r="BS314" s="9">
        <v>6</v>
      </c>
      <c r="BT314" s="9">
        <f>0.74+0.49+0.37+0.25</f>
        <v>1.85</v>
      </c>
      <c r="BU314" s="9">
        <v>4</v>
      </c>
      <c r="DB314" s="11">
        <v>0.42</v>
      </c>
      <c r="DC314" s="11">
        <v>1</v>
      </c>
      <c r="DD314" s="11">
        <v>1</v>
      </c>
      <c r="DE314" s="11"/>
      <c r="DF314" s="11">
        <f>0.45+0.6+0.36+0.32*2</f>
        <v>2.0500000000000003</v>
      </c>
      <c r="DG314" s="11"/>
      <c r="DH314" s="11"/>
      <c r="DI314" s="11"/>
      <c r="DJ314" s="11"/>
      <c r="DK314" s="11"/>
      <c r="DL314" s="11"/>
      <c r="DM314" s="11">
        <v>9.0399999999999991</v>
      </c>
      <c r="DN314" s="11">
        <v>7.22</v>
      </c>
      <c r="DO314" s="11"/>
      <c r="DP314" s="11"/>
      <c r="DQ314" s="11">
        <v>0</v>
      </c>
      <c r="DR314" s="11">
        <v>0</v>
      </c>
      <c r="DS314" s="11">
        <v>0</v>
      </c>
      <c r="DT314" s="9">
        <v>0</v>
      </c>
    </row>
    <row r="315" spans="1:124" x14ac:dyDescent="0.2">
      <c r="A315" s="10">
        <v>42944</v>
      </c>
      <c r="B315" s="9" t="s">
        <v>370</v>
      </c>
      <c r="C315" s="9" t="s">
        <v>376</v>
      </c>
      <c r="D315" s="9" t="s">
        <v>132</v>
      </c>
      <c r="E315" s="9">
        <v>28</v>
      </c>
      <c r="F315" s="11">
        <v>83.7</v>
      </c>
      <c r="G315" s="11">
        <v>82.8</v>
      </c>
      <c r="H315" s="11">
        <v>12.9</v>
      </c>
      <c r="I315" s="9">
        <v>86.97</v>
      </c>
      <c r="J315" s="9">
        <v>0</v>
      </c>
      <c r="K315" s="9">
        <v>0</v>
      </c>
      <c r="L315" s="9">
        <v>0</v>
      </c>
      <c r="M315" s="9">
        <v>13.03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11.2</v>
      </c>
      <c r="U315" s="9">
        <v>40.49</v>
      </c>
      <c r="V315" s="9">
        <v>7.63</v>
      </c>
      <c r="W315" s="9">
        <v>0</v>
      </c>
      <c r="X315" s="9">
        <v>0</v>
      </c>
      <c r="Y315" s="9">
        <v>0</v>
      </c>
      <c r="Z315" s="9">
        <v>0</v>
      </c>
      <c r="AM315" s="9">
        <v>3.9</v>
      </c>
      <c r="AN315" s="9">
        <v>1</v>
      </c>
      <c r="AO315" s="9">
        <v>35</v>
      </c>
      <c r="AP315" s="9">
        <v>1</v>
      </c>
      <c r="AQ315" s="9">
        <v>0.13</v>
      </c>
      <c r="AR315" s="9">
        <v>3</v>
      </c>
      <c r="BQ315" s="9">
        <v>1</v>
      </c>
      <c r="BR315" s="9">
        <v>40</v>
      </c>
      <c r="BS315" s="9">
        <v>2</v>
      </c>
      <c r="BT315" s="9">
        <f>0.74+0.13</f>
        <v>0.87</v>
      </c>
      <c r="BU315" s="9">
        <v>4</v>
      </c>
      <c r="BV315" s="9">
        <v>40</v>
      </c>
      <c r="BW315" s="9">
        <v>1</v>
      </c>
      <c r="BX315" s="9">
        <v>1.1100000000000001</v>
      </c>
      <c r="BY315" s="9">
        <v>3</v>
      </c>
      <c r="BZ315" s="9">
        <v>70</v>
      </c>
      <c r="CA315" s="9">
        <v>2</v>
      </c>
      <c r="CB315" s="9">
        <v>2.19</v>
      </c>
      <c r="CC315" s="9">
        <v>1</v>
      </c>
      <c r="CD315" s="9">
        <v>80</v>
      </c>
      <c r="CE315" s="9">
        <v>4</v>
      </c>
      <c r="CF315" s="9">
        <v>5.83</v>
      </c>
      <c r="CG315" s="9">
        <v>3</v>
      </c>
      <c r="DB315" s="11">
        <v>1.34</v>
      </c>
      <c r="DC315" s="11">
        <v>1</v>
      </c>
      <c r="DD315" s="11">
        <v>1</v>
      </c>
      <c r="DE315" s="11"/>
      <c r="DF315" s="11">
        <f>3.08*2+0.54</f>
        <v>6.7</v>
      </c>
      <c r="DG315" s="11"/>
      <c r="DH315" s="11"/>
      <c r="DI315" s="11"/>
      <c r="DJ315" s="11"/>
      <c r="DK315" s="11"/>
      <c r="DL315" s="11"/>
      <c r="DM315" s="11">
        <v>5.99</v>
      </c>
      <c r="DN315" s="11">
        <v>8.5399999999999991</v>
      </c>
      <c r="DO315" s="11"/>
      <c r="DP315" s="11"/>
      <c r="DQ315" s="11">
        <v>2.9</v>
      </c>
      <c r="DR315" s="11">
        <v>3.72</v>
      </c>
      <c r="DS315" s="11">
        <v>0</v>
      </c>
      <c r="DT315" s="9">
        <v>0</v>
      </c>
    </row>
    <row r="316" spans="1:124" x14ac:dyDescent="0.2">
      <c r="A316" s="10">
        <v>42944</v>
      </c>
      <c r="B316" s="9" t="s">
        <v>370</v>
      </c>
      <c r="C316" s="9" t="s">
        <v>376</v>
      </c>
      <c r="D316" s="9" t="s">
        <v>131</v>
      </c>
      <c r="E316" s="9">
        <v>27.5</v>
      </c>
      <c r="F316" s="11">
        <v>83.7</v>
      </c>
      <c r="G316" s="11">
        <v>82.8</v>
      </c>
      <c r="H316" s="11">
        <v>12.9</v>
      </c>
      <c r="I316" s="9">
        <v>86.97</v>
      </c>
      <c r="J316" s="9">
        <v>0</v>
      </c>
      <c r="K316" s="9">
        <v>0</v>
      </c>
      <c r="L316" s="9">
        <v>0</v>
      </c>
      <c r="M316" s="9">
        <v>13.03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11.2</v>
      </c>
      <c r="U316" s="9">
        <v>40.49</v>
      </c>
      <c r="V316" s="9">
        <v>7.63</v>
      </c>
      <c r="W316" s="9">
        <v>0</v>
      </c>
      <c r="X316" s="9">
        <v>0</v>
      </c>
      <c r="Y316" s="9">
        <v>0</v>
      </c>
      <c r="Z316" s="9">
        <v>0</v>
      </c>
      <c r="AM316" s="9">
        <v>3.9</v>
      </c>
      <c r="AN316" s="9">
        <v>1</v>
      </c>
      <c r="AO316" s="9">
        <v>35</v>
      </c>
      <c r="AP316" s="9">
        <v>1</v>
      </c>
      <c r="AQ316" s="9">
        <v>0.13</v>
      </c>
      <c r="AR316" s="9">
        <v>3</v>
      </c>
      <c r="BQ316" s="9">
        <v>1</v>
      </c>
      <c r="BR316" s="9">
        <v>40</v>
      </c>
      <c r="BS316" s="9">
        <v>2</v>
      </c>
      <c r="BT316" s="9">
        <f>0.74+0.13</f>
        <v>0.87</v>
      </c>
      <c r="BU316" s="9">
        <v>4</v>
      </c>
      <c r="BV316" s="9">
        <v>40</v>
      </c>
      <c r="BW316" s="9">
        <v>1</v>
      </c>
      <c r="BX316" s="9">
        <v>1.1100000000000001</v>
      </c>
      <c r="BY316" s="9">
        <v>3</v>
      </c>
      <c r="BZ316" s="9">
        <v>70</v>
      </c>
      <c r="CA316" s="9">
        <v>2</v>
      </c>
      <c r="CB316" s="9">
        <v>2.19</v>
      </c>
      <c r="CC316" s="9">
        <v>1</v>
      </c>
      <c r="CD316" s="9">
        <v>80</v>
      </c>
      <c r="CE316" s="9">
        <v>4</v>
      </c>
      <c r="CF316" s="9">
        <v>5.83</v>
      </c>
      <c r="CG316" s="9">
        <v>3</v>
      </c>
      <c r="DB316" s="11">
        <v>1.34</v>
      </c>
      <c r="DC316" s="11">
        <v>1</v>
      </c>
      <c r="DD316" s="11">
        <v>1</v>
      </c>
      <c r="DE316" s="11"/>
      <c r="DF316" s="11">
        <f>3.08*2+0.54</f>
        <v>6.7</v>
      </c>
      <c r="DG316" s="11"/>
      <c r="DH316" s="11"/>
      <c r="DI316" s="11"/>
      <c r="DJ316" s="11"/>
      <c r="DK316" s="11"/>
      <c r="DL316" s="11"/>
      <c r="DM316" s="11">
        <v>5.47</v>
      </c>
      <c r="DN316" s="11">
        <v>8.02</v>
      </c>
      <c r="DO316" s="11"/>
      <c r="DP316" s="11"/>
      <c r="DQ316" s="11">
        <v>2.9</v>
      </c>
      <c r="DR316" s="11">
        <v>3.72</v>
      </c>
      <c r="DS316" s="11">
        <v>0</v>
      </c>
      <c r="DT316" s="9">
        <v>0</v>
      </c>
    </row>
    <row r="317" spans="1:124" x14ac:dyDescent="0.2">
      <c r="A317" s="10">
        <v>42944</v>
      </c>
      <c r="B317" s="9" t="s">
        <v>370</v>
      </c>
      <c r="C317" s="9" t="s">
        <v>376</v>
      </c>
      <c r="D317" s="9" t="s">
        <v>134</v>
      </c>
      <c r="E317" s="9">
        <v>38</v>
      </c>
      <c r="F317" s="11">
        <v>88.7</v>
      </c>
      <c r="G317" s="11">
        <v>82.8</v>
      </c>
      <c r="H317" s="11">
        <v>11</v>
      </c>
      <c r="I317" s="9">
        <v>86.32</v>
      </c>
      <c r="J317" s="9">
        <v>0</v>
      </c>
      <c r="K317" s="9">
        <v>0</v>
      </c>
      <c r="L317" s="9">
        <v>0</v>
      </c>
      <c r="M317" s="9">
        <v>13.68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1.1100000000000001</v>
      </c>
      <c r="U317" s="9">
        <v>58.28</v>
      </c>
      <c r="V317" s="9">
        <v>3.66</v>
      </c>
      <c r="W317" s="9">
        <v>0</v>
      </c>
      <c r="X317" s="9">
        <v>0</v>
      </c>
      <c r="Y317" s="9">
        <v>0</v>
      </c>
      <c r="Z317" s="9">
        <v>0</v>
      </c>
      <c r="AM317" s="9">
        <v>15.5</v>
      </c>
      <c r="AN317" s="9">
        <v>1</v>
      </c>
      <c r="AO317" s="9">
        <v>35</v>
      </c>
      <c r="AP317" s="9">
        <v>3</v>
      </c>
      <c r="AQ317" s="9">
        <f>1.11+0.39+2.4</f>
        <v>3.9</v>
      </c>
      <c r="AR317" s="9">
        <v>3</v>
      </c>
      <c r="AS317" s="9">
        <v>34</v>
      </c>
      <c r="AT317" s="9">
        <v>1</v>
      </c>
      <c r="AU317" s="9">
        <v>0.03</v>
      </c>
      <c r="AV317" s="9">
        <v>1</v>
      </c>
      <c r="BQ317" s="9">
        <v>1</v>
      </c>
      <c r="BR317" s="9">
        <v>70</v>
      </c>
      <c r="BS317" s="9">
        <v>3</v>
      </c>
      <c r="BT317" s="9">
        <v>1.1100000000000001</v>
      </c>
      <c r="BU317" s="9">
        <v>1</v>
      </c>
      <c r="BV317" s="9">
        <v>40</v>
      </c>
      <c r="BW317" s="9">
        <v>1</v>
      </c>
      <c r="BX317" s="9">
        <v>0.2</v>
      </c>
      <c r="BY317" s="9">
        <v>3</v>
      </c>
      <c r="BZ317" s="9">
        <v>80</v>
      </c>
      <c r="CA317" s="9">
        <v>7</v>
      </c>
      <c r="CB317" s="9">
        <v>10.35</v>
      </c>
      <c r="CC317" s="9">
        <v>3</v>
      </c>
      <c r="DB317" s="11">
        <v>8.92</v>
      </c>
      <c r="DC317" s="11">
        <v>1</v>
      </c>
      <c r="DD317" s="11">
        <v>1</v>
      </c>
      <c r="DE317" s="11"/>
      <c r="DF317" s="11">
        <f>3.08*3+0.36</f>
        <v>9.6</v>
      </c>
      <c r="DG317" s="11">
        <v>2</v>
      </c>
      <c r="DH317" s="11"/>
      <c r="DI317" s="11">
        <f>0.74*2</f>
        <v>1.48</v>
      </c>
      <c r="DJ317" s="11"/>
      <c r="DK317" s="11"/>
      <c r="DL317" s="11"/>
      <c r="DM317" s="11">
        <v>0</v>
      </c>
      <c r="DN317" s="11">
        <v>0</v>
      </c>
      <c r="DO317" s="11"/>
      <c r="DP317" s="11"/>
      <c r="DQ317" s="11">
        <v>0</v>
      </c>
      <c r="DR317" s="11">
        <v>0</v>
      </c>
      <c r="DS317" s="11">
        <v>0</v>
      </c>
      <c r="DT317" s="9">
        <v>0</v>
      </c>
    </row>
    <row r="318" spans="1:124" x14ac:dyDescent="0.2">
      <c r="A318" s="10">
        <v>42944</v>
      </c>
      <c r="B318" s="9" t="s">
        <v>370</v>
      </c>
      <c r="C318" s="9" t="s">
        <v>376</v>
      </c>
      <c r="D318" s="9" t="s">
        <v>133</v>
      </c>
      <c r="E318" s="9">
        <v>38</v>
      </c>
      <c r="F318" s="11">
        <v>88.7</v>
      </c>
      <c r="G318" s="11">
        <v>82.8</v>
      </c>
      <c r="H318" s="11">
        <v>11</v>
      </c>
      <c r="I318" s="9">
        <v>86.32</v>
      </c>
      <c r="J318" s="9">
        <v>0</v>
      </c>
      <c r="K318" s="9">
        <v>0</v>
      </c>
      <c r="L318" s="9">
        <v>0</v>
      </c>
      <c r="M318" s="9">
        <v>13.68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1.1100000000000001</v>
      </c>
      <c r="U318" s="9">
        <v>58.28</v>
      </c>
      <c r="V318" s="9">
        <v>3.66</v>
      </c>
      <c r="W318" s="9">
        <v>0</v>
      </c>
      <c r="X318" s="9">
        <v>0</v>
      </c>
      <c r="Y318" s="9">
        <v>0</v>
      </c>
      <c r="Z318" s="9">
        <v>0</v>
      </c>
      <c r="AM318" s="9">
        <v>15.5</v>
      </c>
      <c r="AN318" s="9">
        <v>1</v>
      </c>
      <c r="AO318" s="9">
        <v>35</v>
      </c>
      <c r="AP318" s="9">
        <v>3</v>
      </c>
      <c r="AQ318" s="9">
        <f>1.11+0.39+2.4</f>
        <v>3.9</v>
      </c>
      <c r="AR318" s="9">
        <v>3</v>
      </c>
      <c r="AS318" s="9">
        <v>34</v>
      </c>
      <c r="AT318" s="9">
        <v>1</v>
      </c>
      <c r="AU318" s="9">
        <v>0.03</v>
      </c>
      <c r="AV318" s="9">
        <v>1</v>
      </c>
      <c r="BQ318" s="9">
        <v>1</v>
      </c>
      <c r="BR318" s="9">
        <v>70</v>
      </c>
      <c r="BS318" s="9">
        <v>3</v>
      </c>
      <c r="BT318" s="9">
        <v>1.1100000000000001</v>
      </c>
      <c r="BU318" s="9">
        <v>1</v>
      </c>
      <c r="BV318" s="9">
        <v>40</v>
      </c>
      <c r="BW318" s="9">
        <v>1</v>
      </c>
      <c r="BX318" s="9">
        <v>0.2</v>
      </c>
      <c r="BY318" s="9">
        <v>3</v>
      </c>
      <c r="BZ318" s="9">
        <v>80</v>
      </c>
      <c r="CA318" s="9">
        <v>7</v>
      </c>
      <c r="CB318" s="9">
        <v>10.35</v>
      </c>
      <c r="CC318" s="9">
        <v>3</v>
      </c>
      <c r="DB318" s="11">
        <v>8.92</v>
      </c>
      <c r="DC318" s="11">
        <v>1</v>
      </c>
      <c r="DD318" s="11">
        <v>2</v>
      </c>
      <c r="DE318" s="11"/>
      <c r="DF318" s="11">
        <f>3.08*3+0.36</f>
        <v>9.6</v>
      </c>
      <c r="DG318" s="11">
        <v>3</v>
      </c>
      <c r="DH318" s="11"/>
      <c r="DI318" s="11">
        <f>0.74*2</f>
        <v>1.48</v>
      </c>
      <c r="DJ318" s="11"/>
      <c r="DK318" s="11"/>
      <c r="DL318" s="11"/>
      <c r="DM318" s="11">
        <v>0</v>
      </c>
      <c r="DN318" s="11">
        <v>0</v>
      </c>
      <c r="DO318" s="11"/>
      <c r="DP318" s="11"/>
      <c r="DQ318" s="11">
        <v>0</v>
      </c>
      <c r="DR318" s="11">
        <v>0</v>
      </c>
      <c r="DS318" s="11">
        <v>0</v>
      </c>
      <c r="DT318" s="9">
        <v>0</v>
      </c>
    </row>
    <row r="319" spans="1:124" x14ac:dyDescent="0.2">
      <c r="A319" s="10">
        <v>42944</v>
      </c>
      <c r="B319" s="9" t="s">
        <v>370</v>
      </c>
      <c r="C319" s="9" t="s">
        <v>376</v>
      </c>
      <c r="D319" s="9" t="s">
        <v>380</v>
      </c>
      <c r="E319" s="9">
        <v>47</v>
      </c>
      <c r="F319" s="11">
        <v>82.6</v>
      </c>
      <c r="G319" s="11">
        <v>82.8</v>
      </c>
      <c r="H319" s="11">
        <v>9.4</v>
      </c>
      <c r="I319" s="9">
        <v>60.41</v>
      </c>
      <c r="J319" s="9">
        <v>0</v>
      </c>
      <c r="K319" s="9">
        <v>0</v>
      </c>
      <c r="L319" s="9">
        <v>0</v>
      </c>
      <c r="M319" s="9">
        <v>2.96</v>
      </c>
      <c r="N319" s="9">
        <v>0</v>
      </c>
      <c r="O319" s="9">
        <v>36.630000000000003</v>
      </c>
      <c r="P319" s="9">
        <v>0</v>
      </c>
      <c r="Q319" s="9">
        <v>0</v>
      </c>
      <c r="R319" s="9">
        <v>0</v>
      </c>
      <c r="S319" s="9">
        <v>0</v>
      </c>
      <c r="T319" s="9">
        <v>7.99</v>
      </c>
      <c r="U319" s="9">
        <v>56.14</v>
      </c>
      <c r="V319" s="9">
        <v>1.66</v>
      </c>
      <c r="W319" s="9">
        <v>0</v>
      </c>
      <c r="X319" s="9">
        <v>0</v>
      </c>
      <c r="Y319" s="9">
        <v>17.8</v>
      </c>
      <c r="Z319" s="9">
        <v>1</v>
      </c>
      <c r="AA319" s="9">
        <v>5</v>
      </c>
      <c r="AC319" s="9">
        <v>2</v>
      </c>
      <c r="AM319" s="9">
        <v>6.9</v>
      </c>
      <c r="AN319" s="9">
        <v>1</v>
      </c>
      <c r="AO319" s="9">
        <v>35</v>
      </c>
      <c r="AP319" s="9">
        <v>2</v>
      </c>
      <c r="AQ319" s="9">
        <f>1.11*2</f>
        <v>2.2200000000000002</v>
      </c>
      <c r="AR319" s="9">
        <v>3</v>
      </c>
      <c r="BQ319" s="9">
        <v>0</v>
      </c>
      <c r="DB319" s="11">
        <v>1.85</v>
      </c>
      <c r="DC319" s="11">
        <v>1</v>
      </c>
      <c r="DD319" s="11">
        <v>1</v>
      </c>
      <c r="DE319" s="11"/>
      <c r="DF319" s="11">
        <f>3.08+2.05*2</f>
        <v>7.18</v>
      </c>
      <c r="DG319" s="11"/>
      <c r="DH319" s="11"/>
      <c r="DI319" s="11"/>
      <c r="DJ319" s="11"/>
      <c r="DK319" s="11"/>
      <c r="DL319" s="11"/>
      <c r="DM319" s="11">
        <v>10.27</v>
      </c>
      <c r="DN319" s="11">
        <v>9.4</v>
      </c>
      <c r="DO319" s="11"/>
      <c r="DP319" s="11"/>
      <c r="DQ319" s="11">
        <v>0</v>
      </c>
      <c r="DR319" s="11">
        <v>0</v>
      </c>
      <c r="DS319" s="11">
        <v>0</v>
      </c>
      <c r="DT319" s="9">
        <v>0</v>
      </c>
    </row>
    <row r="320" spans="1:124" x14ac:dyDescent="0.2">
      <c r="A320" s="10">
        <v>42944</v>
      </c>
      <c r="B320" s="9" t="s">
        <v>370</v>
      </c>
      <c r="C320" s="9" t="s">
        <v>376</v>
      </c>
      <c r="D320" s="9" t="s">
        <v>146</v>
      </c>
      <c r="E320" s="9">
        <v>47</v>
      </c>
      <c r="F320" s="11">
        <v>77.599999999999994</v>
      </c>
      <c r="G320" s="11">
        <v>82.8</v>
      </c>
      <c r="H320" s="11">
        <v>9.4</v>
      </c>
      <c r="I320" s="9">
        <v>60.41</v>
      </c>
      <c r="J320" s="9">
        <v>0</v>
      </c>
      <c r="K320" s="9">
        <v>0</v>
      </c>
      <c r="L320" s="9">
        <v>0</v>
      </c>
      <c r="M320" s="9">
        <v>2.96</v>
      </c>
      <c r="N320" s="9">
        <v>0</v>
      </c>
      <c r="O320" s="9">
        <v>36.630000000000003</v>
      </c>
      <c r="P320" s="9">
        <v>0</v>
      </c>
      <c r="Q320" s="9">
        <v>0</v>
      </c>
      <c r="R320" s="9">
        <v>0</v>
      </c>
      <c r="S320" s="9">
        <v>0</v>
      </c>
      <c r="T320" s="9">
        <v>7.99</v>
      </c>
      <c r="U320" s="9">
        <v>56.14</v>
      </c>
      <c r="V320" s="9">
        <v>1.66</v>
      </c>
      <c r="W320" s="9">
        <v>0</v>
      </c>
      <c r="X320" s="9">
        <v>0</v>
      </c>
      <c r="Y320" s="9">
        <v>17.8</v>
      </c>
      <c r="Z320" s="9">
        <v>1</v>
      </c>
      <c r="AA320" s="9">
        <v>5</v>
      </c>
      <c r="AC320" s="9">
        <v>2</v>
      </c>
      <c r="AM320" s="9">
        <v>6.9</v>
      </c>
      <c r="AN320" s="9">
        <v>1</v>
      </c>
      <c r="AO320" s="9">
        <v>35</v>
      </c>
      <c r="AP320" s="9">
        <v>2</v>
      </c>
      <c r="AQ320" s="9">
        <f>1.11*2</f>
        <v>2.2200000000000002</v>
      </c>
      <c r="AR320" s="9">
        <v>3</v>
      </c>
      <c r="BQ320" s="9">
        <v>0</v>
      </c>
      <c r="DB320" s="11">
        <v>1.85</v>
      </c>
      <c r="DC320" s="11">
        <v>1</v>
      </c>
      <c r="DD320" s="11">
        <v>1</v>
      </c>
      <c r="DE320" s="11"/>
      <c r="DF320" s="11">
        <f>3.08+2.05*2</f>
        <v>7.18</v>
      </c>
      <c r="DG320" s="11"/>
      <c r="DH320" s="11"/>
      <c r="DI320" s="11"/>
      <c r="DJ320" s="11"/>
      <c r="DK320" s="11"/>
      <c r="DL320" s="11"/>
      <c r="DM320" s="11">
        <v>10.27</v>
      </c>
      <c r="DN320" s="11">
        <v>9.4</v>
      </c>
      <c r="DO320" s="11"/>
      <c r="DP320" s="11"/>
      <c r="DQ320" s="11">
        <v>0</v>
      </c>
      <c r="DR320" s="11">
        <v>0</v>
      </c>
      <c r="DS320" s="11">
        <v>0</v>
      </c>
      <c r="DT320" s="9">
        <v>0</v>
      </c>
    </row>
    <row r="321" spans="1:124" x14ac:dyDescent="0.2">
      <c r="A321" s="10">
        <v>42944</v>
      </c>
      <c r="B321" s="9" t="s">
        <v>381</v>
      </c>
      <c r="C321" s="9" t="s">
        <v>382</v>
      </c>
      <c r="D321" s="9">
        <v>6</v>
      </c>
      <c r="E321" s="9">
        <v>14.5</v>
      </c>
      <c r="F321" s="11">
        <v>26.1</v>
      </c>
      <c r="G321" s="11">
        <v>571.19000000000005</v>
      </c>
      <c r="H321" s="11">
        <v>12.4</v>
      </c>
      <c r="I321" s="9">
        <v>89.38</v>
      </c>
      <c r="J321" s="9">
        <v>0.44</v>
      </c>
      <c r="K321" s="9">
        <v>0</v>
      </c>
      <c r="L321" s="9">
        <v>0</v>
      </c>
      <c r="M321" s="9">
        <v>10.15</v>
      </c>
      <c r="N321" s="9">
        <v>0</v>
      </c>
      <c r="O321" s="9">
        <v>0.03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6.18</v>
      </c>
      <c r="V321" s="9">
        <v>2.69</v>
      </c>
      <c r="W321" s="9">
        <v>7.79</v>
      </c>
      <c r="X321" s="9">
        <v>0</v>
      </c>
      <c r="Y321" s="9">
        <v>0</v>
      </c>
      <c r="Z321" s="9">
        <v>0</v>
      </c>
      <c r="AM321" s="9">
        <v>0.4</v>
      </c>
      <c r="AN321" s="9">
        <v>1</v>
      </c>
      <c r="AO321" s="9">
        <v>35</v>
      </c>
      <c r="AP321" s="9">
        <v>4</v>
      </c>
      <c r="AQ321" s="9">
        <f>0.38+0.19</f>
        <v>0.57000000000000006</v>
      </c>
      <c r="AR321" s="9">
        <v>3</v>
      </c>
      <c r="AS321" s="9">
        <v>23</v>
      </c>
      <c r="AT321" s="9">
        <v>2</v>
      </c>
      <c r="AU321" s="9">
        <v>0.19</v>
      </c>
      <c r="AV321" s="9">
        <v>3</v>
      </c>
      <c r="BQ321" s="9">
        <v>1</v>
      </c>
      <c r="BR321" s="9">
        <v>60</v>
      </c>
      <c r="BS321" s="9">
        <v>8</v>
      </c>
      <c r="BT321" s="9">
        <f>0.38+0.25*2</f>
        <v>0.88</v>
      </c>
      <c r="BU321" s="9">
        <v>3</v>
      </c>
      <c r="BV321" s="9">
        <v>50</v>
      </c>
      <c r="BW321" s="9">
        <v>2</v>
      </c>
      <c r="BX321" s="9">
        <v>0.03</v>
      </c>
      <c r="BY321" s="9">
        <v>6</v>
      </c>
      <c r="BZ321" s="9">
        <v>40</v>
      </c>
      <c r="CA321" s="9">
        <v>6</v>
      </c>
      <c r="CB321" s="9">
        <v>0.13</v>
      </c>
      <c r="CC321" s="9">
        <v>1</v>
      </c>
      <c r="CD321" s="9">
        <v>40</v>
      </c>
      <c r="CE321" s="9">
        <v>5</v>
      </c>
      <c r="CF321" s="9">
        <v>0.13</v>
      </c>
      <c r="CG321" s="9">
        <v>6</v>
      </c>
      <c r="DB321" s="11">
        <v>0.08</v>
      </c>
      <c r="DC321" s="11">
        <v>1</v>
      </c>
      <c r="DD321" s="11">
        <v>1</v>
      </c>
      <c r="DE321" s="11"/>
      <c r="DF321" s="11">
        <f>0.14*2+0.21*2</f>
        <v>0.7</v>
      </c>
      <c r="DG321" s="11">
        <v>2</v>
      </c>
      <c r="DH321" s="11"/>
      <c r="DI321" s="11">
        <v>0.53</v>
      </c>
      <c r="DJ321" s="11"/>
      <c r="DK321" s="11"/>
      <c r="DL321" s="11"/>
      <c r="DM321" s="11">
        <v>1.23</v>
      </c>
      <c r="DN321" s="11">
        <v>0.95</v>
      </c>
      <c r="DO321" s="11"/>
      <c r="DP321" s="11"/>
      <c r="DQ321" s="11">
        <v>0</v>
      </c>
      <c r="DR321" s="11">
        <v>0</v>
      </c>
      <c r="DS321" s="11">
        <v>0</v>
      </c>
      <c r="DT321" s="9">
        <v>0</v>
      </c>
    </row>
    <row r="322" spans="1:124" x14ac:dyDescent="0.2">
      <c r="A322" s="10">
        <v>42944</v>
      </c>
      <c r="B322" s="9" t="s">
        <v>381</v>
      </c>
      <c r="C322" s="9" t="s">
        <v>382</v>
      </c>
      <c r="D322" s="9" t="s">
        <v>107</v>
      </c>
      <c r="E322" s="9">
        <v>38.5</v>
      </c>
      <c r="F322" s="11">
        <v>92.5</v>
      </c>
      <c r="G322" s="11">
        <v>571.19000000000005</v>
      </c>
      <c r="H322" s="11">
        <v>26</v>
      </c>
      <c r="I322" s="9">
        <v>61.6</v>
      </c>
      <c r="J322" s="9">
        <v>0</v>
      </c>
      <c r="K322" s="9">
        <v>8.98</v>
      </c>
      <c r="L322" s="9">
        <v>0</v>
      </c>
      <c r="M322" s="9">
        <v>3.37</v>
      </c>
      <c r="N322" s="9">
        <v>0.38</v>
      </c>
      <c r="O322" s="9">
        <v>10.4</v>
      </c>
      <c r="P322" s="9">
        <v>0.95</v>
      </c>
      <c r="Q322" s="9">
        <v>0</v>
      </c>
      <c r="R322" s="9">
        <v>4.54</v>
      </c>
      <c r="S322" s="9">
        <v>0</v>
      </c>
      <c r="T322" s="9">
        <v>7.27</v>
      </c>
      <c r="U322" s="9">
        <v>42.49</v>
      </c>
      <c r="V322" s="9">
        <v>10.15</v>
      </c>
      <c r="W322" s="9">
        <v>1.8</v>
      </c>
      <c r="X322" s="9">
        <v>8.9499999999999993</v>
      </c>
      <c r="Y322" s="9">
        <v>0.4</v>
      </c>
      <c r="Z322" s="9">
        <v>3</v>
      </c>
      <c r="AA322" s="9">
        <v>5</v>
      </c>
      <c r="AB322" s="9">
        <v>5</v>
      </c>
      <c r="AM322" s="9">
        <v>3.2</v>
      </c>
      <c r="AN322" s="9">
        <v>1</v>
      </c>
      <c r="AO322" s="9">
        <v>68</v>
      </c>
      <c r="AP322" s="9">
        <v>7</v>
      </c>
      <c r="AQ322" s="9">
        <f>0.25*2+0.38</f>
        <v>0.88</v>
      </c>
      <c r="AR322" s="9">
        <v>1</v>
      </c>
      <c r="AS322" s="9">
        <v>34</v>
      </c>
      <c r="AT322" s="9">
        <v>4</v>
      </c>
      <c r="AU322" s="9">
        <v>0.5</v>
      </c>
      <c r="AV322" s="9">
        <v>5</v>
      </c>
      <c r="AW322" s="9">
        <v>23</v>
      </c>
      <c r="AX322" s="9">
        <v>9</v>
      </c>
      <c r="AY322" s="12">
        <f>0.1+0.13*2+0.05+0.25*2</f>
        <v>0.90999999999999992</v>
      </c>
      <c r="AZ322" s="9">
        <v>3</v>
      </c>
      <c r="BA322" s="9">
        <v>28</v>
      </c>
      <c r="BB322" s="9">
        <v>12</v>
      </c>
      <c r="BC322" s="9">
        <f>0.76+0.57+0.38</f>
        <v>1.71</v>
      </c>
      <c r="BD322" s="9">
        <v>5</v>
      </c>
      <c r="BE322" s="9">
        <v>52</v>
      </c>
      <c r="BF322" s="9">
        <v>25</v>
      </c>
      <c r="BG322" s="9">
        <f>0.25+0.32+1.13+0.13+0.38+0.38</f>
        <v>2.59</v>
      </c>
      <c r="BH322" s="9">
        <v>2</v>
      </c>
      <c r="BI322" s="9">
        <v>35</v>
      </c>
      <c r="BJ322" s="9">
        <v>6</v>
      </c>
      <c r="BK322" s="9">
        <f>0.13+0.23+0.13</f>
        <v>0.49</v>
      </c>
      <c r="BL322" s="9">
        <v>3</v>
      </c>
      <c r="BM322" s="9">
        <v>85</v>
      </c>
      <c r="BN322" s="9">
        <v>6</v>
      </c>
      <c r="BO322" s="9">
        <v>1.1299999999999999</v>
      </c>
      <c r="BP322" s="9">
        <v>2</v>
      </c>
      <c r="BQ322" s="9">
        <v>0</v>
      </c>
      <c r="DB322" s="11">
        <v>1.19</v>
      </c>
      <c r="DC322" s="11">
        <v>1</v>
      </c>
      <c r="DD322" s="11">
        <v>1</v>
      </c>
      <c r="DE322" s="11"/>
      <c r="DF322" s="11">
        <f>0.63*2+0.35*2+0.35*3</f>
        <v>3.01</v>
      </c>
      <c r="DG322" s="11">
        <v>2</v>
      </c>
      <c r="DH322" s="11"/>
      <c r="DI322" s="11">
        <f>0.35*3+0.13+1.13+0.32+0.25+0.38*2</f>
        <v>3.6399999999999997</v>
      </c>
      <c r="DJ322" s="11"/>
      <c r="DK322" s="11"/>
      <c r="DL322" s="11"/>
      <c r="DM322" s="11">
        <v>6.47</v>
      </c>
      <c r="DN322" s="11">
        <v>8.4700000000000006</v>
      </c>
      <c r="DO322" s="11"/>
      <c r="DP322" s="11"/>
      <c r="DQ322" s="11">
        <v>0.84</v>
      </c>
      <c r="DR322" s="11">
        <v>0</v>
      </c>
      <c r="DS322" s="11">
        <v>0.03</v>
      </c>
      <c r="DT322" s="9">
        <v>23</v>
      </c>
    </row>
    <row r="323" spans="1:124" x14ac:dyDescent="0.2">
      <c r="A323" s="10">
        <v>42944</v>
      </c>
      <c r="B323" s="9" t="s">
        <v>381</v>
      </c>
      <c r="C323" s="9" t="s">
        <v>382</v>
      </c>
      <c r="D323" s="9" t="s">
        <v>108</v>
      </c>
      <c r="E323" s="9">
        <v>40.5</v>
      </c>
      <c r="F323" s="11">
        <v>89.3</v>
      </c>
      <c r="G323" s="11">
        <v>571.19000000000005</v>
      </c>
      <c r="H323" s="11">
        <v>28.5</v>
      </c>
      <c r="I323" s="9">
        <v>60.03</v>
      </c>
      <c r="J323" s="9">
        <v>0</v>
      </c>
      <c r="L323" s="9">
        <v>10.84</v>
      </c>
      <c r="M323" s="9">
        <v>3.37</v>
      </c>
      <c r="N323" s="9">
        <v>0</v>
      </c>
      <c r="O323" s="9">
        <v>10.43</v>
      </c>
      <c r="P323" s="9">
        <v>0.95</v>
      </c>
      <c r="Q323" s="9">
        <v>0</v>
      </c>
      <c r="R323" s="9">
        <v>4.54</v>
      </c>
      <c r="S323" s="9">
        <v>0</v>
      </c>
      <c r="T323" s="9">
        <v>8.86</v>
      </c>
      <c r="U323" s="9">
        <v>38.840000000000003</v>
      </c>
      <c r="V323" s="9">
        <v>11.38</v>
      </c>
      <c r="W323" s="9">
        <v>1.42</v>
      </c>
      <c r="X323" s="9">
        <v>8.9499999999999993</v>
      </c>
      <c r="Y323" s="9">
        <v>0.4</v>
      </c>
      <c r="Z323" s="9">
        <v>3</v>
      </c>
      <c r="AA323" s="9">
        <v>5</v>
      </c>
      <c r="AB323" s="9">
        <v>5</v>
      </c>
      <c r="AM323" s="9">
        <v>2.6</v>
      </c>
      <c r="AN323" s="9">
        <v>1</v>
      </c>
      <c r="AO323" s="9">
        <v>68</v>
      </c>
      <c r="AP323" s="9">
        <v>7</v>
      </c>
      <c r="AQ323" s="9">
        <f>0.25*2+0.37</f>
        <v>0.87</v>
      </c>
      <c r="AR323" s="9">
        <v>1</v>
      </c>
      <c r="AS323" s="9">
        <v>23</v>
      </c>
      <c r="AT323" s="9">
        <v>13</v>
      </c>
      <c r="AU323" s="9">
        <f>0.08*3+0.13*2+0.08+0.25*2+0.38</f>
        <v>1.46</v>
      </c>
      <c r="AV323" s="9">
        <v>3</v>
      </c>
      <c r="AW323" s="9">
        <v>28</v>
      </c>
      <c r="AX323" s="9">
        <v>12</v>
      </c>
      <c r="AY323" s="12">
        <f>0.76+0.57+0.38</f>
        <v>1.71</v>
      </c>
      <c r="AZ323" s="9">
        <v>5</v>
      </c>
      <c r="BA323" s="9">
        <v>52</v>
      </c>
      <c r="BB323" s="9">
        <v>22</v>
      </c>
      <c r="BC323" s="9">
        <f>1.13+0.13+0.32+0.25+0.38</f>
        <v>2.21</v>
      </c>
      <c r="BD323" s="9">
        <v>2</v>
      </c>
      <c r="BE323" s="9">
        <v>35</v>
      </c>
      <c r="BF323" s="9">
        <v>6</v>
      </c>
      <c r="BG323" s="9">
        <f>0.13*2+0.23</f>
        <v>0.49</v>
      </c>
      <c r="BH323" s="9">
        <v>3</v>
      </c>
      <c r="BI323" s="9">
        <v>85</v>
      </c>
      <c r="BJ323" s="9">
        <v>6</v>
      </c>
      <c r="BK323" s="9">
        <v>1.1299999999999999</v>
      </c>
      <c r="BL323" s="9">
        <v>2</v>
      </c>
      <c r="BQ323" s="9">
        <v>0</v>
      </c>
      <c r="DB323" s="11">
        <v>1.19</v>
      </c>
      <c r="DC323" s="11">
        <v>1</v>
      </c>
      <c r="DD323" s="11">
        <v>1</v>
      </c>
      <c r="DE323" s="11"/>
      <c r="DF323" s="11">
        <f>0.63*2+0.35*2+0.35*3</f>
        <v>3.01</v>
      </c>
      <c r="DG323" s="11">
        <v>3</v>
      </c>
      <c r="DH323" s="11"/>
      <c r="DI323" s="11">
        <f>0.35*3+0.13+1.13+0.32+0.25+0.38*2</f>
        <v>3.6399999999999997</v>
      </c>
      <c r="DJ323" s="11"/>
      <c r="DK323" s="11"/>
      <c r="DL323" s="11"/>
      <c r="DM323" s="11">
        <v>6.62</v>
      </c>
      <c r="DN323" s="11">
        <v>8.83</v>
      </c>
      <c r="DO323" s="11"/>
      <c r="DP323" s="11"/>
      <c r="DQ323" s="11">
        <v>0.84</v>
      </c>
      <c r="DR323" s="11">
        <v>0</v>
      </c>
      <c r="DS323" s="11">
        <v>0.03</v>
      </c>
      <c r="DT323" s="9">
        <v>23</v>
      </c>
    </row>
    <row r="324" spans="1:124" x14ac:dyDescent="0.2">
      <c r="A324" s="10">
        <v>42944</v>
      </c>
      <c r="B324" s="9" t="s">
        <v>381</v>
      </c>
      <c r="C324" s="9" t="s">
        <v>382</v>
      </c>
      <c r="D324" s="9" t="s">
        <v>383</v>
      </c>
      <c r="E324" s="9">
        <v>37.5</v>
      </c>
      <c r="F324" s="11">
        <v>83.5</v>
      </c>
      <c r="G324" s="11">
        <v>571.19000000000005</v>
      </c>
      <c r="H324" s="11">
        <v>32.299999999999997</v>
      </c>
      <c r="I324" s="9">
        <v>64.31</v>
      </c>
      <c r="J324" s="9">
        <v>0</v>
      </c>
      <c r="K324" s="9">
        <v>22.4</v>
      </c>
      <c r="L324" s="9">
        <v>0.76</v>
      </c>
      <c r="M324" s="9">
        <v>12.53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7.66</v>
      </c>
      <c r="U324" s="9">
        <v>29.92</v>
      </c>
      <c r="V324" s="9">
        <v>27.37</v>
      </c>
      <c r="W324" s="9">
        <v>0</v>
      </c>
      <c r="X324" s="9">
        <v>0</v>
      </c>
      <c r="Y324" s="9">
        <v>0</v>
      </c>
      <c r="Z324" s="9">
        <v>0</v>
      </c>
      <c r="AM324" s="9">
        <v>0.8</v>
      </c>
      <c r="AN324" s="9">
        <v>1</v>
      </c>
      <c r="AO324" s="9">
        <v>68</v>
      </c>
      <c r="AP324" s="9">
        <v>1</v>
      </c>
      <c r="AQ324" s="9">
        <v>0.13</v>
      </c>
      <c r="AR324" s="9">
        <v>1</v>
      </c>
      <c r="AS324" s="9">
        <v>34</v>
      </c>
      <c r="AT324" s="9">
        <f>5*4+4+2+4+4+2+4+4+1+4+4+2</f>
        <v>55</v>
      </c>
      <c r="AU324" s="9">
        <f>0.13*4+0.2+0.05+0.2+0.15+0.13+0.05+0.05+0.25</f>
        <v>1.6</v>
      </c>
      <c r="AV324" s="9">
        <v>1</v>
      </c>
      <c r="AW324" s="9">
        <v>35</v>
      </c>
      <c r="AX324" s="9">
        <v>1</v>
      </c>
      <c r="AY324" s="12">
        <v>0.25</v>
      </c>
      <c r="AZ324" s="9">
        <v>3</v>
      </c>
      <c r="BQ324" s="9">
        <v>1</v>
      </c>
      <c r="BR324" s="9">
        <v>40</v>
      </c>
      <c r="BS324" s="9">
        <v>14</v>
      </c>
      <c r="BT324" s="9">
        <f>0.25+0.19*2</f>
        <v>0.63</v>
      </c>
      <c r="BU324" s="9">
        <v>1</v>
      </c>
      <c r="DB324" s="11">
        <v>0.09</v>
      </c>
      <c r="DC324" s="11">
        <v>1</v>
      </c>
      <c r="DD324" s="11">
        <v>1</v>
      </c>
      <c r="DE324" s="11"/>
      <c r="DF324" s="11">
        <f>0.1+0.35*3+1.4</f>
        <v>2.5499999999999998</v>
      </c>
      <c r="DG324" s="11"/>
      <c r="DH324" s="11"/>
      <c r="DI324" s="11"/>
      <c r="DJ324" s="11"/>
      <c r="DK324" s="11"/>
      <c r="DL324" s="11"/>
      <c r="DM324" s="11">
        <v>3.96</v>
      </c>
      <c r="DN324" s="11">
        <v>3.96</v>
      </c>
      <c r="DO324" s="11"/>
      <c r="DP324" s="11"/>
      <c r="DQ324" s="11">
        <v>0</v>
      </c>
      <c r="DR324" s="11">
        <v>0</v>
      </c>
      <c r="DS324" s="11">
        <v>0</v>
      </c>
      <c r="DT324" s="9">
        <v>0</v>
      </c>
    </row>
    <row r="325" spans="1:124" x14ac:dyDescent="0.2">
      <c r="A325" s="10">
        <v>42944</v>
      </c>
      <c r="B325" s="9" t="s">
        <v>381</v>
      </c>
      <c r="C325" s="9" t="s">
        <v>382</v>
      </c>
      <c r="D325" s="9" t="s">
        <v>384</v>
      </c>
      <c r="E325" s="9">
        <v>57</v>
      </c>
      <c r="F325" s="11">
        <v>75.099999999999994</v>
      </c>
      <c r="G325" s="11">
        <v>571.19000000000005</v>
      </c>
      <c r="H325" s="11">
        <v>41.5</v>
      </c>
      <c r="I325" s="9">
        <v>50.65</v>
      </c>
      <c r="J325" s="9">
        <v>0</v>
      </c>
      <c r="K325" s="9">
        <v>8.23</v>
      </c>
      <c r="L325" s="9">
        <v>0.38</v>
      </c>
      <c r="M325" s="9">
        <v>40.26</v>
      </c>
      <c r="N325" s="9">
        <v>0</v>
      </c>
      <c r="O325" s="9">
        <v>0.47</v>
      </c>
      <c r="P325" s="9">
        <v>0.13</v>
      </c>
      <c r="Q325" s="9">
        <v>0</v>
      </c>
      <c r="R325" s="9">
        <v>0</v>
      </c>
      <c r="S325" s="9">
        <v>0</v>
      </c>
      <c r="T325" s="9">
        <v>32.29</v>
      </c>
      <c r="U325" s="9">
        <v>9.33</v>
      </c>
      <c r="V325" s="9">
        <v>21.84</v>
      </c>
      <c r="W325" s="9">
        <v>1.76</v>
      </c>
      <c r="X325" s="9">
        <v>0</v>
      </c>
      <c r="Y325" s="9">
        <v>3.7</v>
      </c>
      <c r="Z325" s="9">
        <v>1</v>
      </c>
      <c r="AA325" s="9">
        <v>3</v>
      </c>
      <c r="AC325" s="9">
        <v>1</v>
      </c>
      <c r="AD325" s="9">
        <v>3</v>
      </c>
      <c r="AE325" s="9">
        <v>3</v>
      </c>
      <c r="AM325" s="9">
        <v>3.7</v>
      </c>
      <c r="AN325" s="9">
        <v>0</v>
      </c>
      <c r="AO325" s="9">
        <v>23</v>
      </c>
      <c r="AP325" s="9">
        <v>9</v>
      </c>
      <c r="AQ325" s="9">
        <f>0.13+0.25+0.5+0.25</f>
        <v>1.1299999999999999</v>
      </c>
      <c r="AR325" s="9">
        <v>3</v>
      </c>
      <c r="AS325" s="9">
        <v>28</v>
      </c>
      <c r="AT325" s="9">
        <v>13</v>
      </c>
      <c r="AU325" s="12">
        <f>0.63+0.5</f>
        <v>1.1299999999999999</v>
      </c>
      <c r="AV325" s="9">
        <v>5</v>
      </c>
      <c r="BQ325" s="9">
        <v>1</v>
      </c>
      <c r="BR325" s="9">
        <v>60</v>
      </c>
      <c r="BS325" s="9">
        <v>7</v>
      </c>
      <c r="BT325" s="9">
        <f>0.76+0.13</f>
        <v>0.89</v>
      </c>
      <c r="BU325" s="9">
        <v>3</v>
      </c>
      <c r="BV325" s="9">
        <v>40</v>
      </c>
      <c r="BW325" s="9">
        <v>3</v>
      </c>
      <c r="BX325" s="9">
        <f>0.06+0.38+0.01</f>
        <v>0.45</v>
      </c>
      <c r="BY325" s="9">
        <v>1</v>
      </c>
      <c r="BZ325" s="9">
        <v>40</v>
      </c>
      <c r="CA325" s="9">
        <v>1</v>
      </c>
      <c r="CB325" s="9">
        <v>0.16</v>
      </c>
      <c r="CC325" s="9">
        <v>4</v>
      </c>
      <c r="CD325" s="9">
        <v>70</v>
      </c>
      <c r="CE325" s="9">
        <v>12</v>
      </c>
      <c r="CF325" s="9">
        <v>0.76</v>
      </c>
      <c r="CG325" s="9">
        <v>2</v>
      </c>
      <c r="CH325" s="9">
        <v>60</v>
      </c>
      <c r="CI325" s="9">
        <v>12</v>
      </c>
      <c r="CJ325" s="9">
        <v>1.5</v>
      </c>
      <c r="CK325" s="9">
        <v>2</v>
      </c>
      <c r="DB325" s="11">
        <v>4.38</v>
      </c>
      <c r="DC325" s="11">
        <v>1</v>
      </c>
      <c r="DD325" s="11">
        <v>1</v>
      </c>
      <c r="DE325" s="11"/>
      <c r="DF325" s="11">
        <f>0.5+0.76+0.25+0.13+0.35*2</f>
        <v>2.34</v>
      </c>
      <c r="DG325" s="11">
        <v>2</v>
      </c>
      <c r="DH325" s="11"/>
      <c r="DI325" s="11">
        <f>0.5+0.38+0.13+0.06+0.2+0.38*2+0.76+1.89+0.25+0.38*2+0.76+1.89</f>
        <v>8.34</v>
      </c>
      <c r="DJ325" s="11">
        <v>3</v>
      </c>
      <c r="DK325" s="11"/>
      <c r="DL325" s="11">
        <f>0.32+0.38+0.76</f>
        <v>1.46</v>
      </c>
      <c r="DM325" s="11">
        <v>4</v>
      </c>
      <c r="DN325" s="11">
        <v>4.67</v>
      </c>
      <c r="DO325" s="11"/>
      <c r="DP325" s="11"/>
      <c r="DQ325" s="11">
        <v>0.84</v>
      </c>
      <c r="DR325" s="11">
        <v>0</v>
      </c>
      <c r="DS325" s="11">
        <v>0</v>
      </c>
      <c r="DT325" s="9">
        <v>1</v>
      </c>
    </row>
    <row r="326" spans="1:124" x14ac:dyDescent="0.2">
      <c r="A326" s="10">
        <v>42944</v>
      </c>
      <c r="B326" s="9" t="s">
        <v>381</v>
      </c>
      <c r="C326" s="9" t="s">
        <v>382</v>
      </c>
      <c r="D326" s="9" t="s">
        <v>385</v>
      </c>
      <c r="E326" s="9">
        <v>46</v>
      </c>
      <c r="F326" s="11">
        <v>62.8</v>
      </c>
      <c r="G326" s="11">
        <v>571.19000000000005</v>
      </c>
      <c r="H326" s="11">
        <v>27.6</v>
      </c>
      <c r="I326" s="9">
        <v>70.61</v>
      </c>
      <c r="J326" s="9">
        <v>0</v>
      </c>
      <c r="K326" s="9">
        <v>0.41</v>
      </c>
      <c r="L326" s="9">
        <v>0</v>
      </c>
      <c r="M326" s="9">
        <v>2.36</v>
      </c>
      <c r="N326" s="9">
        <v>0</v>
      </c>
      <c r="O326" s="9">
        <v>22.84</v>
      </c>
      <c r="P326" s="9">
        <v>12.53</v>
      </c>
      <c r="Q326" s="9">
        <v>0</v>
      </c>
      <c r="R326" s="9">
        <v>2.4900000000000002</v>
      </c>
      <c r="S326" s="9">
        <v>0</v>
      </c>
      <c r="T326" s="9">
        <v>17.91</v>
      </c>
      <c r="U326" s="9">
        <v>36.909999999999997</v>
      </c>
      <c r="V326" s="9">
        <v>9.58</v>
      </c>
      <c r="W326" s="9">
        <v>0.88</v>
      </c>
      <c r="X326" s="9">
        <v>0</v>
      </c>
      <c r="Y326" s="9">
        <v>7.5</v>
      </c>
      <c r="Z326" s="9">
        <v>1</v>
      </c>
      <c r="AA326" s="9">
        <v>5</v>
      </c>
      <c r="AC326" s="9">
        <v>2</v>
      </c>
      <c r="AM326" s="9">
        <v>2.1</v>
      </c>
      <c r="AN326" s="9">
        <v>1</v>
      </c>
      <c r="AO326" s="9">
        <v>52</v>
      </c>
      <c r="AP326" s="9">
        <v>1</v>
      </c>
      <c r="AQ326" s="9">
        <v>0.13</v>
      </c>
      <c r="AR326" s="9">
        <v>2</v>
      </c>
      <c r="AS326" s="9">
        <v>37</v>
      </c>
      <c r="AT326" s="9">
        <v>13</v>
      </c>
      <c r="AU326" s="9">
        <f>0.08+0.76+0.76</f>
        <v>1.6</v>
      </c>
      <c r="AV326" s="9">
        <v>5</v>
      </c>
      <c r="AW326" s="9">
        <v>28</v>
      </c>
      <c r="AX326" s="9">
        <v>9</v>
      </c>
      <c r="AY326" s="9">
        <f>0.38+0.12+0.99+0.25</f>
        <v>1.74</v>
      </c>
      <c r="AZ326" s="9">
        <v>5</v>
      </c>
      <c r="BQ326" s="9">
        <v>1</v>
      </c>
      <c r="BR326" s="9">
        <v>100</v>
      </c>
      <c r="BS326" s="9">
        <v>2</v>
      </c>
      <c r="BT326" s="9">
        <v>0.17</v>
      </c>
      <c r="BU326" s="9">
        <v>3</v>
      </c>
      <c r="DB326" s="11">
        <v>1.1100000000000001</v>
      </c>
      <c r="DC326" s="11">
        <v>1</v>
      </c>
      <c r="DD326" s="11">
        <v>2</v>
      </c>
      <c r="DE326" s="11"/>
      <c r="DF326" s="11">
        <f>1.05+10.24+1.58+0.06+0.17+0.06+0.17+10.24+1.58+0.06*2+0.17*2</f>
        <v>25.61</v>
      </c>
      <c r="DG326" s="11"/>
      <c r="DH326" s="11"/>
      <c r="DI326" s="11"/>
      <c r="DJ326" s="11"/>
      <c r="DK326" s="11"/>
      <c r="DL326" s="11"/>
      <c r="DM326" s="11">
        <v>6.68</v>
      </c>
      <c r="DN326" s="11">
        <v>33.729999999999997</v>
      </c>
      <c r="DO326" s="11"/>
      <c r="DP326" s="11"/>
      <c r="DQ326" s="11">
        <v>0.84</v>
      </c>
      <c r="DR326" s="11">
        <v>0</v>
      </c>
      <c r="DS326" s="11">
        <v>0.06</v>
      </c>
      <c r="DT326" s="9">
        <v>2</v>
      </c>
    </row>
    <row r="327" spans="1:124" x14ac:dyDescent="0.2">
      <c r="A327" s="10">
        <v>42944</v>
      </c>
      <c r="B327" s="9" t="s">
        <v>381</v>
      </c>
      <c r="C327" s="9" t="s">
        <v>397</v>
      </c>
      <c r="D327" s="9" t="s">
        <v>386</v>
      </c>
      <c r="E327" s="9">
        <v>41</v>
      </c>
      <c r="F327" s="11">
        <v>74.8</v>
      </c>
      <c r="G327" s="11">
        <v>98.89</v>
      </c>
      <c r="H327" s="11">
        <v>31.2</v>
      </c>
      <c r="I327" s="9">
        <v>69.73</v>
      </c>
      <c r="J327" s="9">
        <v>0</v>
      </c>
      <c r="K327" s="9">
        <v>28.78</v>
      </c>
      <c r="L327" s="9">
        <v>1.46</v>
      </c>
      <c r="M327" s="9">
        <v>0</v>
      </c>
      <c r="N327" s="9">
        <v>0</v>
      </c>
      <c r="O327" s="9">
        <v>0.03</v>
      </c>
      <c r="P327" s="9">
        <v>0</v>
      </c>
      <c r="Q327" s="9">
        <v>0</v>
      </c>
      <c r="R327" s="9">
        <v>0</v>
      </c>
      <c r="S327" s="9">
        <v>0</v>
      </c>
      <c r="T327" s="9">
        <v>0.03</v>
      </c>
      <c r="U327" s="9">
        <v>20.420000000000002</v>
      </c>
      <c r="V327" s="9">
        <v>29.68</v>
      </c>
      <c r="W327" s="9">
        <v>0.17</v>
      </c>
      <c r="X327" s="9">
        <v>0</v>
      </c>
      <c r="Y327" s="9">
        <v>0</v>
      </c>
      <c r="Z327" s="9">
        <v>0</v>
      </c>
      <c r="AM327" s="9">
        <v>9.8000000000000007</v>
      </c>
      <c r="AN327" s="9">
        <v>0</v>
      </c>
      <c r="BQ327" s="9">
        <v>1</v>
      </c>
      <c r="BR327" s="9">
        <v>40</v>
      </c>
      <c r="BS327" s="9">
        <v>7</v>
      </c>
      <c r="BT327" s="9">
        <v>7.33</v>
      </c>
      <c r="BU327" s="9">
        <v>3</v>
      </c>
      <c r="BV327" s="9">
        <v>60</v>
      </c>
      <c r="BW327" s="9">
        <v>2</v>
      </c>
      <c r="BX327" s="9">
        <f>0.7*2</f>
        <v>1.4</v>
      </c>
      <c r="BY327" s="9">
        <v>1</v>
      </c>
      <c r="BZ327" s="9">
        <v>40</v>
      </c>
      <c r="CA327" s="9">
        <v>7</v>
      </c>
      <c r="CB327" s="9">
        <f>7.68+2.09*2+2.79</f>
        <v>14.649999999999999</v>
      </c>
      <c r="CC327" s="9">
        <v>1</v>
      </c>
      <c r="DB327" s="11">
        <v>0</v>
      </c>
      <c r="DC327" s="11">
        <v>0</v>
      </c>
      <c r="DD327" s="11"/>
      <c r="DE327" s="11"/>
      <c r="DF327" s="11"/>
      <c r="DG327" s="11"/>
      <c r="DH327" s="11"/>
      <c r="DI327" s="11"/>
      <c r="DJ327" s="11"/>
      <c r="DK327" s="11"/>
      <c r="DL327" s="11"/>
      <c r="DM327" s="11">
        <v>0</v>
      </c>
      <c r="DN327" s="11">
        <v>0</v>
      </c>
      <c r="DO327" s="11"/>
      <c r="DP327" s="11"/>
      <c r="DQ327" s="11">
        <v>0</v>
      </c>
      <c r="DR327" s="11">
        <v>0</v>
      </c>
      <c r="DS327" s="11">
        <v>0</v>
      </c>
      <c r="DT327" s="9">
        <v>0</v>
      </c>
    </row>
    <row r="328" spans="1:124" x14ac:dyDescent="0.2">
      <c r="A328" s="10">
        <v>42944</v>
      </c>
      <c r="B328" s="9" t="s">
        <v>381</v>
      </c>
      <c r="C328" s="9" t="s">
        <v>397</v>
      </c>
      <c r="D328" s="9" t="s">
        <v>387</v>
      </c>
      <c r="E328" s="9">
        <v>42</v>
      </c>
      <c r="F328" s="11">
        <v>84.6</v>
      </c>
      <c r="G328" s="11">
        <v>98.89</v>
      </c>
      <c r="H328" s="11">
        <v>30.3</v>
      </c>
      <c r="I328" s="9">
        <v>65.209999999999994</v>
      </c>
      <c r="J328" s="9">
        <v>0</v>
      </c>
      <c r="K328" s="9">
        <f>29.69-0.91</f>
        <v>28.78</v>
      </c>
      <c r="L328" s="9">
        <v>0</v>
      </c>
      <c r="M328" s="9">
        <v>0</v>
      </c>
      <c r="N328" s="9">
        <v>0</v>
      </c>
      <c r="O328" s="9">
        <v>6</v>
      </c>
      <c r="P328" s="9">
        <v>0.91</v>
      </c>
      <c r="Q328" s="9">
        <v>0</v>
      </c>
      <c r="R328" s="9">
        <v>0</v>
      </c>
      <c r="S328" s="9">
        <v>0</v>
      </c>
      <c r="T328" s="9">
        <v>2.35</v>
      </c>
      <c r="U328" s="9">
        <v>28.96</v>
      </c>
      <c r="V328" s="9">
        <v>26.7</v>
      </c>
      <c r="W328" s="9">
        <v>0.17</v>
      </c>
      <c r="X328" s="9">
        <v>0</v>
      </c>
      <c r="Y328" s="9">
        <v>0</v>
      </c>
      <c r="Z328" s="9">
        <v>0</v>
      </c>
      <c r="AM328" s="9">
        <v>8.5</v>
      </c>
      <c r="AN328" s="9">
        <v>0</v>
      </c>
      <c r="BQ328" s="9">
        <v>1</v>
      </c>
      <c r="BR328" s="9">
        <v>40</v>
      </c>
      <c r="BS328" s="9">
        <v>5</v>
      </c>
      <c r="BT328" s="9">
        <v>5.23</v>
      </c>
      <c r="BU328" s="9">
        <v>3</v>
      </c>
      <c r="BV328" s="9">
        <v>60</v>
      </c>
      <c r="BW328" s="9">
        <v>2</v>
      </c>
      <c r="BX328" s="9">
        <v>0.17</v>
      </c>
      <c r="BY328" s="9">
        <v>1</v>
      </c>
      <c r="BZ328" s="9">
        <v>40</v>
      </c>
      <c r="CA328" s="9">
        <v>7</v>
      </c>
      <c r="CB328" s="9">
        <f>7.68+2.09*2+2.79</f>
        <v>14.649999999999999</v>
      </c>
      <c r="CC328" s="9">
        <v>1</v>
      </c>
      <c r="DB328" s="11">
        <v>0.97</v>
      </c>
      <c r="DC328" s="11">
        <v>1</v>
      </c>
      <c r="DD328" s="11">
        <v>2</v>
      </c>
      <c r="DE328" s="11"/>
      <c r="DF328" s="11">
        <f>0.63*2</f>
        <v>1.26</v>
      </c>
      <c r="DG328" s="11"/>
      <c r="DH328" s="11"/>
      <c r="DI328" s="11"/>
      <c r="DJ328" s="11"/>
      <c r="DK328" s="11"/>
      <c r="DL328" s="11"/>
      <c r="DM328" s="11">
        <v>0</v>
      </c>
      <c r="DN328" s="11">
        <v>0</v>
      </c>
      <c r="DO328" s="11"/>
      <c r="DP328" s="11"/>
      <c r="DQ328" s="11">
        <v>0</v>
      </c>
      <c r="DR328" s="11">
        <v>0</v>
      </c>
      <c r="DS328" s="11">
        <v>1.98</v>
      </c>
      <c r="DT328" s="9">
        <v>0</v>
      </c>
    </row>
    <row r="329" spans="1:124" x14ac:dyDescent="0.2">
      <c r="A329" s="10">
        <v>42944</v>
      </c>
      <c r="B329" s="9" t="s">
        <v>381</v>
      </c>
      <c r="C329" s="9" t="s">
        <v>397</v>
      </c>
      <c r="D329" s="9" t="s">
        <v>388</v>
      </c>
      <c r="E329" s="9">
        <v>51.5</v>
      </c>
      <c r="F329" s="11">
        <v>89.9</v>
      </c>
      <c r="G329" s="11">
        <v>98.89</v>
      </c>
      <c r="H329" s="11">
        <v>39.4</v>
      </c>
      <c r="I329" s="9">
        <v>64.19</v>
      </c>
      <c r="J329" s="9">
        <v>0</v>
      </c>
      <c r="K329" s="9">
        <v>35.81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4.1900000000000004</v>
      </c>
      <c r="U329" s="9">
        <v>14.6</v>
      </c>
      <c r="V329" s="9">
        <v>40.18</v>
      </c>
      <c r="W329" s="9">
        <v>8.3699999999999992</v>
      </c>
      <c r="X329" s="9">
        <v>0</v>
      </c>
      <c r="Y329" s="9">
        <v>0</v>
      </c>
      <c r="Z329" s="9">
        <v>0</v>
      </c>
      <c r="AM329" s="9">
        <v>10.1</v>
      </c>
      <c r="AN329" s="9">
        <v>0</v>
      </c>
      <c r="BQ329" s="9">
        <v>1</v>
      </c>
      <c r="BR329" s="9">
        <v>40</v>
      </c>
      <c r="BS329" s="9">
        <v>3</v>
      </c>
      <c r="BT329" s="9">
        <f>2.73*2+5.23</f>
        <v>10.690000000000001</v>
      </c>
      <c r="BU329" s="9">
        <v>3</v>
      </c>
      <c r="BV329" s="9">
        <v>60</v>
      </c>
      <c r="BW329" s="9">
        <v>2</v>
      </c>
      <c r="BX329" s="9">
        <v>0.14000000000000001</v>
      </c>
      <c r="BY329" s="9">
        <v>1</v>
      </c>
      <c r="BZ329" s="9">
        <v>40</v>
      </c>
      <c r="CA329" s="9">
        <v>5</v>
      </c>
      <c r="CB329" s="9">
        <f>7.68+2.09+2.79</f>
        <v>12.559999999999999</v>
      </c>
      <c r="CC329" s="9">
        <v>1</v>
      </c>
      <c r="CD329" s="9">
        <v>40</v>
      </c>
      <c r="CE329" s="9">
        <v>3</v>
      </c>
      <c r="CF329" s="9">
        <v>2.1800000000000002</v>
      </c>
      <c r="CG329" s="9">
        <v>6</v>
      </c>
      <c r="DB329" s="11">
        <v>0</v>
      </c>
      <c r="DC329" s="11">
        <v>0</v>
      </c>
      <c r="DD329" s="11"/>
      <c r="DE329" s="11"/>
      <c r="DF329" s="11"/>
      <c r="DG329" s="11"/>
      <c r="DH329" s="11"/>
      <c r="DI329" s="11"/>
      <c r="DJ329" s="11"/>
      <c r="DK329" s="11"/>
      <c r="DL329" s="11"/>
      <c r="DM329" s="11">
        <v>0</v>
      </c>
      <c r="DN329" s="11">
        <v>0</v>
      </c>
      <c r="DO329" s="11"/>
      <c r="DP329" s="11"/>
      <c r="DQ329" s="11">
        <v>0</v>
      </c>
      <c r="DR329" s="11">
        <v>0</v>
      </c>
      <c r="DS329" s="11">
        <v>1.98</v>
      </c>
      <c r="DT329" s="9">
        <v>0</v>
      </c>
    </row>
    <row r="330" spans="1:124" x14ac:dyDescent="0.2">
      <c r="A330" s="10">
        <v>42944</v>
      </c>
      <c r="B330" s="9" t="s">
        <v>381</v>
      </c>
      <c r="C330" s="9" t="s">
        <v>397</v>
      </c>
      <c r="D330" s="9" t="s">
        <v>389</v>
      </c>
      <c r="E330" s="9">
        <v>51.5</v>
      </c>
      <c r="F330" s="11">
        <v>89.9</v>
      </c>
      <c r="G330" s="11">
        <v>98.89</v>
      </c>
      <c r="H330" s="11">
        <v>39.4</v>
      </c>
      <c r="I330" s="9">
        <v>64.19</v>
      </c>
      <c r="J330" s="9">
        <v>0</v>
      </c>
      <c r="K330" s="9">
        <v>35.81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4.1900000000000004</v>
      </c>
      <c r="U330" s="9">
        <v>14.6</v>
      </c>
      <c r="V330" s="9">
        <v>40.18</v>
      </c>
      <c r="W330" s="9">
        <v>8.3699999999999992</v>
      </c>
      <c r="X330" s="9">
        <v>0</v>
      </c>
      <c r="Y330" s="9">
        <v>0</v>
      </c>
      <c r="Z330" s="9">
        <v>0</v>
      </c>
      <c r="AM330" s="9">
        <v>10.1</v>
      </c>
      <c r="AN330" s="9">
        <v>0</v>
      </c>
      <c r="BQ330" s="9">
        <v>1</v>
      </c>
      <c r="BR330" s="9">
        <v>40</v>
      </c>
      <c r="BS330" s="9">
        <v>3</v>
      </c>
      <c r="BT330" s="9">
        <f>2.73*2+5.23</f>
        <v>10.690000000000001</v>
      </c>
      <c r="BU330" s="9">
        <v>3</v>
      </c>
      <c r="BV330" s="9">
        <v>60</v>
      </c>
      <c r="BW330" s="9">
        <v>2</v>
      </c>
      <c r="BX330" s="9">
        <v>0.14000000000000001</v>
      </c>
      <c r="BY330" s="9">
        <v>1</v>
      </c>
      <c r="BZ330" s="9">
        <v>40</v>
      </c>
      <c r="CA330" s="9">
        <v>5</v>
      </c>
      <c r="CB330" s="9">
        <f>7.68+2.09+2.79</f>
        <v>12.559999999999999</v>
      </c>
      <c r="CC330" s="9">
        <v>1</v>
      </c>
      <c r="CD330" s="9">
        <v>40</v>
      </c>
      <c r="CE330" s="9">
        <v>3</v>
      </c>
      <c r="CF330" s="9">
        <v>2.1800000000000002</v>
      </c>
      <c r="CG330" s="9">
        <v>6</v>
      </c>
      <c r="DB330" s="11">
        <v>0</v>
      </c>
      <c r="DC330" s="11">
        <v>0</v>
      </c>
      <c r="DD330" s="11"/>
      <c r="DE330" s="11"/>
      <c r="DF330" s="11"/>
      <c r="DG330" s="11"/>
      <c r="DH330" s="11"/>
      <c r="DI330" s="11"/>
      <c r="DJ330" s="11"/>
      <c r="DK330" s="11"/>
      <c r="DL330" s="11"/>
      <c r="DM330" s="11">
        <v>0</v>
      </c>
      <c r="DN330" s="11">
        <v>0</v>
      </c>
      <c r="DO330" s="11"/>
      <c r="DP330" s="11"/>
      <c r="DQ330" s="11">
        <v>0</v>
      </c>
      <c r="DR330" s="11">
        <v>0</v>
      </c>
      <c r="DS330" s="11">
        <v>1.98</v>
      </c>
      <c r="DT330" s="9">
        <v>0</v>
      </c>
    </row>
    <row r="331" spans="1:124" x14ac:dyDescent="0.2">
      <c r="A331" s="10">
        <v>42944</v>
      </c>
      <c r="B331" s="9" t="s">
        <v>381</v>
      </c>
      <c r="C331" s="9" t="s">
        <v>397</v>
      </c>
      <c r="D331" s="9" t="s">
        <v>390</v>
      </c>
      <c r="E331" s="9">
        <v>47.5</v>
      </c>
      <c r="F331" s="11">
        <v>96.7</v>
      </c>
      <c r="G331" s="11">
        <v>98.89</v>
      </c>
      <c r="H331" s="11">
        <v>18.2</v>
      </c>
      <c r="I331" s="9">
        <v>16.87</v>
      </c>
      <c r="J331" s="9">
        <v>0</v>
      </c>
      <c r="K331" s="9">
        <v>0.64</v>
      </c>
      <c r="L331" s="9">
        <v>0</v>
      </c>
      <c r="M331" s="9">
        <v>0.71</v>
      </c>
      <c r="N331" s="9">
        <v>0</v>
      </c>
      <c r="O331" s="9">
        <v>81.790000000000006</v>
      </c>
      <c r="P331" s="9">
        <v>0</v>
      </c>
      <c r="Q331" s="9">
        <v>0</v>
      </c>
      <c r="R331" s="9">
        <v>34.950000000000003</v>
      </c>
      <c r="S331" s="9">
        <v>0</v>
      </c>
      <c r="T331" s="9">
        <v>14.93</v>
      </c>
      <c r="U331" s="9">
        <v>18.57</v>
      </c>
      <c r="V331" s="9">
        <v>33.75</v>
      </c>
      <c r="W331" s="9">
        <v>4.1900000000000004</v>
      </c>
      <c r="X331" s="9">
        <v>0</v>
      </c>
      <c r="Y331" s="9">
        <v>25.1</v>
      </c>
      <c r="Z331" s="9">
        <v>1</v>
      </c>
      <c r="AA331" s="9">
        <v>4.5</v>
      </c>
      <c r="AC331" s="9">
        <v>1</v>
      </c>
      <c r="AM331" s="9">
        <v>0</v>
      </c>
      <c r="AN331" s="9">
        <v>1</v>
      </c>
      <c r="AO331" s="9">
        <v>12</v>
      </c>
      <c r="AP331" s="9">
        <v>1</v>
      </c>
      <c r="AQ331" s="9">
        <v>0.73</v>
      </c>
      <c r="AR331" s="9">
        <v>3</v>
      </c>
      <c r="AS331" s="9">
        <v>23</v>
      </c>
      <c r="AT331" s="9">
        <v>5</v>
      </c>
      <c r="AU331" s="9">
        <v>1.82</v>
      </c>
      <c r="AV331" s="9">
        <v>3</v>
      </c>
      <c r="AW331" s="9">
        <v>18</v>
      </c>
      <c r="AX331" s="9">
        <v>1</v>
      </c>
      <c r="AY331" s="12">
        <v>4.37</v>
      </c>
      <c r="AZ331" s="9">
        <v>5</v>
      </c>
      <c r="BA331" s="9">
        <v>28</v>
      </c>
      <c r="BB331" s="9">
        <v>6</v>
      </c>
      <c r="BC331" s="9">
        <f>2.18*2</f>
        <v>4.3600000000000003</v>
      </c>
      <c r="BD331" s="9">
        <v>5</v>
      </c>
      <c r="BQ331" s="9">
        <v>1</v>
      </c>
      <c r="BR331" s="9">
        <v>30</v>
      </c>
      <c r="BS331" s="9">
        <v>2</v>
      </c>
      <c r="BT331" s="9">
        <v>1.46</v>
      </c>
      <c r="BU331" s="9">
        <v>3</v>
      </c>
      <c r="DB331" s="11">
        <v>3.87</v>
      </c>
      <c r="DC331" s="11">
        <v>1</v>
      </c>
      <c r="DD331" s="11">
        <v>2</v>
      </c>
      <c r="DE331" s="11"/>
      <c r="DF331" s="11">
        <v>0.18</v>
      </c>
      <c r="DG331" s="11"/>
      <c r="DH331" s="11"/>
      <c r="DI331" s="11"/>
      <c r="DJ331" s="11"/>
      <c r="DK331" s="11"/>
      <c r="DL331" s="11"/>
      <c r="DM331" s="11">
        <v>0</v>
      </c>
      <c r="DN331" s="11">
        <v>0</v>
      </c>
      <c r="DO331" s="11"/>
      <c r="DP331" s="11"/>
      <c r="DQ331" s="11">
        <v>0</v>
      </c>
      <c r="DR331" s="11">
        <v>0</v>
      </c>
      <c r="DS331" s="11">
        <v>0</v>
      </c>
      <c r="DT331" s="9">
        <v>0</v>
      </c>
    </row>
    <row r="332" spans="1:124" x14ac:dyDescent="0.2">
      <c r="A332" s="10">
        <v>42944</v>
      </c>
      <c r="B332" s="9" t="s">
        <v>381</v>
      </c>
      <c r="C332" s="9" t="s">
        <v>397</v>
      </c>
      <c r="D332" s="9" t="s">
        <v>391</v>
      </c>
      <c r="E332" s="9">
        <v>45.5</v>
      </c>
      <c r="F332" s="11">
        <v>81</v>
      </c>
      <c r="G332" s="11">
        <v>98.89</v>
      </c>
      <c r="H332" s="11">
        <v>37.299999999999997</v>
      </c>
      <c r="I332" s="9">
        <v>19.309999999999999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80.69</v>
      </c>
      <c r="P332" s="9">
        <v>36.25</v>
      </c>
      <c r="Q332" s="9">
        <v>0</v>
      </c>
      <c r="R332" s="9">
        <v>7.1</v>
      </c>
      <c r="S332" s="9">
        <v>0</v>
      </c>
      <c r="T332" s="9">
        <v>38.299999999999997</v>
      </c>
      <c r="U332" s="9">
        <v>20.8</v>
      </c>
      <c r="V332" s="9">
        <v>41.34</v>
      </c>
      <c r="W332" s="9">
        <v>2.78</v>
      </c>
      <c r="X332" s="9">
        <v>0</v>
      </c>
      <c r="Y332" s="9">
        <v>0</v>
      </c>
      <c r="Z332" s="9">
        <v>0</v>
      </c>
      <c r="AM332" s="9">
        <v>7.8</v>
      </c>
      <c r="AN332" s="9">
        <v>1</v>
      </c>
      <c r="AO332" s="9">
        <v>28</v>
      </c>
      <c r="AP332" s="9">
        <v>5</v>
      </c>
      <c r="AQ332" s="9">
        <f>0.13+1.45+1.03</f>
        <v>2.6100000000000003</v>
      </c>
      <c r="AR332" s="9">
        <v>5</v>
      </c>
      <c r="AS332" s="9">
        <v>23</v>
      </c>
      <c r="AT332" s="9">
        <v>8</v>
      </c>
      <c r="AU332" s="9">
        <f>0.13+0.72+0.01+0.51+0.27</f>
        <v>1.6400000000000001</v>
      </c>
      <c r="AV332" s="9">
        <v>3</v>
      </c>
      <c r="AW332" s="9">
        <v>35</v>
      </c>
      <c r="AX332" s="9">
        <v>4</v>
      </c>
      <c r="AY332" s="12">
        <f>0.73+21</f>
        <v>21.73</v>
      </c>
      <c r="AZ332" s="9">
        <v>3</v>
      </c>
      <c r="BA332" s="9">
        <v>40</v>
      </c>
      <c r="BB332" s="9">
        <v>1</v>
      </c>
      <c r="BC332" s="9">
        <v>0.73</v>
      </c>
      <c r="BD332" s="9">
        <v>5</v>
      </c>
      <c r="BE332" s="9">
        <v>18</v>
      </c>
      <c r="BF332" s="9">
        <v>2</v>
      </c>
      <c r="BG332" s="9">
        <v>1.19</v>
      </c>
      <c r="BH332" s="9">
        <v>5</v>
      </c>
      <c r="BQ332" s="9">
        <v>1</v>
      </c>
      <c r="BR332" s="9">
        <v>30</v>
      </c>
      <c r="BS332" s="9">
        <v>1</v>
      </c>
      <c r="BT332" s="9">
        <v>0.52</v>
      </c>
      <c r="BU332" s="9">
        <v>2</v>
      </c>
      <c r="BV332" s="9">
        <v>40</v>
      </c>
      <c r="BW332" s="9">
        <v>2</v>
      </c>
      <c r="BX332" s="9">
        <f>0.16+0.93</f>
        <v>1.0900000000000001</v>
      </c>
      <c r="BY332" s="9">
        <v>3</v>
      </c>
      <c r="DB332" s="11">
        <v>0</v>
      </c>
      <c r="DC332" s="11">
        <v>0</v>
      </c>
      <c r="DD332" s="11"/>
      <c r="DE332" s="11"/>
      <c r="DF332" s="11"/>
      <c r="DG332" s="11"/>
      <c r="DH332" s="11"/>
      <c r="DI332" s="11"/>
      <c r="DJ332" s="11"/>
      <c r="DK332" s="11"/>
      <c r="DL332" s="11"/>
      <c r="DM332" s="11">
        <v>0</v>
      </c>
      <c r="DN332" s="11">
        <v>0</v>
      </c>
      <c r="DO332" s="11"/>
      <c r="DP332" s="11"/>
      <c r="DQ332" s="11">
        <v>0</v>
      </c>
      <c r="DR332" s="11">
        <v>0</v>
      </c>
      <c r="DS332" s="11">
        <v>0</v>
      </c>
      <c r="DT332" s="9">
        <v>0</v>
      </c>
    </row>
    <row r="333" spans="1:124" x14ac:dyDescent="0.2">
      <c r="A333" s="10">
        <v>42944</v>
      </c>
      <c r="B333" s="9" t="s">
        <v>381</v>
      </c>
      <c r="C333" s="9" t="s">
        <v>397</v>
      </c>
      <c r="D333" s="9" t="s">
        <v>392</v>
      </c>
      <c r="E333" s="9">
        <v>31</v>
      </c>
      <c r="F333" s="11">
        <v>86</v>
      </c>
      <c r="G333" s="11">
        <v>98.89</v>
      </c>
      <c r="H333" s="11">
        <v>20.5</v>
      </c>
      <c r="I333" s="9">
        <v>68.53</v>
      </c>
      <c r="J333" s="9">
        <v>0</v>
      </c>
      <c r="K333" s="9">
        <v>2.91</v>
      </c>
      <c r="L333" s="9">
        <v>0</v>
      </c>
      <c r="M333" s="9">
        <v>25.84</v>
      </c>
      <c r="N333" s="9">
        <v>0</v>
      </c>
      <c r="O333" s="9">
        <v>2.73</v>
      </c>
      <c r="P333" s="9">
        <v>0</v>
      </c>
      <c r="Q333" s="9">
        <v>0</v>
      </c>
      <c r="R333" s="9">
        <v>2.72</v>
      </c>
      <c r="S333" s="9">
        <v>0</v>
      </c>
      <c r="T333" s="9">
        <v>2.5499999999999998</v>
      </c>
      <c r="U333" s="9">
        <v>18.97</v>
      </c>
      <c r="V333" s="9">
        <v>8.86</v>
      </c>
      <c r="W333" s="9">
        <v>5.82</v>
      </c>
      <c r="X333" s="9">
        <v>0</v>
      </c>
      <c r="Y333" s="9">
        <v>0</v>
      </c>
      <c r="Z333" s="9">
        <v>0</v>
      </c>
      <c r="AM333" s="9">
        <v>0</v>
      </c>
      <c r="AN333" s="9">
        <v>1</v>
      </c>
      <c r="AO333" s="9">
        <v>34</v>
      </c>
      <c r="AP333" s="9">
        <v>1</v>
      </c>
      <c r="AQ333" s="9">
        <v>2.91</v>
      </c>
      <c r="AR333" s="9">
        <v>1</v>
      </c>
      <c r="BQ333" s="9">
        <v>0</v>
      </c>
      <c r="DB333" s="11">
        <v>2.06</v>
      </c>
      <c r="DC333" s="11">
        <v>1</v>
      </c>
      <c r="DD333" s="11">
        <v>1</v>
      </c>
      <c r="DE333" s="11"/>
      <c r="DF333" s="11">
        <f>4.05+3.03</f>
        <v>7.08</v>
      </c>
      <c r="DG333" s="11"/>
      <c r="DH333" s="11"/>
      <c r="DI333" s="11"/>
      <c r="DJ333" s="11"/>
      <c r="DK333" s="11"/>
      <c r="DL333" s="11"/>
      <c r="DM333" s="11">
        <v>5.19</v>
      </c>
      <c r="DN333" s="11">
        <v>6.85</v>
      </c>
      <c r="DO333" s="11"/>
      <c r="DP333" s="11"/>
      <c r="DQ333" s="11">
        <v>3.03</v>
      </c>
      <c r="DR333" s="11">
        <v>2.5499999999999998</v>
      </c>
      <c r="DS333" s="11">
        <v>0</v>
      </c>
      <c r="DT333" s="9">
        <v>0</v>
      </c>
    </row>
    <row r="334" spans="1:124" x14ac:dyDescent="0.2">
      <c r="A334" s="10">
        <v>42944</v>
      </c>
      <c r="B334" s="9" t="s">
        <v>381</v>
      </c>
      <c r="C334" s="9" t="s">
        <v>397</v>
      </c>
      <c r="D334" s="9" t="s">
        <v>393</v>
      </c>
      <c r="E334" s="9">
        <v>30</v>
      </c>
      <c r="F334" s="11">
        <v>67.2</v>
      </c>
      <c r="G334" s="11">
        <v>98.89</v>
      </c>
      <c r="H334" s="11">
        <v>7.7</v>
      </c>
      <c r="I334" s="9">
        <v>60.59</v>
      </c>
      <c r="J334" s="9">
        <v>6.96</v>
      </c>
      <c r="K334" s="9">
        <v>0</v>
      </c>
      <c r="L334" s="9">
        <v>0</v>
      </c>
      <c r="M334" s="9">
        <v>0</v>
      </c>
      <c r="N334" s="9">
        <v>0</v>
      </c>
      <c r="O334" s="9">
        <v>32.450000000000003</v>
      </c>
      <c r="P334" s="9">
        <v>0</v>
      </c>
      <c r="Q334" s="9">
        <v>0</v>
      </c>
      <c r="R334" s="9">
        <v>4</v>
      </c>
      <c r="S334" s="9">
        <v>0</v>
      </c>
      <c r="T334" s="9">
        <v>18.75</v>
      </c>
      <c r="U334" s="9">
        <v>47.97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M334" s="9">
        <v>8.8000000000000007</v>
      </c>
      <c r="AN334" s="9">
        <v>1</v>
      </c>
      <c r="AO334" s="9">
        <v>35</v>
      </c>
      <c r="AP334" s="9">
        <v>2</v>
      </c>
      <c r="AQ334" s="9">
        <v>0.64</v>
      </c>
      <c r="AR334" s="9">
        <v>3</v>
      </c>
      <c r="BQ334" s="9">
        <v>1</v>
      </c>
      <c r="BR334" s="9">
        <v>60</v>
      </c>
      <c r="BS334" s="9">
        <v>1</v>
      </c>
      <c r="BT334" s="9">
        <v>3.64</v>
      </c>
      <c r="BU334" s="9">
        <v>3</v>
      </c>
      <c r="DB334" s="11">
        <v>7.63</v>
      </c>
      <c r="DC334" s="11">
        <v>1</v>
      </c>
      <c r="DD334" s="11">
        <v>1</v>
      </c>
      <c r="DE334" s="11"/>
      <c r="DF334" s="11">
        <f>0.63*2+2.02*2</f>
        <v>5.3</v>
      </c>
      <c r="DG334" s="11">
        <v>3</v>
      </c>
      <c r="DH334" s="11"/>
      <c r="DI334" s="11">
        <v>3.64</v>
      </c>
      <c r="DJ334" s="11"/>
      <c r="DK334" s="11"/>
      <c r="DL334" s="11"/>
      <c r="DM334" s="11">
        <v>5.77</v>
      </c>
      <c r="DN334" s="11">
        <v>12.41</v>
      </c>
      <c r="DO334" s="11"/>
      <c r="DP334" s="11"/>
      <c r="DQ334" s="11">
        <v>0</v>
      </c>
      <c r="DR334" s="11">
        <v>0</v>
      </c>
      <c r="DS334" s="11">
        <v>0</v>
      </c>
      <c r="DT334" s="9">
        <v>0</v>
      </c>
    </row>
    <row r="335" spans="1:124" x14ac:dyDescent="0.2">
      <c r="A335" s="10">
        <v>42944</v>
      </c>
      <c r="B335" s="9" t="s">
        <v>381</v>
      </c>
      <c r="C335" s="9" t="s">
        <v>397</v>
      </c>
      <c r="D335" s="9" t="s">
        <v>394</v>
      </c>
      <c r="E335" s="9">
        <v>36.5</v>
      </c>
      <c r="F335" s="11">
        <v>1.6</v>
      </c>
      <c r="G335" s="11">
        <v>98.89</v>
      </c>
      <c r="H335" s="11">
        <v>11.5</v>
      </c>
      <c r="I335" s="9">
        <v>24.98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75.02</v>
      </c>
      <c r="P335" s="9">
        <v>0</v>
      </c>
      <c r="Q335" s="9">
        <v>0</v>
      </c>
      <c r="R335" s="9">
        <v>21.29</v>
      </c>
      <c r="S335" s="9">
        <v>0</v>
      </c>
      <c r="T335" s="9">
        <v>18.75</v>
      </c>
      <c r="U335" s="9">
        <v>39.18</v>
      </c>
      <c r="V335" s="9">
        <v>23.66</v>
      </c>
      <c r="W335" s="9">
        <v>0</v>
      </c>
      <c r="X335" s="9">
        <v>0</v>
      </c>
      <c r="Y335" s="9">
        <v>0</v>
      </c>
      <c r="Z335" s="9">
        <v>0</v>
      </c>
      <c r="AM335" s="9">
        <v>17.899999999999999</v>
      </c>
      <c r="AN335" s="9">
        <v>1</v>
      </c>
      <c r="AO335" s="9">
        <v>12</v>
      </c>
      <c r="AP335" s="9">
        <v>1</v>
      </c>
      <c r="AQ335" s="9">
        <v>0.73</v>
      </c>
      <c r="AR335" s="9">
        <v>3</v>
      </c>
      <c r="BQ335" s="9">
        <v>1</v>
      </c>
      <c r="BR335" s="9">
        <v>60</v>
      </c>
      <c r="BS335" s="9">
        <v>5</v>
      </c>
      <c r="BT335" s="9">
        <v>3.64</v>
      </c>
      <c r="BU335" s="9">
        <v>3</v>
      </c>
      <c r="DB335" s="11">
        <v>1.03</v>
      </c>
      <c r="DC335" s="11">
        <v>1</v>
      </c>
      <c r="DD335" s="11">
        <v>1</v>
      </c>
      <c r="DE335" s="11"/>
      <c r="DF335" s="11">
        <f>2.02*2</f>
        <v>4.04</v>
      </c>
      <c r="DG335" s="11"/>
      <c r="DH335" s="11"/>
      <c r="DI335" s="11"/>
      <c r="DJ335" s="11"/>
      <c r="DK335" s="11"/>
      <c r="DL335" s="11"/>
      <c r="DM335" s="11">
        <v>5.77</v>
      </c>
      <c r="DN335" s="11">
        <v>12.41</v>
      </c>
      <c r="DO335" s="11"/>
      <c r="DP335" s="11"/>
      <c r="DQ335" s="11">
        <v>0</v>
      </c>
      <c r="DR335" s="11">
        <v>0</v>
      </c>
      <c r="DS335" s="11">
        <v>0</v>
      </c>
      <c r="DT335" s="9">
        <v>0</v>
      </c>
    </row>
    <row r="336" spans="1:124" x14ac:dyDescent="0.2">
      <c r="A336" s="10">
        <v>42944</v>
      </c>
      <c r="B336" s="9" t="s">
        <v>381</v>
      </c>
      <c r="C336" s="9" t="s">
        <v>397</v>
      </c>
      <c r="D336" s="9" t="s">
        <v>395</v>
      </c>
      <c r="E336" s="9">
        <v>64.5</v>
      </c>
      <c r="F336" s="11">
        <v>61.1</v>
      </c>
      <c r="G336" s="11">
        <v>98.89</v>
      </c>
      <c r="H336" s="11">
        <v>51.8</v>
      </c>
      <c r="I336" s="9">
        <v>58.69</v>
      </c>
      <c r="J336" s="9">
        <v>0</v>
      </c>
      <c r="K336" s="9">
        <v>11.88</v>
      </c>
      <c r="L336" s="9">
        <v>27.61</v>
      </c>
      <c r="M336" s="9">
        <v>1.82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5.28</v>
      </c>
      <c r="V336" s="9">
        <v>19.47</v>
      </c>
      <c r="W336" s="9">
        <v>2.41</v>
      </c>
      <c r="X336" s="9">
        <v>0</v>
      </c>
      <c r="Y336" s="9">
        <v>0</v>
      </c>
      <c r="Z336" s="9">
        <v>0</v>
      </c>
      <c r="AM336" s="9">
        <v>11.8</v>
      </c>
      <c r="AN336" s="9">
        <v>1</v>
      </c>
      <c r="AO336" s="9">
        <v>33</v>
      </c>
      <c r="AP336" s="9">
        <v>3</v>
      </c>
      <c r="AQ336" s="9">
        <v>0.37</v>
      </c>
      <c r="AR336" s="9">
        <v>4</v>
      </c>
      <c r="AS336" s="9">
        <v>47</v>
      </c>
      <c r="AT336" s="9">
        <v>2</v>
      </c>
      <c r="AU336" s="9">
        <f>0.36*2</f>
        <v>0.72</v>
      </c>
      <c r="AV336" s="9">
        <v>3</v>
      </c>
      <c r="BQ336" s="9">
        <v>1</v>
      </c>
      <c r="BR336" s="9">
        <v>70</v>
      </c>
      <c r="BS336" s="9">
        <v>2</v>
      </c>
      <c r="BT336" s="9">
        <v>1.0900000000000001</v>
      </c>
      <c r="BU336" s="9">
        <v>2</v>
      </c>
      <c r="BV336" s="9">
        <v>40</v>
      </c>
      <c r="BW336" s="9">
        <v>14</v>
      </c>
      <c r="BX336" s="9">
        <f>0.73*2+1.09</f>
        <v>2.5499999999999998</v>
      </c>
      <c r="BY336" s="9">
        <v>3</v>
      </c>
      <c r="DB336" s="11">
        <v>0.26</v>
      </c>
      <c r="DC336" s="11">
        <v>1</v>
      </c>
      <c r="DD336" s="11">
        <v>1</v>
      </c>
      <c r="DE336" s="11"/>
      <c r="DF336" s="11">
        <v>2.02</v>
      </c>
      <c r="DG336" s="11"/>
      <c r="DH336" s="11"/>
      <c r="DI336" s="11"/>
      <c r="DJ336" s="11"/>
      <c r="DK336" s="11"/>
      <c r="DL336" s="11"/>
      <c r="DM336" s="11">
        <v>0.25</v>
      </c>
      <c r="DN336" s="11">
        <v>0.25</v>
      </c>
      <c r="DO336" s="11"/>
      <c r="DP336" s="11"/>
      <c r="DQ336" s="11">
        <v>0</v>
      </c>
      <c r="DR336" s="11">
        <v>0</v>
      </c>
      <c r="DS336" s="11">
        <v>0</v>
      </c>
      <c r="DT336" s="9">
        <v>0</v>
      </c>
    </row>
    <row r="337" spans="1:124" x14ac:dyDescent="0.2">
      <c r="A337" s="10">
        <v>42944</v>
      </c>
      <c r="B337" s="9" t="s">
        <v>381</v>
      </c>
      <c r="C337" s="9" t="s">
        <v>397</v>
      </c>
      <c r="D337" s="9" t="s">
        <v>396</v>
      </c>
      <c r="E337" s="9">
        <v>18.5</v>
      </c>
      <c r="F337" s="11">
        <v>85.1</v>
      </c>
      <c r="G337" s="11">
        <v>98.89</v>
      </c>
      <c r="H337" s="11">
        <v>11.6</v>
      </c>
      <c r="I337" s="9">
        <v>90.85</v>
      </c>
      <c r="J337" s="9">
        <v>0</v>
      </c>
      <c r="K337" s="9">
        <v>4.37</v>
      </c>
      <c r="L337" s="9">
        <v>0</v>
      </c>
      <c r="M337" s="9">
        <v>2.16</v>
      </c>
      <c r="N337" s="9">
        <v>2.62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2.16</v>
      </c>
      <c r="U337" s="9">
        <v>34.840000000000003</v>
      </c>
      <c r="V337" s="9">
        <v>5.01</v>
      </c>
      <c r="W337" s="9">
        <v>6.59</v>
      </c>
      <c r="X337" s="9">
        <v>0</v>
      </c>
      <c r="Y337" s="9">
        <v>0</v>
      </c>
      <c r="Z337" s="9">
        <v>0</v>
      </c>
      <c r="AM337" s="9">
        <v>0</v>
      </c>
      <c r="AN337" s="9">
        <v>1</v>
      </c>
      <c r="AO337" s="9">
        <v>10</v>
      </c>
      <c r="AP337" s="9">
        <v>3</v>
      </c>
      <c r="AQ337" s="9">
        <f>0.36*3</f>
        <v>1.08</v>
      </c>
      <c r="AR337" s="9">
        <v>3</v>
      </c>
      <c r="AS337" s="9">
        <v>23</v>
      </c>
      <c r="AT337" s="9">
        <v>4</v>
      </c>
      <c r="AU337" s="9">
        <f>0.18+0.53</f>
        <v>0.71</v>
      </c>
      <c r="AV337" s="9">
        <v>3</v>
      </c>
      <c r="BQ337" s="9">
        <v>0</v>
      </c>
      <c r="DB337" s="11">
        <v>1.86</v>
      </c>
      <c r="DC337" s="11">
        <v>1</v>
      </c>
      <c r="DD337" s="11">
        <v>1</v>
      </c>
      <c r="DE337" s="11"/>
      <c r="DF337" s="11">
        <f>0.06+0.57*2</f>
        <v>1.2</v>
      </c>
      <c r="DG337" s="11">
        <v>2</v>
      </c>
      <c r="DH337" s="11"/>
      <c r="DI337" s="11">
        <v>4.05</v>
      </c>
      <c r="DJ337" s="11"/>
      <c r="DK337" s="11"/>
      <c r="DL337" s="11"/>
      <c r="DM337" s="11">
        <v>4.92</v>
      </c>
      <c r="DN337" s="11">
        <v>4.9000000000000004</v>
      </c>
      <c r="DO337" s="11"/>
      <c r="DP337" s="11"/>
      <c r="DQ337" s="11">
        <v>0</v>
      </c>
      <c r="DR337" s="11">
        <v>0</v>
      </c>
      <c r="DS337" s="11">
        <v>0</v>
      </c>
      <c r="DT337" s="9">
        <v>0</v>
      </c>
    </row>
    <row r="338" spans="1:124" x14ac:dyDescent="0.2">
      <c r="A338" s="10">
        <v>42944</v>
      </c>
      <c r="B338" s="9" t="s">
        <v>381</v>
      </c>
      <c r="C338" s="9" t="s">
        <v>397</v>
      </c>
      <c r="D338" s="9" t="s">
        <v>398</v>
      </c>
      <c r="E338" s="9">
        <v>40.5</v>
      </c>
      <c r="F338" s="11">
        <v>101.5</v>
      </c>
      <c r="G338" s="11">
        <v>98.89</v>
      </c>
      <c r="H338" s="11">
        <v>22.3</v>
      </c>
      <c r="I338" s="9">
        <v>79.83</v>
      </c>
      <c r="J338" s="9">
        <v>0</v>
      </c>
      <c r="K338" s="9">
        <v>6.06</v>
      </c>
      <c r="L338" s="9">
        <v>0</v>
      </c>
      <c r="M338" s="9">
        <v>14.16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30.65</v>
      </c>
      <c r="U338" s="9">
        <v>25.83</v>
      </c>
      <c r="V338" s="9">
        <v>28.56</v>
      </c>
      <c r="W338" s="9">
        <v>6.35</v>
      </c>
      <c r="X338" s="9">
        <v>0</v>
      </c>
      <c r="Y338" s="9">
        <v>0</v>
      </c>
      <c r="Z338" s="9">
        <v>0</v>
      </c>
      <c r="AM338" s="9">
        <v>8.6</v>
      </c>
      <c r="AN338" s="9">
        <v>1</v>
      </c>
      <c r="AO338" s="9">
        <v>60</v>
      </c>
      <c r="AP338" s="9">
        <v>4</v>
      </c>
      <c r="AQ338" s="9">
        <f>2.14*2</f>
        <v>4.28</v>
      </c>
      <c r="AR338" s="9">
        <v>1</v>
      </c>
      <c r="AS338" s="9">
        <v>40</v>
      </c>
      <c r="AT338" s="9">
        <v>8</v>
      </c>
      <c r="AU338" s="9">
        <f>1.98*4</f>
        <v>7.92</v>
      </c>
      <c r="AV338" s="9">
        <v>1</v>
      </c>
      <c r="BQ338" s="9">
        <v>1</v>
      </c>
      <c r="BR338" s="9">
        <v>40</v>
      </c>
      <c r="BS338" s="9">
        <v>2</v>
      </c>
      <c r="BT338" s="12">
        <v>2.4</v>
      </c>
      <c r="BU338" s="9">
        <v>6</v>
      </c>
      <c r="DB338" s="11">
        <v>9.5299999999999994</v>
      </c>
      <c r="DC338" s="11">
        <v>1</v>
      </c>
      <c r="DD338" s="11">
        <v>1</v>
      </c>
      <c r="DE338" s="11"/>
      <c r="DF338" s="11">
        <f>2.97*2</f>
        <v>5.94</v>
      </c>
      <c r="DG338" s="11">
        <v>2</v>
      </c>
      <c r="DH338" s="11"/>
      <c r="DI338" s="11">
        <f>3.96*2+2.97+1.98*4</f>
        <v>18.810000000000002</v>
      </c>
      <c r="DJ338" s="11"/>
      <c r="DK338" s="11"/>
      <c r="DL338" s="11"/>
      <c r="DM338" s="11">
        <v>0</v>
      </c>
      <c r="DN338" s="11">
        <v>0</v>
      </c>
      <c r="DO338" s="11"/>
      <c r="DP338" s="11"/>
      <c r="DQ338" s="11">
        <v>0</v>
      </c>
      <c r="DR338" s="11">
        <v>0</v>
      </c>
      <c r="DS338" s="11">
        <v>0</v>
      </c>
      <c r="DT338" s="9">
        <v>0</v>
      </c>
    </row>
    <row r="339" spans="1:124" x14ac:dyDescent="0.2">
      <c r="A339" s="10">
        <v>42944</v>
      </c>
      <c r="B339" s="9" t="s">
        <v>381</v>
      </c>
      <c r="C339" s="9" t="s">
        <v>397</v>
      </c>
      <c r="D339" s="9" t="s">
        <v>399</v>
      </c>
      <c r="E339" s="9">
        <v>40.5</v>
      </c>
      <c r="F339" s="11">
        <v>100.2</v>
      </c>
      <c r="G339" s="11">
        <v>98.89</v>
      </c>
      <c r="H339" s="11">
        <v>22.2</v>
      </c>
      <c r="I339" s="9">
        <v>79.83</v>
      </c>
      <c r="J339" s="9">
        <v>0</v>
      </c>
      <c r="K339" s="9">
        <v>6.06</v>
      </c>
      <c r="L339" s="9">
        <v>0</v>
      </c>
      <c r="M339" s="9">
        <v>14.11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29.31</v>
      </c>
      <c r="U339" s="9">
        <v>25.75</v>
      </c>
      <c r="V339" s="9">
        <v>28.56</v>
      </c>
      <c r="W339" s="9">
        <v>6.35</v>
      </c>
      <c r="X339" s="9">
        <v>0</v>
      </c>
      <c r="Y339" s="9">
        <v>0</v>
      </c>
      <c r="Z339" s="9">
        <v>0</v>
      </c>
      <c r="AM339" s="9">
        <v>8.6</v>
      </c>
      <c r="AN339" s="9">
        <v>1</v>
      </c>
      <c r="AO339" s="9">
        <v>60</v>
      </c>
      <c r="AP339" s="9">
        <v>4</v>
      </c>
      <c r="AQ339" s="9">
        <f>2.14*2</f>
        <v>4.28</v>
      </c>
      <c r="AR339" s="9">
        <v>1</v>
      </c>
      <c r="AS339" s="9">
        <v>40</v>
      </c>
      <c r="AT339" s="9">
        <v>8</v>
      </c>
      <c r="AU339" s="9">
        <f>1.98*4</f>
        <v>7.92</v>
      </c>
      <c r="AV339" s="9">
        <v>2</v>
      </c>
      <c r="BQ339" s="9">
        <v>1</v>
      </c>
      <c r="BR339" s="9">
        <v>40</v>
      </c>
      <c r="BS339" s="9">
        <v>2</v>
      </c>
      <c r="BT339" s="12">
        <v>2.4</v>
      </c>
      <c r="BU339" s="9">
        <v>6</v>
      </c>
      <c r="DB339" s="11">
        <v>9.5299999999999994</v>
      </c>
      <c r="DC339" s="11">
        <v>1</v>
      </c>
      <c r="DD339" s="11">
        <v>1</v>
      </c>
      <c r="DE339" s="11"/>
      <c r="DF339" s="11">
        <f>2.97*2</f>
        <v>5.94</v>
      </c>
      <c r="DG339" s="11"/>
      <c r="DH339" s="11"/>
      <c r="DI339" s="11"/>
      <c r="DJ339" s="11"/>
      <c r="DK339" s="11"/>
      <c r="DL339" s="11"/>
      <c r="DM339" s="11">
        <v>0</v>
      </c>
      <c r="DN339" s="11">
        <v>0</v>
      </c>
      <c r="DO339" s="11"/>
      <c r="DP339" s="11"/>
      <c r="DQ339" s="11">
        <v>0</v>
      </c>
      <c r="DR339" s="11">
        <v>0</v>
      </c>
      <c r="DS339" s="11">
        <v>0</v>
      </c>
      <c r="DT339" s="9">
        <v>0</v>
      </c>
    </row>
    <row r="340" spans="1:124" x14ac:dyDescent="0.2">
      <c r="A340" s="10">
        <v>42944</v>
      </c>
      <c r="B340" s="9" t="s">
        <v>381</v>
      </c>
      <c r="C340" s="9" t="s">
        <v>397</v>
      </c>
      <c r="D340" s="9" t="s">
        <v>400</v>
      </c>
      <c r="E340" s="9">
        <v>20.5</v>
      </c>
      <c r="F340" s="11">
        <v>67.5</v>
      </c>
      <c r="G340" s="11">
        <v>98.89</v>
      </c>
      <c r="H340" s="11">
        <v>8.3000000000000007</v>
      </c>
      <c r="I340" s="9">
        <v>26.03</v>
      </c>
      <c r="J340" s="9">
        <v>0</v>
      </c>
      <c r="K340" s="9">
        <v>4.37</v>
      </c>
      <c r="L340" s="9">
        <v>0</v>
      </c>
      <c r="M340" s="9">
        <v>0</v>
      </c>
      <c r="N340" s="9">
        <v>0</v>
      </c>
      <c r="O340" s="9">
        <v>69.599999999999994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26.15</v>
      </c>
      <c r="V340" s="9">
        <v>7.83</v>
      </c>
      <c r="W340" s="9">
        <v>0</v>
      </c>
      <c r="X340" s="9">
        <v>0</v>
      </c>
      <c r="Y340" s="9">
        <v>0</v>
      </c>
      <c r="Z340" s="9">
        <v>0</v>
      </c>
      <c r="AM340" s="9">
        <v>5.8</v>
      </c>
      <c r="AN340" s="9">
        <v>1</v>
      </c>
      <c r="AO340" s="9">
        <v>35</v>
      </c>
      <c r="AP340" s="9">
        <v>2</v>
      </c>
      <c r="AQ340" s="9">
        <v>1.46</v>
      </c>
      <c r="AR340" s="9">
        <v>3</v>
      </c>
      <c r="BQ340" s="9">
        <v>0</v>
      </c>
      <c r="DB340" s="11">
        <v>1.29</v>
      </c>
      <c r="DC340" s="11">
        <v>1</v>
      </c>
      <c r="DD340" s="11">
        <v>1</v>
      </c>
      <c r="DE340" s="11"/>
      <c r="DF340" s="11">
        <v>12.14</v>
      </c>
      <c r="DG340" s="11"/>
      <c r="DH340" s="11"/>
      <c r="DI340" s="11"/>
      <c r="DJ340" s="11"/>
      <c r="DK340" s="11"/>
      <c r="DL340" s="11"/>
      <c r="DM340" s="11">
        <v>0</v>
      </c>
      <c r="DN340" s="11">
        <v>0</v>
      </c>
      <c r="DO340" s="11"/>
      <c r="DP340" s="11"/>
      <c r="DQ340" s="11">
        <v>0</v>
      </c>
      <c r="DR340" s="11">
        <v>0</v>
      </c>
      <c r="DS340" s="11">
        <v>0</v>
      </c>
      <c r="DT340" s="9">
        <v>1</v>
      </c>
    </row>
    <row r="341" spans="1:124" x14ac:dyDescent="0.2">
      <c r="A341" s="10">
        <v>42944</v>
      </c>
      <c r="B341" s="9" t="s">
        <v>381</v>
      </c>
      <c r="C341" s="9" t="s">
        <v>397</v>
      </c>
      <c r="D341" s="9" t="s">
        <v>401</v>
      </c>
      <c r="E341" s="9">
        <v>26.5</v>
      </c>
      <c r="F341" s="11">
        <v>94.1</v>
      </c>
      <c r="G341" s="11">
        <v>98.89</v>
      </c>
      <c r="H341" s="11">
        <v>16</v>
      </c>
      <c r="I341" s="9">
        <v>80.150000000000006</v>
      </c>
      <c r="J341" s="9">
        <v>0</v>
      </c>
      <c r="K341" s="9">
        <v>3.82</v>
      </c>
      <c r="L341" s="9">
        <v>0</v>
      </c>
      <c r="M341" s="9">
        <v>12.39</v>
      </c>
      <c r="N341" s="9">
        <v>3.64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0.95</v>
      </c>
      <c r="U341" s="9">
        <v>44.74</v>
      </c>
      <c r="V341" s="9">
        <v>12.71</v>
      </c>
      <c r="W341" s="9">
        <v>0</v>
      </c>
      <c r="X341" s="9">
        <v>0</v>
      </c>
      <c r="Y341" s="9">
        <v>0</v>
      </c>
      <c r="Z341" s="9">
        <v>0</v>
      </c>
      <c r="AM341" s="9">
        <v>6.8</v>
      </c>
      <c r="AN341" s="9">
        <v>0</v>
      </c>
      <c r="BQ341" s="9">
        <v>1</v>
      </c>
      <c r="BR341" s="9">
        <v>40</v>
      </c>
      <c r="BS341" s="9">
        <v>10</v>
      </c>
      <c r="BT341" s="9">
        <f>0.18*2+1.46*2</f>
        <v>3.28</v>
      </c>
      <c r="BU341" s="9">
        <v>3</v>
      </c>
      <c r="BV341" s="9">
        <v>105</v>
      </c>
      <c r="BW341" s="9">
        <v>2</v>
      </c>
      <c r="BX341" s="9">
        <f>0.73*2</f>
        <v>1.46</v>
      </c>
      <c r="BY341" s="9">
        <v>3</v>
      </c>
      <c r="BZ341" s="9" t="s">
        <v>446</v>
      </c>
      <c r="DB341" s="11">
        <v>3.48</v>
      </c>
      <c r="DC341" s="11">
        <v>1</v>
      </c>
      <c r="DD341" s="11">
        <v>1</v>
      </c>
      <c r="DE341" s="11"/>
      <c r="DF341" s="11">
        <f>2.18*2+0.73*2+4.05*2+3.03*2</f>
        <v>19.98</v>
      </c>
      <c r="DG341" s="11"/>
      <c r="DH341" s="11"/>
      <c r="DI341" s="11"/>
      <c r="DJ341" s="11"/>
      <c r="DK341" s="11"/>
      <c r="DL341" s="11"/>
      <c r="DM341" s="11">
        <v>0</v>
      </c>
      <c r="DN341" s="11">
        <v>0</v>
      </c>
      <c r="DO341" s="11"/>
      <c r="DP341" s="11"/>
      <c r="DQ341" s="11">
        <v>0</v>
      </c>
      <c r="DR341" s="11">
        <v>0</v>
      </c>
      <c r="DS341" s="11">
        <v>0</v>
      </c>
      <c r="DT341" s="9">
        <v>0</v>
      </c>
    </row>
    <row r="342" spans="1:124" x14ac:dyDescent="0.2">
      <c r="A342" s="10">
        <v>42944</v>
      </c>
      <c r="B342" s="9" t="s">
        <v>381</v>
      </c>
      <c r="C342" s="9" t="s">
        <v>397</v>
      </c>
      <c r="D342" s="9" t="s">
        <v>402</v>
      </c>
      <c r="E342" s="9">
        <v>25.5</v>
      </c>
      <c r="F342" s="11">
        <v>85</v>
      </c>
      <c r="G342" s="11">
        <v>98.89</v>
      </c>
      <c r="H342" s="11">
        <v>15</v>
      </c>
      <c r="I342" s="9">
        <v>81.98</v>
      </c>
      <c r="J342" s="9">
        <v>0</v>
      </c>
      <c r="K342" s="9">
        <v>3.82</v>
      </c>
      <c r="L342" s="9">
        <v>0</v>
      </c>
      <c r="M342" s="9">
        <v>10.55</v>
      </c>
      <c r="N342" s="9">
        <v>3.64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0.32</v>
      </c>
      <c r="U342" s="9">
        <v>44.74</v>
      </c>
      <c r="V342" s="9">
        <v>10.88</v>
      </c>
      <c r="W342" s="9">
        <v>0</v>
      </c>
      <c r="X342" s="9">
        <v>0</v>
      </c>
      <c r="Y342" s="9">
        <v>0</v>
      </c>
      <c r="Z342" s="9">
        <v>0</v>
      </c>
      <c r="AM342" s="9">
        <v>6.8</v>
      </c>
      <c r="AN342" s="9">
        <v>0</v>
      </c>
      <c r="BQ342" s="9">
        <v>1</v>
      </c>
      <c r="BR342" s="9">
        <v>40</v>
      </c>
      <c r="BS342" s="9">
        <v>10</v>
      </c>
      <c r="BT342" s="9">
        <f>0.18*2+1.46*2</f>
        <v>3.28</v>
      </c>
      <c r="BU342" s="9">
        <v>3</v>
      </c>
      <c r="BV342" s="9">
        <v>105</v>
      </c>
      <c r="BW342" s="9">
        <v>2</v>
      </c>
      <c r="BX342" s="9">
        <f>0.73*2</f>
        <v>1.46</v>
      </c>
      <c r="BY342" s="9">
        <v>4</v>
      </c>
      <c r="DB342" s="11">
        <v>3.48</v>
      </c>
      <c r="DC342" s="11">
        <v>1</v>
      </c>
      <c r="DD342" s="11">
        <v>1</v>
      </c>
      <c r="DE342" s="11"/>
      <c r="DF342" s="11">
        <f>2.18*2+0.73*2+4.05*2+3.03*2</f>
        <v>19.98</v>
      </c>
      <c r="DG342" s="11"/>
      <c r="DH342" s="11"/>
      <c r="DI342" s="11"/>
      <c r="DJ342" s="11"/>
      <c r="DK342" s="11"/>
      <c r="DL342" s="11"/>
      <c r="DM342" s="11">
        <v>0</v>
      </c>
      <c r="DN342" s="11">
        <v>0</v>
      </c>
      <c r="DO342" s="11"/>
      <c r="DP342" s="11"/>
      <c r="DQ342" s="11">
        <v>0</v>
      </c>
      <c r="DR342" s="11">
        <v>0</v>
      </c>
      <c r="DS342" s="11">
        <v>0</v>
      </c>
      <c r="DT342" s="9">
        <v>0</v>
      </c>
    </row>
    <row r="343" spans="1:124" x14ac:dyDescent="0.2">
      <c r="A343" s="10">
        <v>42944</v>
      </c>
      <c r="B343" s="9" t="s">
        <v>381</v>
      </c>
      <c r="C343" s="9" t="s">
        <v>397</v>
      </c>
      <c r="D343" s="9" t="s">
        <v>403</v>
      </c>
      <c r="E343" s="9">
        <v>40.5</v>
      </c>
      <c r="F343" s="11">
        <v>59</v>
      </c>
      <c r="G343" s="11">
        <v>98.89</v>
      </c>
      <c r="H343" s="11">
        <v>29.9</v>
      </c>
      <c r="I343" s="9">
        <v>59.77</v>
      </c>
      <c r="J343" s="9">
        <v>0</v>
      </c>
      <c r="K343" s="9">
        <v>0</v>
      </c>
      <c r="L343" s="9">
        <v>0</v>
      </c>
      <c r="M343" s="9">
        <v>40.229999999999997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5.1100000000000003</v>
      </c>
      <c r="U343" s="9">
        <v>16.75</v>
      </c>
      <c r="V343" s="9">
        <v>5.28</v>
      </c>
      <c r="W343" s="9">
        <v>33.31</v>
      </c>
      <c r="X343" s="9">
        <v>0</v>
      </c>
      <c r="Y343" s="9">
        <v>0</v>
      </c>
      <c r="Z343" s="9">
        <v>0</v>
      </c>
      <c r="AM343" s="9">
        <v>0</v>
      </c>
      <c r="AN343" s="9">
        <v>1</v>
      </c>
      <c r="AO343" s="9">
        <v>23</v>
      </c>
      <c r="AP343" s="9">
        <v>5</v>
      </c>
      <c r="AQ343" s="9">
        <f>0.73+2.91</f>
        <v>3.64</v>
      </c>
      <c r="AR343" s="9">
        <v>3</v>
      </c>
      <c r="BQ343" s="9">
        <v>0</v>
      </c>
      <c r="DB343" s="11">
        <v>3.61</v>
      </c>
      <c r="DC343" s="11">
        <v>1</v>
      </c>
      <c r="DD343" s="11">
        <v>1</v>
      </c>
      <c r="DE343" s="11"/>
      <c r="DF343" s="11">
        <v>1.64</v>
      </c>
      <c r="DG343" s="11">
        <v>2</v>
      </c>
      <c r="DH343" s="11"/>
      <c r="DI343" s="11">
        <f>1.82*2</f>
        <v>3.64</v>
      </c>
      <c r="DJ343" s="11"/>
      <c r="DK343" s="11"/>
      <c r="DL343" s="11"/>
      <c r="DM343" s="11">
        <v>6.76</v>
      </c>
      <c r="DN343" s="11">
        <v>5.28</v>
      </c>
      <c r="DO343" s="11"/>
      <c r="DP343" s="11"/>
      <c r="DQ343" s="11">
        <v>0</v>
      </c>
      <c r="DR343" s="11">
        <v>0</v>
      </c>
      <c r="DS343" s="11">
        <v>0</v>
      </c>
      <c r="DT343" s="9">
        <v>0</v>
      </c>
    </row>
    <row r="344" spans="1:124" x14ac:dyDescent="0.2">
      <c r="A344" s="10">
        <v>42944</v>
      </c>
      <c r="B344" s="9" t="s">
        <v>381</v>
      </c>
      <c r="C344" s="9" t="s">
        <v>404</v>
      </c>
      <c r="D344" s="9" t="s">
        <v>405</v>
      </c>
      <c r="E344" s="9">
        <v>22</v>
      </c>
      <c r="F344" s="11">
        <v>98.4</v>
      </c>
      <c r="G344" s="11">
        <v>99.31</v>
      </c>
      <c r="H344" s="11">
        <v>9.8000000000000007</v>
      </c>
      <c r="I344" s="9">
        <v>94.34</v>
      </c>
      <c r="J344" s="9">
        <v>0</v>
      </c>
      <c r="K344" s="9">
        <v>0</v>
      </c>
      <c r="L344" s="9">
        <v>2.31</v>
      </c>
      <c r="M344" s="9">
        <v>3.35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1.68</v>
      </c>
      <c r="U344" s="9">
        <v>10.07</v>
      </c>
      <c r="V344" s="9">
        <v>6.51</v>
      </c>
      <c r="W344" s="9">
        <v>0</v>
      </c>
      <c r="X344" s="9">
        <v>0</v>
      </c>
      <c r="Y344" s="9">
        <v>0</v>
      </c>
      <c r="Z344" s="9">
        <v>0</v>
      </c>
      <c r="AM344" s="9">
        <v>5.4</v>
      </c>
      <c r="AN344" s="9">
        <v>1</v>
      </c>
      <c r="AO344" s="9">
        <v>23</v>
      </c>
      <c r="AP344" s="9">
        <v>1</v>
      </c>
      <c r="AQ344" s="9">
        <v>0.54</v>
      </c>
      <c r="AR344" s="9">
        <v>3</v>
      </c>
      <c r="AS344" s="9">
        <v>34</v>
      </c>
      <c r="AT344" s="9">
        <v>2</v>
      </c>
      <c r="AU344" s="9">
        <v>1.27</v>
      </c>
      <c r="AV344" s="9">
        <v>1</v>
      </c>
      <c r="BQ344" s="9">
        <v>1</v>
      </c>
      <c r="BR344" s="9">
        <v>100</v>
      </c>
      <c r="BS344" s="9">
        <v>1</v>
      </c>
      <c r="BT344" s="9">
        <v>0.18</v>
      </c>
      <c r="BU344" s="9">
        <v>1</v>
      </c>
      <c r="BV344" s="9">
        <v>80</v>
      </c>
      <c r="BW344" s="9">
        <v>1</v>
      </c>
      <c r="BX344" s="9">
        <v>1.5</v>
      </c>
      <c r="BY344" s="9">
        <v>1</v>
      </c>
      <c r="DB344" s="11">
        <v>0.77</v>
      </c>
      <c r="DC344" s="11">
        <v>1</v>
      </c>
      <c r="DD344" s="11">
        <v>1</v>
      </c>
      <c r="DE344" s="11"/>
      <c r="DF344" s="11">
        <f>0.76+3.02*2</f>
        <v>6.8</v>
      </c>
      <c r="DG344" s="11"/>
      <c r="DH344" s="11"/>
      <c r="DI344" s="11"/>
      <c r="DJ344" s="11"/>
      <c r="DK344" s="11"/>
      <c r="DL344" s="11"/>
      <c r="DM344" s="11">
        <v>5.78</v>
      </c>
      <c r="DN344" s="11">
        <v>2.2599999999999998</v>
      </c>
      <c r="DO344" s="11"/>
      <c r="DP344" s="11"/>
      <c r="DQ344" s="11">
        <v>0</v>
      </c>
      <c r="DR344" s="11">
        <v>0</v>
      </c>
      <c r="DS344" s="11">
        <v>0</v>
      </c>
      <c r="DT344" s="9">
        <v>0</v>
      </c>
    </row>
    <row r="345" spans="1:124" x14ac:dyDescent="0.2">
      <c r="A345" s="10">
        <v>42944</v>
      </c>
      <c r="B345" s="9" t="s">
        <v>381</v>
      </c>
      <c r="C345" s="9" t="s">
        <v>404</v>
      </c>
      <c r="D345" s="9">
        <v>138</v>
      </c>
      <c r="E345" s="9">
        <v>46.5</v>
      </c>
      <c r="F345" s="11">
        <v>95</v>
      </c>
      <c r="G345" s="11">
        <v>99.31</v>
      </c>
      <c r="H345" s="11">
        <v>14.8</v>
      </c>
      <c r="I345" s="9">
        <v>86.79</v>
      </c>
      <c r="J345" s="9">
        <v>0</v>
      </c>
      <c r="K345" s="9">
        <v>4.79</v>
      </c>
      <c r="L345" s="9">
        <v>5.44</v>
      </c>
      <c r="M345" s="9">
        <v>2.98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0.5</v>
      </c>
      <c r="U345" s="9">
        <v>29.66</v>
      </c>
      <c r="V345" s="9">
        <v>4.24</v>
      </c>
      <c r="W345" s="9">
        <v>0.27</v>
      </c>
      <c r="X345" s="9">
        <v>0</v>
      </c>
      <c r="Y345" s="9">
        <v>0</v>
      </c>
      <c r="Z345" s="9">
        <v>0</v>
      </c>
      <c r="AM345" s="9">
        <v>28.2</v>
      </c>
      <c r="AN345" s="9">
        <v>1</v>
      </c>
      <c r="AO345" s="9">
        <v>34</v>
      </c>
      <c r="AP345" s="9">
        <v>12</v>
      </c>
      <c r="AQ345" s="9">
        <f>0.18*5</f>
        <v>0.89999999999999991</v>
      </c>
      <c r="AR345" s="9">
        <v>1</v>
      </c>
      <c r="BQ345" s="9">
        <v>1</v>
      </c>
      <c r="BR345" s="9">
        <v>40</v>
      </c>
      <c r="BS345" s="9">
        <v>18</v>
      </c>
      <c r="BT345" s="9">
        <f>0.54*3</f>
        <v>1.62</v>
      </c>
      <c r="BU345" s="9">
        <v>1</v>
      </c>
      <c r="BV345" s="9">
        <v>160</v>
      </c>
      <c r="BW345" s="9">
        <v>6</v>
      </c>
      <c r="BX345" s="9">
        <v>0.54</v>
      </c>
      <c r="BY345" s="9">
        <v>1</v>
      </c>
      <c r="BZ345" s="9">
        <v>180</v>
      </c>
      <c r="CA345" s="9">
        <v>16</v>
      </c>
      <c r="CB345" s="9">
        <f>0.18*8</f>
        <v>1.44</v>
      </c>
      <c r="CC345" s="9">
        <v>3</v>
      </c>
      <c r="DB345" s="11">
        <v>0.61</v>
      </c>
      <c r="DC345" s="11">
        <v>1</v>
      </c>
      <c r="DD345" s="11">
        <v>1</v>
      </c>
      <c r="DE345" s="11"/>
      <c r="DF345" s="11">
        <f>0.18+0.27+0.54+0.27+0.54+0.27+0.18*2+0.25*2</f>
        <v>2.93</v>
      </c>
      <c r="DG345" s="11"/>
      <c r="DH345" s="11"/>
      <c r="DI345" s="11"/>
      <c r="DJ345" s="11"/>
      <c r="DK345" s="11"/>
      <c r="DL345" s="11"/>
      <c r="DM345" s="11">
        <v>2.57</v>
      </c>
      <c r="DN345" s="11">
        <v>0.72</v>
      </c>
      <c r="DO345" s="11"/>
      <c r="DP345" s="11"/>
      <c r="DQ345" s="11">
        <v>0</v>
      </c>
      <c r="DR345" s="11">
        <v>0</v>
      </c>
      <c r="DS345" s="11">
        <v>0</v>
      </c>
      <c r="DT345" s="9">
        <v>0</v>
      </c>
    </row>
    <row r="346" spans="1:124" x14ac:dyDescent="0.2">
      <c r="A346" s="10">
        <v>42944</v>
      </c>
      <c r="B346" s="9" t="s">
        <v>381</v>
      </c>
      <c r="C346" s="9" t="s">
        <v>404</v>
      </c>
      <c r="D346" s="9" t="s">
        <v>312</v>
      </c>
      <c r="E346" s="9">
        <v>53.5</v>
      </c>
      <c r="F346" s="11">
        <v>128.69999999999999</v>
      </c>
      <c r="G346" s="11">
        <v>99.31</v>
      </c>
      <c r="H346" s="11">
        <v>28.1</v>
      </c>
      <c r="I346" s="9">
        <v>92.17</v>
      </c>
      <c r="J346" s="9">
        <v>0</v>
      </c>
      <c r="K346" s="9">
        <v>10.06</v>
      </c>
      <c r="L346" s="9">
        <v>7.54</v>
      </c>
      <c r="M346" s="9">
        <v>15.53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106.88</v>
      </c>
      <c r="V346" s="9">
        <v>4.3</v>
      </c>
      <c r="W346" s="9">
        <v>0.45</v>
      </c>
      <c r="X346" s="9">
        <v>0</v>
      </c>
      <c r="Y346" s="9">
        <v>0</v>
      </c>
      <c r="Z346" s="9">
        <v>0</v>
      </c>
      <c r="AM346" s="9">
        <v>20.100000000000001</v>
      </c>
      <c r="AN346" s="9">
        <v>1</v>
      </c>
      <c r="AO346" s="9">
        <v>23</v>
      </c>
      <c r="AP346" s="9">
        <v>6</v>
      </c>
      <c r="AQ346" s="9">
        <f>0.72*2+0.04+0.09</f>
        <v>1.57</v>
      </c>
      <c r="AR346" s="9">
        <v>3</v>
      </c>
      <c r="AS346" s="9">
        <v>52</v>
      </c>
      <c r="AT346" s="9">
        <v>1</v>
      </c>
      <c r="AU346" s="9">
        <v>21.15</v>
      </c>
      <c r="AV346" s="9">
        <v>2</v>
      </c>
      <c r="AW346" s="9">
        <v>28</v>
      </c>
      <c r="AX346" s="9">
        <v>4</v>
      </c>
      <c r="AY346" s="12">
        <f>0.48*2</f>
        <v>0.96</v>
      </c>
      <c r="AZ346" s="9">
        <v>5</v>
      </c>
      <c r="BA346" s="9">
        <v>35</v>
      </c>
      <c r="BB346" s="9">
        <v>2</v>
      </c>
      <c r="BC346" s="9">
        <v>0.48</v>
      </c>
      <c r="BD346" s="9">
        <v>3</v>
      </c>
      <c r="BQ346" s="9">
        <v>1</v>
      </c>
      <c r="BR346" s="9">
        <v>40</v>
      </c>
      <c r="BS346" s="9">
        <v>1</v>
      </c>
      <c r="BT346" s="9">
        <v>7.05</v>
      </c>
      <c r="BU346" s="9">
        <v>2</v>
      </c>
      <c r="BV346" s="9">
        <v>50</v>
      </c>
      <c r="BW346" s="9">
        <v>2</v>
      </c>
      <c r="BX346" s="9">
        <v>0.08</v>
      </c>
      <c r="BY346" s="9">
        <v>3</v>
      </c>
      <c r="BZ346" s="9">
        <v>50</v>
      </c>
      <c r="CA346" s="9">
        <v>10</v>
      </c>
      <c r="CB346" s="9">
        <f>0.04*6+0.09+0.09</f>
        <v>0.41999999999999993</v>
      </c>
      <c r="CC346" s="9">
        <v>3</v>
      </c>
      <c r="DB346" s="11">
        <v>0.24</v>
      </c>
      <c r="DC346" s="11">
        <v>1</v>
      </c>
      <c r="DD346" s="11">
        <v>1</v>
      </c>
      <c r="DE346" s="11"/>
      <c r="DF346" s="11">
        <f>0.18+0.27+0.54+0.27+0.54+0.27+0.18*2+0.25*2</f>
        <v>2.93</v>
      </c>
      <c r="DG346" s="11"/>
      <c r="DH346" s="11"/>
      <c r="DI346" s="11"/>
      <c r="DJ346" s="11"/>
      <c r="DK346" s="11"/>
      <c r="DL346" s="11"/>
      <c r="DM346" s="11">
        <v>4.9800000000000004</v>
      </c>
      <c r="DN346" s="11">
        <v>2.13</v>
      </c>
      <c r="DO346" s="11"/>
      <c r="DP346" s="11"/>
      <c r="DQ346" s="11">
        <v>0</v>
      </c>
      <c r="DR346" s="11">
        <v>0</v>
      </c>
      <c r="DS346" s="11">
        <v>0</v>
      </c>
      <c r="DT346" s="9">
        <v>0</v>
      </c>
    </row>
    <row r="347" spans="1:124" s="26" customFormat="1" x14ac:dyDescent="0.2">
      <c r="A347" s="25">
        <v>42944</v>
      </c>
      <c r="B347" s="26" t="s">
        <v>406</v>
      </c>
      <c r="C347" s="26" t="s">
        <v>407</v>
      </c>
      <c r="D347" s="26" t="s">
        <v>408</v>
      </c>
      <c r="E347" s="26">
        <v>12.5</v>
      </c>
      <c r="F347" s="27">
        <v>83.2</v>
      </c>
      <c r="G347" s="27">
        <v>79.94</v>
      </c>
      <c r="H347" s="27">
        <v>9.1</v>
      </c>
      <c r="I347" s="26">
        <v>37.83</v>
      </c>
      <c r="J347" s="26">
        <v>0</v>
      </c>
      <c r="K347" s="26">
        <v>0</v>
      </c>
      <c r="L347" s="26">
        <v>0</v>
      </c>
      <c r="M347" s="26">
        <v>0</v>
      </c>
      <c r="N347" s="26">
        <v>0</v>
      </c>
      <c r="O347" s="26">
        <v>62.17</v>
      </c>
      <c r="P347" s="26">
        <v>0</v>
      </c>
      <c r="Q347" s="26">
        <v>0</v>
      </c>
      <c r="R347" s="26">
        <v>0</v>
      </c>
      <c r="S347" s="26">
        <v>0</v>
      </c>
      <c r="T347" s="26">
        <v>2.25</v>
      </c>
      <c r="U347" s="26">
        <v>6.87</v>
      </c>
      <c r="V347" s="26">
        <v>22.2</v>
      </c>
      <c r="W347" s="26">
        <v>0</v>
      </c>
      <c r="X347" s="26">
        <v>0</v>
      </c>
      <c r="Y347" s="26">
        <v>0</v>
      </c>
      <c r="Z347" s="26">
        <v>0</v>
      </c>
      <c r="AM347" s="26">
        <v>0</v>
      </c>
      <c r="AN347" s="26">
        <v>0</v>
      </c>
      <c r="AY347" s="28"/>
      <c r="BQ347" s="26">
        <v>0</v>
      </c>
      <c r="DB347" s="27">
        <v>0</v>
      </c>
      <c r="DC347" s="27">
        <v>0</v>
      </c>
      <c r="DD347" s="27"/>
      <c r="DE347" s="27"/>
      <c r="DF347" s="27"/>
      <c r="DG347" s="27"/>
      <c r="DH347" s="27"/>
      <c r="DI347" s="27"/>
      <c r="DJ347" s="27"/>
      <c r="DK347" s="27"/>
      <c r="DL347" s="27"/>
      <c r="DM347" s="27">
        <v>0</v>
      </c>
      <c r="DN347" s="27">
        <v>0</v>
      </c>
      <c r="DO347" s="27"/>
      <c r="DP347" s="27"/>
      <c r="DQ347" s="27">
        <v>3</v>
      </c>
      <c r="DR347" s="27">
        <v>0</v>
      </c>
      <c r="DS347" s="27">
        <v>0</v>
      </c>
      <c r="DT347" s="26">
        <v>4</v>
      </c>
    </row>
    <row r="348" spans="1:124" s="26" customFormat="1" x14ac:dyDescent="0.2">
      <c r="A348" s="25">
        <v>42944</v>
      </c>
      <c r="B348" s="26" t="s">
        <v>406</v>
      </c>
      <c r="C348" s="26" t="s">
        <v>407</v>
      </c>
      <c r="D348" s="26" t="s">
        <v>409</v>
      </c>
      <c r="E348" s="26">
        <v>40.5</v>
      </c>
      <c r="F348" s="27">
        <v>84.4</v>
      </c>
      <c r="G348" s="27">
        <v>79.94</v>
      </c>
      <c r="H348" s="27">
        <v>22.4</v>
      </c>
      <c r="I348" s="26">
        <v>72.62</v>
      </c>
      <c r="J348" s="26">
        <v>10.210000000000001</v>
      </c>
      <c r="K348" s="26">
        <v>7.43</v>
      </c>
      <c r="L348" s="26">
        <v>8.33</v>
      </c>
      <c r="M348" s="26">
        <v>0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4.5599999999999996</v>
      </c>
      <c r="V348" s="26">
        <v>4.5599999999999996</v>
      </c>
      <c r="W348" s="26">
        <v>0</v>
      </c>
      <c r="X348" s="26">
        <v>0</v>
      </c>
      <c r="Y348" s="26">
        <v>0</v>
      </c>
      <c r="Z348" s="26">
        <v>0</v>
      </c>
      <c r="AM348" s="26">
        <v>9.6</v>
      </c>
      <c r="AN348" s="26">
        <v>0</v>
      </c>
      <c r="AY348" s="28"/>
      <c r="BQ348" s="26">
        <v>1</v>
      </c>
      <c r="BR348" s="26">
        <v>90</v>
      </c>
      <c r="BS348" s="26">
        <v>2</v>
      </c>
      <c r="BT348" s="26">
        <f>0.03+0.19</f>
        <v>0.22</v>
      </c>
      <c r="BU348" s="26">
        <v>6</v>
      </c>
      <c r="BV348" s="26">
        <v>90</v>
      </c>
      <c r="BW348" s="26">
        <v>2</v>
      </c>
      <c r="BX348" s="26">
        <v>0.22</v>
      </c>
      <c r="BY348" s="26">
        <v>5</v>
      </c>
      <c r="DB348" s="27">
        <v>2.63</v>
      </c>
      <c r="DC348" s="27">
        <v>1</v>
      </c>
      <c r="DD348" s="27">
        <v>2</v>
      </c>
      <c r="DE348" s="27"/>
      <c r="DF348" s="27">
        <f>0.03+0.1+0.29*2</f>
        <v>0.71</v>
      </c>
      <c r="DG348" s="27">
        <v>3</v>
      </c>
      <c r="DH348" s="27"/>
      <c r="DI348" s="27">
        <f>0.03+0.19</f>
        <v>0.22</v>
      </c>
      <c r="DJ348" s="27"/>
      <c r="DK348" s="27"/>
      <c r="DL348" s="27"/>
      <c r="DM348" s="27">
        <v>5.46</v>
      </c>
      <c r="DN348" s="27">
        <v>6.88</v>
      </c>
      <c r="DO348" s="27"/>
      <c r="DP348" s="27"/>
      <c r="DQ348" s="27">
        <v>0</v>
      </c>
      <c r="DR348" s="27">
        <v>0</v>
      </c>
      <c r="DS348" s="27">
        <v>0</v>
      </c>
      <c r="DT348" s="26">
        <v>0</v>
      </c>
    </row>
    <row r="349" spans="1:124" s="26" customFormat="1" x14ac:dyDescent="0.2">
      <c r="A349" s="25">
        <v>42944</v>
      </c>
      <c r="B349" s="26" t="s">
        <v>406</v>
      </c>
      <c r="C349" s="26" t="s">
        <v>407</v>
      </c>
      <c r="D349" s="26" t="s">
        <v>410</v>
      </c>
      <c r="E349" s="26">
        <v>14</v>
      </c>
      <c r="F349" s="27">
        <v>77.3</v>
      </c>
      <c r="G349" s="27">
        <v>79.94</v>
      </c>
      <c r="H349" s="27">
        <v>11</v>
      </c>
      <c r="I349" s="26">
        <v>77.44</v>
      </c>
      <c r="J349" s="26">
        <v>0</v>
      </c>
      <c r="K349" s="26">
        <v>0</v>
      </c>
      <c r="L349" s="26">
        <v>1.26</v>
      </c>
      <c r="M349" s="26">
        <v>9.86</v>
      </c>
      <c r="N349" s="26">
        <v>0</v>
      </c>
      <c r="O349" s="26">
        <v>11.44</v>
      </c>
      <c r="P349" s="26">
        <v>0</v>
      </c>
      <c r="Q349" s="26">
        <v>0</v>
      </c>
      <c r="R349" s="26">
        <v>0</v>
      </c>
      <c r="S349" s="26">
        <v>0</v>
      </c>
      <c r="T349" s="26">
        <v>1.01</v>
      </c>
      <c r="U349" s="26">
        <v>31.64</v>
      </c>
      <c r="V349" s="26">
        <v>4.93</v>
      </c>
      <c r="W349" s="26">
        <v>0</v>
      </c>
      <c r="X349" s="26">
        <v>0</v>
      </c>
      <c r="Y349" s="26">
        <v>0</v>
      </c>
      <c r="Z349" s="26">
        <v>0</v>
      </c>
      <c r="AM349" s="26">
        <v>0.9</v>
      </c>
      <c r="AN349" s="26">
        <v>1</v>
      </c>
      <c r="AO349" s="26">
        <v>52</v>
      </c>
      <c r="AP349" s="26">
        <v>2</v>
      </c>
      <c r="AQ349" s="26">
        <f>0.38+0.05</f>
        <v>0.43</v>
      </c>
      <c r="AR349" s="26">
        <v>2</v>
      </c>
      <c r="AY349" s="28"/>
      <c r="BQ349" s="26">
        <v>1</v>
      </c>
      <c r="BR349" s="26">
        <v>120</v>
      </c>
      <c r="BS349" s="26">
        <v>1</v>
      </c>
      <c r="BT349" s="26">
        <v>0.06</v>
      </c>
      <c r="BU349" s="26">
        <v>2</v>
      </c>
      <c r="DB349" s="27">
        <v>0.52</v>
      </c>
      <c r="DC349" s="27">
        <v>1</v>
      </c>
      <c r="DD349" s="27">
        <v>1</v>
      </c>
      <c r="DE349" s="27"/>
      <c r="DF349" s="27">
        <f>0.01+0.01+0.04+0.04</f>
        <v>0.1</v>
      </c>
      <c r="DG349" s="27">
        <v>2</v>
      </c>
      <c r="DH349" s="27"/>
      <c r="DI349" s="27">
        <f>0.06+0.04+0.02+0.03+0.03</f>
        <v>0.18000000000000002</v>
      </c>
      <c r="DJ349" s="27"/>
      <c r="DK349" s="27"/>
      <c r="DL349" s="27"/>
      <c r="DM349" s="27">
        <v>0</v>
      </c>
      <c r="DN349" s="27">
        <v>0</v>
      </c>
      <c r="DO349" s="27"/>
      <c r="DP349" s="27"/>
      <c r="DQ349" s="27">
        <v>1.5</v>
      </c>
      <c r="DR349" s="27">
        <v>0</v>
      </c>
      <c r="DS349" s="27">
        <v>0</v>
      </c>
      <c r="DT349" s="26">
        <v>2</v>
      </c>
    </row>
    <row r="350" spans="1:124" s="26" customFormat="1" x14ac:dyDescent="0.2">
      <c r="A350" s="25">
        <v>42944</v>
      </c>
      <c r="B350" s="26" t="s">
        <v>406</v>
      </c>
      <c r="C350" s="26" t="s">
        <v>407</v>
      </c>
      <c r="D350" s="26" t="s">
        <v>411</v>
      </c>
      <c r="E350" s="26">
        <v>6.5</v>
      </c>
      <c r="F350" s="27">
        <v>88.7</v>
      </c>
      <c r="G350" s="27">
        <v>79.94</v>
      </c>
      <c r="H350" s="27">
        <v>5</v>
      </c>
      <c r="I350" s="26">
        <v>11.42</v>
      </c>
      <c r="J350" s="26">
        <v>0</v>
      </c>
      <c r="K350" s="26">
        <v>0</v>
      </c>
      <c r="L350" s="26">
        <v>0</v>
      </c>
      <c r="M350" s="26">
        <v>0.73</v>
      </c>
      <c r="N350" s="26">
        <v>0</v>
      </c>
      <c r="O350" s="26">
        <v>87.85</v>
      </c>
      <c r="P350" s="26">
        <v>0</v>
      </c>
      <c r="Q350" s="26">
        <v>0</v>
      </c>
      <c r="R350" s="26">
        <v>0</v>
      </c>
      <c r="S350" s="26">
        <v>0</v>
      </c>
      <c r="T350" s="26">
        <v>0.75</v>
      </c>
      <c r="U350" s="26">
        <v>55.82</v>
      </c>
      <c r="V350" s="26">
        <v>1.79</v>
      </c>
      <c r="W350" s="26">
        <v>0</v>
      </c>
      <c r="X350" s="26">
        <v>0</v>
      </c>
      <c r="Y350" s="26">
        <v>0</v>
      </c>
      <c r="Z350" s="26">
        <v>0</v>
      </c>
      <c r="AM350" s="26">
        <v>0</v>
      </c>
      <c r="AN350" s="26">
        <v>1</v>
      </c>
      <c r="AO350" s="26">
        <v>34</v>
      </c>
      <c r="AP350" s="26">
        <v>10</v>
      </c>
      <c r="AQ350" s="26">
        <f>0.01+0.19+0.01+0.04+0.06+0.34+0.08+1.06+0.08+0.23</f>
        <v>2.1</v>
      </c>
      <c r="AR350" s="26">
        <v>1</v>
      </c>
      <c r="AY350" s="28"/>
      <c r="BQ350" s="26">
        <v>1</v>
      </c>
      <c r="BR350" s="26">
        <v>30</v>
      </c>
      <c r="BS350" s="26">
        <v>4</v>
      </c>
      <c r="BT350" s="26">
        <f>0.17*2+0.96*2</f>
        <v>2.2599999999999998</v>
      </c>
      <c r="BU350" s="26">
        <v>3</v>
      </c>
      <c r="DB350" s="27">
        <v>0</v>
      </c>
      <c r="DC350" s="27">
        <v>0</v>
      </c>
      <c r="DD350" s="27"/>
      <c r="DE350" s="27"/>
      <c r="DF350" s="27"/>
      <c r="DG350" s="27"/>
      <c r="DH350" s="27"/>
      <c r="DI350" s="27"/>
      <c r="DJ350" s="27"/>
      <c r="DK350" s="27"/>
      <c r="DL350" s="27"/>
      <c r="DM350" s="27">
        <v>0</v>
      </c>
      <c r="DN350" s="27">
        <v>0</v>
      </c>
      <c r="DO350" s="27"/>
      <c r="DP350" s="27"/>
      <c r="DQ350" s="27">
        <v>1.2</v>
      </c>
      <c r="DR350" s="27">
        <v>0</v>
      </c>
      <c r="DS350" s="27">
        <v>0</v>
      </c>
      <c r="DT350" s="26">
        <v>6</v>
      </c>
    </row>
    <row r="351" spans="1:124" s="26" customFormat="1" x14ac:dyDescent="0.2">
      <c r="A351" s="25">
        <v>42944</v>
      </c>
      <c r="B351" s="26" t="s">
        <v>406</v>
      </c>
      <c r="C351" s="26" t="s">
        <v>407</v>
      </c>
      <c r="D351" s="26" t="s">
        <v>412</v>
      </c>
      <c r="E351" s="26">
        <v>8.5</v>
      </c>
      <c r="F351" s="27">
        <v>78.5</v>
      </c>
      <c r="G351" s="27">
        <v>79.94</v>
      </c>
      <c r="H351" s="27">
        <v>6.5</v>
      </c>
      <c r="I351" s="26">
        <v>75.010000000000005</v>
      </c>
      <c r="J351" s="26">
        <v>0</v>
      </c>
      <c r="K351" s="26">
        <v>0</v>
      </c>
      <c r="L351" s="26">
        <v>0.99</v>
      </c>
      <c r="M351" s="26">
        <v>1.23</v>
      </c>
      <c r="N351" s="26">
        <v>0.75</v>
      </c>
      <c r="O351" s="26">
        <v>22.03</v>
      </c>
      <c r="P351" s="26">
        <v>0</v>
      </c>
      <c r="Q351" s="26">
        <v>0</v>
      </c>
      <c r="R351" s="26">
        <v>0.71</v>
      </c>
      <c r="S351" s="26">
        <v>0</v>
      </c>
      <c r="T351" s="26">
        <v>1.1499999999999999</v>
      </c>
      <c r="U351" s="26">
        <v>23.76</v>
      </c>
      <c r="V351" s="26">
        <v>0.88</v>
      </c>
      <c r="W351" s="26">
        <v>0</v>
      </c>
      <c r="X351" s="26">
        <v>0</v>
      </c>
      <c r="Y351" s="26">
        <v>0</v>
      </c>
      <c r="Z351" s="26">
        <v>0</v>
      </c>
      <c r="AM351" s="26">
        <v>0.6</v>
      </c>
      <c r="AN351" s="26">
        <v>1</v>
      </c>
      <c r="AO351" s="26">
        <v>52</v>
      </c>
      <c r="AP351" s="26">
        <v>2</v>
      </c>
      <c r="AQ351" s="26">
        <f>0.06+0.34</f>
        <v>0.4</v>
      </c>
      <c r="AR351" s="26">
        <v>2</v>
      </c>
      <c r="AY351" s="28"/>
      <c r="BQ351" s="26">
        <v>0</v>
      </c>
      <c r="DB351" s="27">
        <v>0</v>
      </c>
      <c r="DC351" s="27">
        <v>0</v>
      </c>
      <c r="DD351" s="27"/>
      <c r="DE351" s="27"/>
      <c r="DF351" s="27"/>
      <c r="DG351" s="27"/>
      <c r="DH351" s="27"/>
      <c r="DI351" s="27"/>
      <c r="DJ351" s="27"/>
      <c r="DK351" s="27"/>
      <c r="DL351" s="27"/>
      <c r="DM351" s="27">
        <v>0</v>
      </c>
      <c r="DN351" s="27">
        <v>0</v>
      </c>
      <c r="DO351" s="27"/>
      <c r="DP351" s="27"/>
      <c r="DQ351" s="27">
        <v>1.2</v>
      </c>
      <c r="DR351" s="27">
        <v>0</v>
      </c>
      <c r="DS351" s="27">
        <v>0</v>
      </c>
      <c r="DT351" s="26">
        <v>4</v>
      </c>
    </row>
    <row r="352" spans="1:124" s="26" customFormat="1" x14ac:dyDescent="0.2">
      <c r="A352" s="25">
        <v>42944</v>
      </c>
      <c r="B352" s="26" t="s">
        <v>406</v>
      </c>
      <c r="C352" s="26" t="s">
        <v>407</v>
      </c>
      <c r="D352" s="26" t="s">
        <v>413</v>
      </c>
      <c r="E352" s="26">
        <v>14</v>
      </c>
      <c r="F352" s="27">
        <v>102.9</v>
      </c>
      <c r="G352" s="27">
        <v>79.94</v>
      </c>
      <c r="H352" s="27">
        <v>10.6</v>
      </c>
      <c r="I352" s="26">
        <v>87.31</v>
      </c>
      <c r="J352" s="26">
        <v>0</v>
      </c>
      <c r="K352" s="26">
        <v>0</v>
      </c>
      <c r="L352" s="26">
        <v>0</v>
      </c>
      <c r="M352" s="26">
        <v>8.4</v>
      </c>
      <c r="N352" s="26">
        <v>0</v>
      </c>
      <c r="O352" s="26">
        <v>4.29</v>
      </c>
      <c r="P352" s="26">
        <v>0</v>
      </c>
      <c r="Q352" s="26">
        <v>0</v>
      </c>
      <c r="R352" s="26">
        <v>0</v>
      </c>
      <c r="S352" s="26">
        <v>0</v>
      </c>
      <c r="T352" s="26">
        <v>2.58</v>
      </c>
      <c r="U352" s="26">
        <v>9.74</v>
      </c>
      <c r="V352" s="26">
        <v>6.56</v>
      </c>
      <c r="W352" s="26">
        <v>0</v>
      </c>
      <c r="X352" s="26">
        <v>0</v>
      </c>
      <c r="Y352" s="26">
        <v>0</v>
      </c>
      <c r="Z352" s="26">
        <v>0</v>
      </c>
      <c r="AM352" s="26">
        <v>0</v>
      </c>
      <c r="AN352" s="26">
        <v>0</v>
      </c>
      <c r="AY352" s="28"/>
      <c r="BQ352" s="26">
        <v>0</v>
      </c>
      <c r="DB352" s="27">
        <v>3</v>
      </c>
      <c r="DC352" s="27">
        <v>0</v>
      </c>
      <c r="DD352" s="27"/>
      <c r="DE352" s="27"/>
      <c r="DF352" s="27"/>
      <c r="DG352" s="27"/>
      <c r="DH352" s="27"/>
      <c r="DI352" s="27"/>
      <c r="DJ352" s="27"/>
      <c r="DK352" s="27"/>
      <c r="DL352" s="27"/>
      <c r="DM352" s="27">
        <v>0</v>
      </c>
      <c r="DN352" s="27">
        <v>0</v>
      </c>
      <c r="DO352" s="27"/>
      <c r="DP352" s="27"/>
      <c r="DQ352" s="27">
        <v>0</v>
      </c>
      <c r="DR352" s="27">
        <v>0</v>
      </c>
      <c r="DS352" s="27">
        <v>0</v>
      </c>
      <c r="DT352" s="26">
        <v>1</v>
      </c>
    </row>
    <row r="353" spans="1:124" s="26" customFormat="1" x14ac:dyDescent="0.2">
      <c r="A353" s="25">
        <v>42944</v>
      </c>
      <c r="B353" s="26" t="s">
        <v>406</v>
      </c>
      <c r="C353" s="26" t="s">
        <v>414</v>
      </c>
      <c r="D353" s="26" t="s">
        <v>415</v>
      </c>
      <c r="E353" s="26">
        <v>8</v>
      </c>
      <c r="F353" s="27">
        <v>55.4</v>
      </c>
      <c r="G353" s="27">
        <v>560.98</v>
      </c>
      <c r="H353" s="27">
        <v>5.9</v>
      </c>
      <c r="I353" s="26">
        <v>5.07</v>
      </c>
      <c r="J353" s="26">
        <v>0</v>
      </c>
      <c r="K353" s="26">
        <v>0.51</v>
      </c>
      <c r="L353" s="26">
        <v>0</v>
      </c>
      <c r="M353" s="26">
        <v>2.61</v>
      </c>
      <c r="N353" s="26">
        <v>0</v>
      </c>
      <c r="O353" s="26">
        <v>91.79</v>
      </c>
      <c r="P353" s="26">
        <v>0</v>
      </c>
      <c r="Q353" s="26">
        <v>0</v>
      </c>
      <c r="R353" s="26">
        <v>0</v>
      </c>
      <c r="S353" s="26">
        <v>0</v>
      </c>
      <c r="T353" s="26">
        <v>0.41</v>
      </c>
      <c r="U353" s="26">
        <v>3.78</v>
      </c>
      <c r="V353" s="26">
        <v>1.66</v>
      </c>
      <c r="W353" s="26">
        <v>0.5</v>
      </c>
      <c r="X353" s="26">
        <v>0.71</v>
      </c>
      <c r="Y353" s="26">
        <v>0</v>
      </c>
      <c r="Z353" s="26">
        <v>0</v>
      </c>
      <c r="AM353" s="26">
        <v>0.2</v>
      </c>
      <c r="AN353" s="26">
        <v>1</v>
      </c>
      <c r="AO353" s="26">
        <v>103</v>
      </c>
      <c r="AP353" s="26">
        <v>2</v>
      </c>
      <c r="AQ353" s="26">
        <v>0.51</v>
      </c>
      <c r="AR353" s="26">
        <v>1</v>
      </c>
      <c r="AS353" s="26">
        <v>23</v>
      </c>
      <c r="AT353" s="26">
        <v>1</v>
      </c>
      <c r="AU353" s="26">
        <v>0.13</v>
      </c>
      <c r="AV353" s="26">
        <v>3</v>
      </c>
      <c r="AY353" s="28"/>
      <c r="BQ353" s="26">
        <v>0</v>
      </c>
      <c r="DB353" s="27">
        <v>0.02</v>
      </c>
      <c r="DC353" s="27">
        <v>1</v>
      </c>
      <c r="DD353" s="27">
        <v>1</v>
      </c>
      <c r="DE353" s="27"/>
      <c r="DF353" s="27">
        <v>0.53</v>
      </c>
      <c r="DG353" s="27"/>
      <c r="DH353" s="27"/>
      <c r="DI353" s="27"/>
      <c r="DJ353" s="27"/>
      <c r="DK353" s="27"/>
      <c r="DL353" s="27"/>
      <c r="DM353" s="27">
        <v>1.21</v>
      </c>
      <c r="DN353" s="27">
        <v>1.2</v>
      </c>
      <c r="DO353" s="27"/>
      <c r="DP353" s="27"/>
      <c r="DQ353" s="27">
        <v>0.53</v>
      </c>
      <c r="DR353" s="27">
        <v>0.45</v>
      </c>
      <c r="DS353" s="27">
        <v>0</v>
      </c>
      <c r="DT353" s="26">
        <v>0</v>
      </c>
    </row>
    <row r="354" spans="1:124" x14ac:dyDescent="0.2">
      <c r="A354" s="10">
        <v>42944</v>
      </c>
      <c r="B354" s="9" t="s">
        <v>406</v>
      </c>
      <c r="C354" s="9" t="s">
        <v>414</v>
      </c>
      <c r="D354" s="9" t="s">
        <v>416</v>
      </c>
      <c r="E354" s="9">
        <v>9</v>
      </c>
      <c r="F354" s="11">
        <v>99.6</v>
      </c>
      <c r="G354" s="11">
        <v>560.98</v>
      </c>
      <c r="H354" s="11">
        <v>6.6</v>
      </c>
      <c r="I354" s="9">
        <v>89.32</v>
      </c>
      <c r="J354" s="9">
        <v>0</v>
      </c>
      <c r="K354" s="9">
        <v>1.61</v>
      </c>
      <c r="L354" s="9">
        <v>0.49</v>
      </c>
      <c r="M354" s="9">
        <v>2.21</v>
      </c>
      <c r="N354" s="9">
        <v>0</v>
      </c>
      <c r="O354" s="9">
        <v>6.31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56.24</v>
      </c>
      <c r="V354" s="9">
        <v>1.47</v>
      </c>
      <c r="W354" s="9">
        <v>0.02</v>
      </c>
      <c r="X354" s="9">
        <v>0.06</v>
      </c>
      <c r="Y354" s="9">
        <v>0</v>
      </c>
      <c r="Z354" s="9">
        <v>0</v>
      </c>
      <c r="AM354" s="9">
        <v>1</v>
      </c>
      <c r="AN354" s="9">
        <v>1</v>
      </c>
      <c r="AO354" s="9">
        <v>90</v>
      </c>
      <c r="AP354" s="9">
        <v>6</v>
      </c>
      <c r="AQ354" s="9">
        <f>0.26*2+0.03</f>
        <v>0.55000000000000004</v>
      </c>
      <c r="AR354" s="9">
        <v>1</v>
      </c>
      <c r="AS354" s="9">
        <v>55</v>
      </c>
      <c r="AT354" s="9">
        <v>3</v>
      </c>
      <c r="AU354" s="9">
        <v>0.39</v>
      </c>
      <c r="AV354" s="9">
        <v>2</v>
      </c>
      <c r="BQ354" s="9">
        <v>1</v>
      </c>
      <c r="BR354" s="9">
        <v>85</v>
      </c>
      <c r="BS354" s="9">
        <v>3</v>
      </c>
      <c r="BT354" s="9">
        <f>0.18+0.39+0.02</f>
        <v>0.59000000000000008</v>
      </c>
      <c r="BU354" s="9">
        <v>2</v>
      </c>
      <c r="DB354" s="11">
        <v>0</v>
      </c>
      <c r="DC354" s="11">
        <v>0</v>
      </c>
      <c r="DD354" s="11"/>
      <c r="DE354" s="11"/>
      <c r="DF354" s="11"/>
      <c r="DG354" s="11"/>
      <c r="DH354" s="11"/>
      <c r="DI354" s="11"/>
      <c r="DJ354" s="11"/>
      <c r="DK354" s="11"/>
      <c r="DL354" s="11"/>
      <c r="DM354" s="11">
        <v>0.02</v>
      </c>
      <c r="DN354" s="11">
        <v>0.02</v>
      </c>
      <c r="DO354" s="11"/>
      <c r="DP354" s="11"/>
      <c r="DQ354" s="11">
        <v>0.96</v>
      </c>
      <c r="DR354" s="11">
        <v>0</v>
      </c>
      <c r="DS354" s="11">
        <v>0</v>
      </c>
      <c r="DT354" s="9">
        <v>1</v>
      </c>
    </row>
    <row r="355" spans="1:124" x14ac:dyDescent="0.2">
      <c r="A355" s="10">
        <v>42944</v>
      </c>
      <c r="B355" s="9" t="s">
        <v>406</v>
      </c>
      <c r="C355" s="9" t="s">
        <v>414</v>
      </c>
      <c r="D355" s="9" t="s">
        <v>417</v>
      </c>
      <c r="E355" s="9">
        <v>49.5</v>
      </c>
      <c r="F355" s="11">
        <v>119.9</v>
      </c>
      <c r="G355" s="11">
        <v>99</v>
      </c>
      <c r="H355" s="11">
        <v>32.4</v>
      </c>
      <c r="I355" s="9">
        <v>65.09</v>
      </c>
      <c r="J355" s="9">
        <v>0</v>
      </c>
      <c r="K355" s="9">
        <v>1.99</v>
      </c>
      <c r="L355" s="9">
        <v>3.4</v>
      </c>
      <c r="M355" s="9">
        <v>33.9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2.15</v>
      </c>
      <c r="U355" s="9">
        <v>28.92</v>
      </c>
      <c r="V355" s="9">
        <v>5.9</v>
      </c>
      <c r="W355" s="9">
        <v>31.04</v>
      </c>
      <c r="X355" s="9">
        <v>0</v>
      </c>
      <c r="Y355" s="9">
        <v>0</v>
      </c>
      <c r="Z355" s="9">
        <v>0</v>
      </c>
      <c r="AM355" s="9">
        <v>1.8</v>
      </c>
      <c r="AN355" s="9">
        <v>1</v>
      </c>
      <c r="AO355" s="9">
        <v>23</v>
      </c>
      <c r="AP355" s="9">
        <v>4</v>
      </c>
      <c r="AQ355" s="9">
        <v>2.91</v>
      </c>
      <c r="AR355" s="9">
        <v>3</v>
      </c>
      <c r="BQ355" s="9">
        <v>1</v>
      </c>
      <c r="BR355" s="9">
        <v>40</v>
      </c>
      <c r="BS355" s="9">
        <v>3</v>
      </c>
      <c r="BT355" s="9">
        <v>2.5499999999999998</v>
      </c>
      <c r="BU355" s="9">
        <v>1</v>
      </c>
      <c r="DB355" s="11">
        <v>3.09</v>
      </c>
      <c r="DC355" s="11">
        <v>1</v>
      </c>
      <c r="DD355" s="11">
        <v>2</v>
      </c>
      <c r="DE355" s="11"/>
      <c r="DF355" s="11">
        <f>1.82*2</f>
        <v>3.64</v>
      </c>
      <c r="DG355" s="11"/>
      <c r="DH355" s="11"/>
      <c r="DI355" s="11"/>
      <c r="DJ355" s="11"/>
      <c r="DK355" s="11"/>
      <c r="DL355" s="11"/>
      <c r="DM355" s="11">
        <v>11.81</v>
      </c>
      <c r="DN355" s="11">
        <v>7.83</v>
      </c>
      <c r="DO355" s="11"/>
      <c r="DP355" s="11"/>
      <c r="DQ355" s="11">
        <v>0</v>
      </c>
      <c r="DR355" s="11">
        <v>0</v>
      </c>
      <c r="DS355" s="11">
        <v>0</v>
      </c>
      <c r="DT355" s="9">
        <v>0</v>
      </c>
    </row>
    <row r="356" spans="1:124" x14ac:dyDescent="0.2">
      <c r="A356" s="10">
        <v>42944</v>
      </c>
      <c r="B356" s="9" t="s">
        <v>406</v>
      </c>
      <c r="C356" s="9" t="s">
        <v>414</v>
      </c>
      <c r="D356" s="9" t="s">
        <v>418</v>
      </c>
      <c r="E356" s="9">
        <v>23.5</v>
      </c>
      <c r="F356" s="11">
        <v>99.2</v>
      </c>
      <c r="G356" s="11">
        <v>99</v>
      </c>
      <c r="H356" s="11">
        <v>5.3</v>
      </c>
      <c r="I356" s="9">
        <v>12.8</v>
      </c>
      <c r="J356" s="9">
        <v>0</v>
      </c>
      <c r="K356" s="9">
        <v>0.14000000000000001</v>
      </c>
      <c r="L356" s="9">
        <v>0</v>
      </c>
      <c r="M356" s="9">
        <v>1.75</v>
      </c>
      <c r="N356" s="9">
        <v>0</v>
      </c>
      <c r="O356" s="9">
        <v>85.3</v>
      </c>
      <c r="P356" s="9">
        <v>0</v>
      </c>
      <c r="Q356" s="9">
        <v>0</v>
      </c>
      <c r="R356" s="9">
        <v>1.03</v>
      </c>
      <c r="S356" s="9">
        <v>0</v>
      </c>
      <c r="T356" s="9">
        <v>0</v>
      </c>
      <c r="U356" s="9">
        <v>83.09</v>
      </c>
      <c r="V356" s="9">
        <v>3.01</v>
      </c>
      <c r="W356" s="9">
        <v>1.49</v>
      </c>
      <c r="X356" s="9">
        <v>0</v>
      </c>
      <c r="Y356" s="9">
        <v>0</v>
      </c>
      <c r="Z356" s="9">
        <v>0</v>
      </c>
      <c r="AM356" s="9">
        <v>0</v>
      </c>
      <c r="AN356" s="9">
        <v>0</v>
      </c>
      <c r="BQ356" s="9">
        <v>1</v>
      </c>
      <c r="BR356" s="9">
        <v>60</v>
      </c>
      <c r="BS356" s="9">
        <v>1</v>
      </c>
      <c r="BT356" s="9">
        <v>0.03</v>
      </c>
      <c r="BU356" s="9">
        <v>3</v>
      </c>
      <c r="DB356" s="11">
        <v>0</v>
      </c>
      <c r="DC356" s="11">
        <v>0</v>
      </c>
      <c r="DD356" s="11"/>
      <c r="DE356" s="11"/>
      <c r="DF356" s="11"/>
      <c r="DG356" s="11"/>
      <c r="DH356" s="11"/>
      <c r="DI356" s="11"/>
      <c r="DJ356" s="11"/>
      <c r="DK356" s="11"/>
      <c r="DL356" s="11"/>
      <c r="DM356" s="11">
        <v>17.03</v>
      </c>
      <c r="DN356" s="11">
        <v>80.41</v>
      </c>
      <c r="DO356" s="11"/>
      <c r="DP356" s="11"/>
      <c r="DQ356" s="11">
        <v>0.97</v>
      </c>
      <c r="DR356" s="11">
        <v>0</v>
      </c>
      <c r="DS356" s="11">
        <v>0</v>
      </c>
      <c r="DT356" s="9">
        <v>1</v>
      </c>
    </row>
    <row r="357" spans="1:124" x14ac:dyDescent="0.2">
      <c r="A357" s="10">
        <v>42944</v>
      </c>
      <c r="B357" s="9" t="s">
        <v>406</v>
      </c>
      <c r="C357" s="9" t="s">
        <v>414</v>
      </c>
      <c r="D357" s="9" t="s">
        <v>419</v>
      </c>
      <c r="E357" s="9">
        <v>26</v>
      </c>
      <c r="F357" s="11">
        <v>87.5</v>
      </c>
      <c r="G357" s="11">
        <v>99</v>
      </c>
      <c r="H357" s="11">
        <v>12.5</v>
      </c>
      <c r="I357" s="9">
        <v>84.55</v>
      </c>
      <c r="J357" s="9">
        <v>0</v>
      </c>
      <c r="K357" s="9">
        <v>2.29</v>
      </c>
      <c r="L357" s="9">
        <v>2.39</v>
      </c>
      <c r="M357" s="9">
        <v>1.61</v>
      </c>
      <c r="N357" s="9">
        <v>0</v>
      </c>
      <c r="O357" s="9">
        <v>9.16</v>
      </c>
      <c r="P357" s="9">
        <v>0</v>
      </c>
      <c r="Q357" s="9">
        <v>0</v>
      </c>
      <c r="R357" s="9">
        <v>0</v>
      </c>
      <c r="S357" s="9">
        <v>0</v>
      </c>
      <c r="T357" s="9">
        <v>4.5999999999999996</v>
      </c>
      <c r="U357" s="9">
        <v>1.19</v>
      </c>
      <c r="V357" s="9">
        <v>6.51</v>
      </c>
      <c r="W357" s="9">
        <v>0.03</v>
      </c>
      <c r="X357" s="9">
        <v>0</v>
      </c>
      <c r="Y357" s="9">
        <v>7</v>
      </c>
      <c r="Z357" s="9">
        <v>1</v>
      </c>
      <c r="AA357" s="9">
        <v>3</v>
      </c>
      <c r="AC357" s="9">
        <v>1</v>
      </c>
      <c r="AD357" s="9">
        <v>3.83</v>
      </c>
      <c r="AF357" s="9">
        <v>1</v>
      </c>
      <c r="AM357" s="9">
        <v>4.5</v>
      </c>
      <c r="AN357" s="9">
        <v>1</v>
      </c>
      <c r="AO357" s="9">
        <v>90</v>
      </c>
      <c r="AP357" s="9">
        <v>6</v>
      </c>
      <c r="AQ357" s="9">
        <f>0.48*2+0.03</f>
        <v>0.99</v>
      </c>
      <c r="AR357" s="9">
        <v>1</v>
      </c>
      <c r="BQ357" s="9">
        <v>1</v>
      </c>
      <c r="BR357" s="9">
        <v>55</v>
      </c>
      <c r="BS357" s="9">
        <v>1</v>
      </c>
      <c r="BT357" s="9">
        <v>0.55000000000000004</v>
      </c>
      <c r="BU357" s="9">
        <v>2</v>
      </c>
      <c r="BV357" s="9">
        <v>85</v>
      </c>
      <c r="BW357" s="9">
        <v>1</v>
      </c>
      <c r="BX357" s="9">
        <v>0.05</v>
      </c>
      <c r="BY357" s="9">
        <v>2</v>
      </c>
      <c r="DB357" s="11">
        <v>0</v>
      </c>
      <c r="DC357" s="11">
        <v>0</v>
      </c>
      <c r="DD357" s="11"/>
      <c r="DE357" s="11"/>
      <c r="DF357" s="11"/>
      <c r="DG357" s="11"/>
      <c r="DH357" s="11"/>
      <c r="DI357" s="11"/>
      <c r="DJ357" s="11"/>
      <c r="DK357" s="11"/>
      <c r="DL357" s="11"/>
      <c r="DM357" s="11">
        <v>0</v>
      </c>
      <c r="DN357" s="11">
        <v>0</v>
      </c>
      <c r="DO357" s="11"/>
      <c r="DP357" s="11"/>
      <c r="DQ357" s="11">
        <v>1.82</v>
      </c>
      <c r="DR357" s="11">
        <v>0</v>
      </c>
      <c r="DS357" s="11">
        <v>0</v>
      </c>
      <c r="DT357" s="9">
        <v>2</v>
      </c>
    </row>
    <row r="358" spans="1:124" x14ac:dyDescent="0.2">
      <c r="A358" s="10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</row>
    <row r="359" spans="1:124" x14ac:dyDescent="0.2">
      <c r="A359" s="10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</row>
    <row r="360" spans="1:124" x14ac:dyDescent="0.2">
      <c r="A360" s="10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</row>
    <row r="361" spans="1:124" x14ac:dyDescent="0.2">
      <c r="A361" s="10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</row>
    <row r="362" spans="1:124" x14ac:dyDescent="0.2">
      <c r="A362" s="10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</row>
    <row r="363" spans="1:124" x14ac:dyDescent="0.2">
      <c r="A363" s="10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</row>
    <row r="364" spans="1:124" x14ac:dyDescent="0.2">
      <c r="A364" s="10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</row>
    <row r="365" spans="1:124" x14ac:dyDescent="0.2">
      <c r="A365" s="10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</row>
    <row r="366" spans="1:124" x14ac:dyDescent="0.2">
      <c r="A366" s="10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</row>
    <row r="367" spans="1:124" x14ac:dyDescent="0.2">
      <c r="A367" s="10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</row>
    <row r="368" spans="1:124" x14ac:dyDescent="0.2">
      <c r="A368" s="10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</row>
    <row r="369" spans="1:123" x14ac:dyDescent="0.2">
      <c r="A369" s="10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</row>
    <row r="370" spans="1:123" x14ac:dyDescent="0.2">
      <c r="A370" s="10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</row>
    <row r="371" spans="1:123" x14ac:dyDescent="0.2">
      <c r="A371" s="10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</row>
    <row r="372" spans="1:123" x14ac:dyDescent="0.2">
      <c r="A372" s="10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</row>
    <row r="373" spans="1:123" x14ac:dyDescent="0.2">
      <c r="A373" s="10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</row>
    <row r="374" spans="1:123" x14ac:dyDescent="0.2">
      <c r="A374" s="10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</row>
    <row r="375" spans="1:123" x14ac:dyDescent="0.2">
      <c r="A375" s="10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</row>
    <row r="376" spans="1:123" x14ac:dyDescent="0.2">
      <c r="A376" s="10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</row>
    <row r="377" spans="1:123" x14ac:dyDescent="0.2">
      <c r="A377" s="10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</row>
    <row r="378" spans="1:123" x14ac:dyDescent="0.2">
      <c r="A378" s="10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</row>
    <row r="379" spans="1:123" x14ac:dyDescent="0.2">
      <c r="A379" s="10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</row>
    <row r="380" spans="1:123" x14ac:dyDescent="0.2">
      <c r="A380" s="10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</row>
    <row r="381" spans="1:123" x14ac:dyDescent="0.2">
      <c r="A381" s="10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</row>
    <row r="382" spans="1:123" x14ac:dyDescent="0.2">
      <c r="A382" s="10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</row>
    <row r="383" spans="1:123" x14ac:dyDescent="0.2">
      <c r="A383" s="10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</row>
    <row r="384" spans="1:123" x14ac:dyDescent="0.2">
      <c r="A384" s="10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</row>
    <row r="385" spans="1:123" x14ac:dyDescent="0.2">
      <c r="A385" s="10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</row>
    <row r="386" spans="1:123" x14ac:dyDescent="0.2">
      <c r="A386" s="10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</row>
    <row r="387" spans="1:123" x14ac:dyDescent="0.2">
      <c r="A387" s="10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</row>
    <row r="388" spans="1:123" x14ac:dyDescent="0.2">
      <c r="A388" s="10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</row>
    <row r="389" spans="1:123" x14ac:dyDescent="0.2">
      <c r="A389" s="10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</row>
    <row r="390" spans="1:123" x14ac:dyDescent="0.2">
      <c r="A390" s="10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</row>
    <row r="391" spans="1:123" x14ac:dyDescent="0.2">
      <c r="A391" s="10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</row>
    <row r="392" spans="1:123" x14ac:dyDescent="0.2">
      <c r="A392" s="10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</row>
    <row r="393" spans="1:123" x14ac:dyDescent="0.2">
      <c r="A393" s="10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</row>
    <row r="394" spans="1:123" x14ac:dyDescent="0.2">
      <c r="A394" s="10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</row>
    <row r="395" spans="1:123" x14ac:dyDescent="0.2">
      <c r="A395" s="10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</row>
    <row r="396" spans="1:123" x14ac:dyDescent="0.2">
      <c r="A396" s="10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</row>
    <row r="397" spans="1:123" x14ac:dyDescent="0.2">
      <c r="A397" s="10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</row>
    <row r="398" spans="1:123" x14ac:dyDescent="0.2">
      <c r="A398" s="10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</row>
    <row r="399" spans="1:123" x14ac:dyDescent="0.2">
      <c r="A399" s="10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</row>
    <row r="400" spans="1:123" x14ac:dyDescent="0.2">
      <c r="A400" s="10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</row>
    <row r="401" spans="1:123" x14ac:dyDescent="0.2">
      <c r="A401" s="10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</row>
    <row r="402" spans="1:123" x14ac:dyDescent="0.2">
      <c r="A402" s="10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</row>
    <row r="403" spans="1:123" x14ac:dyDescent="0.2">
      <c r="A403" s="10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</row>
    <row r="404" spans="1:123" x14ac:dyDescent="0.2">
      <c r="A404" s="10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</row>
    <row r="405" spans="1:123" x14ac:dyDescent="0.2">
      <c r="A405" s="10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</row>
    <row r="406" spans="1:123" x14ac:dyDescent="0.2">
      <c r="A406" s="10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</row>
    <row r="407" spans="1:123" x14ac:dyDescent="0.2">
      <c r="A407" s="10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</row>
    <row r="408" spans="1:123" x14ac:dyDescent="0.2">
      <c r="A408" s="10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</row>
    <row r="409" spans="1:123" x14ac:dyDescent="0.2">
      <c r="A409" s="10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</row>
    <row r="410" spans="1:123" x14ac:dyDescent="0.2">
      <c r="A410" s="10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</row>
    <row r="411" spans="1:123" x14ac:dyDescent="0.2">
      <c r="A411" s="10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</row>
    <row r="412" spans="1:123" x14ac:dyDescent="0.2">
      <c r="A412" s="10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</row>
    <row r="413" spans="1:123" x14ac:dyDescent="0.2">
      <c r="A413" s="10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</row>
    <row r="414" spans="1:123" x14ac:dyDescent="0.2">
      <c r="A414" s="10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</row>
    <row r="415" spans="1:123" x14ac:dyDescent="0.2">
      <c r="A415" s="10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</row>
    <row r="416" spans="1:123" x14ac:dyDescent="0.2">
      <c r="A416" s="10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</row>
    <row r="417" spans="1:123" x14ac:dyDescent="0.2">
      <c r="A417" s="10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</row>
    <row r="418" spans="1:123" x14ac:dyDescent="0.2">
      <c r="A418" s="10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</row>
    <row r="419" spans="1:123" x14ac:dyDescent="0.2">
      <c r="A419" s="10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</row>
    <row r="420" spans="1:123" x14ac:dyDescent="0.2">
      <c r="A420" s="10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</row>
    <row r="421" spans="1:123" x14ac:dyDescent="0.2">
      <c r="A421" s="10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</row>
    <row r="422" spans="1:123" x14ac:dyDescent="0.2">
      <c r="A422" s="10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</row>
    <row r="423" spans="1:123" x14ac:dyDescent="0.2">
      <c r="A423" s="10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</row>
    <row r="424" spans="1:123" x14ac:dyDescent="0.2">
      <c r="A424" s="10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</row>
    <row r="425" spans="1:123" x14ac:dyDescent="0.2">
      <c r="A425" s="10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</row>
    <row r="426" spans="1:123" x14ac:dyDescent="0.2">
      <c r="A426" s="10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</row>
    <row r="427" spans="1:123" x14ac:dyDescent="0.2">
      <c r="A427" s="10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</row>
    <row r="428" spans="1:123" x14ac:dyDescent="0.2">
      <c r="A428" s="10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</row>
    <row r="429" spans="1:123" x14ac:dyDescent="0.2">
      <c r="A429" s="10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</row>
    <row r="430" spans="1:123" x14ac:dyDescent="0.2">
      <c r="A430" s="10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</row>
    <row r="431" spans="1:123" x14ac:dyDescent="0.2">
      <c r="A431" s="10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</row>
    <row r="432" spans="1:123" x14ac:dyDescent="0.2">
      <c r="A432" s="10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</row>
    <row r="433" spans="1:123" x14ac:dyDescent="0.2">
      <c r="A433" s="10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</row>
    <row r="434" spans="1:123" x14ac:dyDescent="0.2">
      <c r="A434" s="10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</row>
    <row r="435" spans="1:123" x14ac:dyDescent="0.2">
      <c r="A435" s="10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</row>
    <row r="436" spans="1:123" x14ac:dyDescent="0.2">
      <c r="A436" s="10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</row>
    <row r="437" spans="1:123" x14ac:dyDescent="0.2">
      <c r="A437" s="10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</row>
    <row r="438" spans="1:123" x14ac:dyDescent="0.2">
      <c r="A438" s="10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</row>
    <row r="439" spans="1:123" x14ac:dyDescent="0.2">
      <c r="A439" s="10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</row>
    <row r="440" spans="1:123" x14ac:dyDescent="0.2">
      <c r="A440" s="10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</row>
    <row r="441" spans="1:123" x14ac:dyDescent="0.2">
      <c r="A441" s="10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</row>
    <row r="442" spans="1:123" x14ac:dyDescent="0.2">
      <c r="A442" s="10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</row>
    <row r="443" spans="1:123" x14ac:dyDescent="0.2">
      <c r="A443" s="10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</row>
    <row r="444" spans="1:123" x14ac:dyDescent="0.2">
      <c r="A444" s="10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</row>
    <row r="445" spans="1:123" x14ac:dyDescent="0.2">
      <c r="A445" s="10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</row>
    <row r="446" spans="1:123" x14ac:dyDescent="0.2">
      <c r="A446" s="10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</row>
    <row r="447" spans="1:123" x14ac:dyDescent="0.2">
      <c r="A447" s="10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</row>
    <row r="448" spans="1:123" x14ac:dyDescent="0.2">
      <c r="A448" s="10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</row>
    <row r="449" spans="1:123" x14ac:dyDescent="0.2">
      <c r="A449" s="10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</row>
    <row r="450" spans="1:123" x14ac:dyDescent="0.2">
      <c r="A450" s="10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</row>
    <row r="451" spans="1:123" x14ac:dyDescent="0.2">
      <c r="A451" s="10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</row>
    <row r="452" spans="1:123" x14ac:dyDescent="0.2">
      <c r="A452" s="10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</row>
    <row r="453" spans="1:123" x14ac:dyDescent="0.2">
      <c r="A453" s="10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</row>
    <row r="454" spans="1:123" x14ac:dyDescent="0.2">
      <c r="A454" s="10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</row>
    <row r="455" spans="1:123" x14ac:dyDescent="0.2">
      <c r="A455" s="10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</row>
    <row r="456" spans="1:123" x14ac:dyDescent="0.2">
      <c r="A456" s="10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</row>
    <row r="457" spans="1:123" x14ac:dyDescent="0.2">
      <c r="A457" s="10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</row>
    <row r="458" spans="1:123" x14ac:dyDescent="0.2">
      <c r="A458" s="10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</row>
    <row r="459" spans="1:123" x14ac:dyDescent="0.2">
      <c r="A459" s="10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</row>
    <row r="460" spans="1:123" x14ac:dyDescent="0.2">
      <c r="A460" s="10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</row>
    <row r="461" spans="1:123" x14ac:dyDescent="0.2">
      <c r="A461" s="10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</row>
    <row r="462" spans="1:123" x14ac:dyDescent="0.2">
      <c r="A462" s="10"/>
    </row>
    <row r="463" spans="1:123" x14ac:dyDescent="0.2">
      <c r="A463" s="10"/>
    </row>
    <row r="464" spans="1:123" x14ac:dyDescent="0.2">
      <c r="A464" s="10"/>
    </row>
    <row r="465" spans="1:1" x14ac:dyDescent="0.2">
      <c r="A465" s="10"/>
    </row>
    <row r="466" spans="1:1" x14ac:dyDescent="0.2">
      <c r="A466" s="10"/>
    </row>
    <row r="467" spans="1:1" x14ac:dyDescent="0.2">
      <c r="A467" s="10"/>
    </row>
    <row r="468" spans="1:1" x14ac:dyDescent="0.2">
      <c r="A468" s="10"/>
    </row>
    <row r="469" spans="1:1" x14ac:dyDescent="0.2">
      <c r="A469" s="10"/>
    </row>
    <row r="470" spans="1:1" x14ac:dyDescent="0.2">
      <c r="A470" s="10"/>
    </row>
    <row r="471" spans="1:1" x14ac:dyDescent="0.2">
      <c r="A471" s="10"/>
    </row>
    <row r="472" spans="1:1" x14ac:dyDescent="0.2">
      <c r="A472" s="10"/>
    </row>
    <row r="473" spans="1:1" x14ac:dyDescent="0.2">
      <c r="A473" s="10"/>
    </row>
    <row r="474" spans="1:1" x14ac:dyDescent="0.2">
      <c r="A474" s="10"/>
    </row>
    <row r="475" spans="1:1" x14ac:dyDescent="0.2">
      <c r="A475" s="10"/>
    </row>
    <row r="476" spans="1:1" x14ac:dyDescent="0.2">
      <c r="A476" s="10"/>
    </row>
    <row r="477" spans="1:1" x14ac:dyDescent="0.2">
      <c r="A477" s="10"/>
    </row>
    <row r="478" spans="1:1" x14ac:dyDescent="0.2">
      <c r="A478" s="10"/>
    </row>
    <row r="479" spans="1:1" x14ac:dyDescent="0.2">
      <c r="A479" s="10"/>
    </row>
    <row r="480" spans="1:1" x14ac:dyDescent="0.2">
      <c r="A480" s="10"/>
    </row>
    <row r="481" spans="1:1" x14ac:dyDescent="0.2">
      <c r="A481" s="10"/>
    </row>
    <row r="482" spans="1:1" x14ac:dyDescent="0.2">
      <c r="A482" s="10"/>
    </row>
    <row r="483" spans="1:1" x14ac:dyDescent="0.2">
      <c r="A483" s="10"/>
    </row>
    <row r="484" spans="1:1" x14ac:dyDescent="0.2">
      <c r="A484" s="10"/>
    </row>
    <row r="485" spans="1:1" x14ac:dyDescent="0.2">
      <c r="A485" s="10"/>
    </row>
    <row r="486" spans="1:1" x14ac:dyDescent="0.2">
      <c r="A486" s="10"/>
    </row>
    <row r="487" spans="1:1" x14ac:dyDescent="0.2">
      <c r="A487" s="10"/>
    </row>
    <row r="488" spans="1:1" x14ac:dyDescent="0.2">
      <c r="A488" s="10"/>
    </row>
    <row r="489" spans="1:1" x14ac:dyDescent="0.2">
      <c r="A489" s="10"/>
    </row>
    <row r="490" spans="1:1" x14ac:dyDescent="0.2">
      <c r="A490" s="10"/>
    </row>
    <row r="491" spans="1:1" x14ac:dyDescent="0.2">
      <c r="A491" s="10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32" sqref="B32"/>
    </sheetView>
  </sheetViews>
  <sheetFormatPr defaultRowHeight="14.25" x14ac:dyDescent="0.2"/>
  <cols>
    <col min="1" max="1" width="20.25" customWidth="1"/>
    <col min="2" max="2" width="66.125" bestFit="1" customWidth="1"/>
  </cols>
  <sheetData>
    <row r="1" spans="1:2" ht="15" x14ac:dyDescent="0.25">
      <c r="A1" s="1" t="s">
        <v>4</v>
      </c>
    </row>
    <row r="2" spans="1:2" ht="15" x14ac:dyDescent="0.25">
      <c r="A2" s="1"/>
    </row>
    <row r="3" spans="1:2" x14ac:dyDescent="0.2">
      <c r="A3" s="6" t="s">
        <v>0</v>
      </c>
      <c r="B3" s="2" t="s">
        <v>7</v>
      </c>
    </row>
    <row r="4" spans="1:2" x14ac:dyDescent="0.2">
      <c r="A4" s="6" t="s">
        <v>1</v>
      </c>
      <c r="B4" s="2" t="s">
        <v>8</v>
      </c>
    </row>
    <row r="5" spans="1:2" x14ac:dyDescent="0.2">
      <c r="A5" s="6" t="s">
        <v>2</v>
      </c>
      <c r="B5" s="2" t="s">
        <v>6</v>
      </c>
    </row>
    <row r="6" spans="1:2" x14ac:dyDescent="0.2">
      <c r="A6" s="7" t="s">
        <v>3</v>
      </c>
      <c r="B6" s="3" t="s">
        <v>5</v>
      </c>
    </row>
    <row r="7" spans="1:2" x14ac:dyDescent="0.2">
      <c r="A7" s="6" t="s">
        <v>9</v>
      </c>
      <c r="B7" s="2" t="s">
        <v>20</v>
      </c>
    </row>
    <row r="8" spans="1:2" x14ac:dyDescent="0.2">
      <c r="A8" s="6" t="s">
        <v>10</v>
      </c>
      <c r="B8" s="2" t="s">
        <v>21</v>
      </c>
    </row>
    <row r="9" spans="1:2" x14ac:dyDescent="0.2">
      <c r="A9" s="6" t="s">
        <v>11</v>
      </c>
      <c r="B9" s="2" t="s">
        <v>22</v>
      </c>
    </row>
    <row r="10" spans="1:2" x14ac:dyDescent="0.2">
      <c r="A10" s="6" t="s">
        <v>12</v>
      </c>
      <c r="B10" s="2" t="s">
        <v>23</v>
      </c>
    </row>
    <row r="11" spans="1:2" x14ac:dyDescent="0.2">
      <c r="A11" s="6" t="s">
        <v>44</v>
      </c>
      <c r="B11" s="2" t="s">
        <v>24</v>
      </c>
    </row>
    <row r="12" spans="1:2" x14ac:dyDescent="0.2">
      <c r="A12" s="6" t="s">
        <v>13</v>
      </c>
      <c r="B12" s="2" t="s">
        <v>25</v>
      </c>
    </row>
    <row r="13" spans="1:2" x14ac:dyDescent="0.2">
      <c r="A13" s="6" t="s">
        <v>14</v>
      </c>
      <c r="B13" s="2" t="s">
        <v>26</v>
      </c>
    </row>
    <row r="14" spans="1:2" x14ac:dyDescent="0.2">
      <c r="A14" s="6" t="s">
        <v>15</v>
      </c>
      <c r="B14" s="2" t="s">
        <v>27</v>
      </c>
    </row>
    <row r="15" spans="1:2" x14ac:dyDescent="0.2">
      <c r="A15" s="6" t="s">
        <v>16</v>
      </c>
      <c r="B15" s="2" t="s">
        <v>28</v>
      </c>
    </row>
    <row r="16" spans="1:2" x14ac:dyDescent="0.2">
      <c r="A16" s="6" t="s">
        <v>17</v>
      </c>
      <c r="B16" s="2" t="s">
        <v>29</v>
      </c>
    </row>
    <row r="17" spans="1:2" x14ac:dyDescent="0.2">
      <c r="A17" s="8" t="s">
        <v>18</v>
      </c>
      <c r="B17" s="4" t="s">
        <v>31</v>
      </c>
    </row>
    <row r="18" spans="1:2" x14ac:dyDescent="0.2">
      <c r="A18" s="6" t="s">
        <v>19</v>
      </c>
      <c r="B18" s="2" t="s">
        <v>30</v>
      </c>
    </row>
    <row r="19" spans="1:2" x14ac:dyDescent="0.2">
      <c r="A19" s="6" t="s">
        <v>32</v>
      </c>
      <c r="B19" s="4" t="s">
        <v>35</v>
      </c>
    </row>
    <row r="20" spans="1:2" x14ac:dyDescent="0.2">
      <c r="A20" s="6" t="s">
        <v>33</v>
      </c>
      <c r="B20" s="4" t="s">
        <v>34</v>
      </c>
    </row>
    <row r="21" spans="1:2" ht="42.75" x14ac:dyDescent="0.2">
      <c r="A21" s="6" t="s">
        <v>36</v>
      </c>
      <c r="B21" s="5" t="s">
        <v>38</v>
      </c>
    </row>
    <row r="22" spans="1:2" x14ac:dyDescent="0.2">
      <c r="A22" s="6" t="s">
        <v>42</v>
      </c>
      <c r="B22" s="2" t="s">
        <v>39</v>
      </c>
    </row>
    <row r="23" spans="1:2" ht="42.75" x14ac:dyDescent="0.2">
      <c r="A23" s="6" t="s">
        <v>37</v>
      </c>
      <c r="B23" s="5" t="s">
        <v>40</v>
      </c>
    </row>
    <row r="24" spans="1:2" x14ac:dyDescent="0.2">
      <c r="A24" s="6" t="s">
        <v>43</v>
      </c>
      <c r="B24" s="2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de dados</vt:lpstr>
      <vt:lpstr>descrição_variaveis</vt:lpstr>
    </vt:vector>
  </TitlesOfParts>
  <Company>Volkswagen Autoeuropa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Frodo</dc:creator>
  <cp:lastModifiedBy>Assuncao, Ana</cp:lastModifiedBy>
  <dcterms:created xsi:type="dcterms:W3CDTF">2016-11-03T08:02:27Z</dcterms:created>
  <dcterms:modified xsi:type="dcterms:W3CDTF">2018-11-22T13:41:08Z</dcterms:modified>
</cp:coreProperties>
</file>