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Commands" sheetId="1" r:id="rId1"/>
    <sheet name="Link Timing" sheetId="3" r:id="rId2"/>
    <sheet name="Misc." sheetId="2" r:id="rId3"/>
  </sheets>
  <definedNames>
    <definedName name="_xlnm.Print_Area" localSheetId="0">Commands!$A$1:$N$58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B29" i="3"/>
  <c r="B28" i="3"/>
  <c r="B26" i="3"/>
  <c r="B18" i="3"/>
  <c r="B19" i="3" s="1"/>
  <c r="B22" i="3" s="1"/>
  <c r="B21" i="3" l="1"/>
  <c r="F5" i="3"/>
  <c r="F4" i="3"/>
  <c r="B14" i="3" s="1"/>
  <c r="B5" i="3"/>
  <c r="B4" i="3"/>
  <c r="B2" i="3"/>
  <c r="F1" i="3" s="1"/>
  <c r="B1" i="3"/>
  <c r="D11" i="3" l="1"/>
  <c r="B7" i="3"/>
  <c r="E14" i="3" s="1"/>
  <c r="E13" i="3" s="1"/>
  <c r="B11" i="3"/>
  <c r="C11" i="3"/>
  <c r="D12" i="3"/>
  <c r="B12" i="3"/>
  <c r="H29" i="2"/>
  <c r="H28" i="2"/>
  <c r="H25" i="2"/>
  <c r="H24" i="2"/>
  <c r="H23" i="2"/>
  <c r="B38" i="2"/>
  <c r="C29" i="2"/>
  <c r="C30" i="2"/>
  <c r="B26" i="2"/>
  <c r="H4" i="2"/>
  <c r="H3" i="2"/>
  <c r="H2" i="2"/>
  <c r="B20" i="2"/>
  <c r="C11" i="2"/>
  <c r="C6" i="2"/>
  <c r="B14" i="2"/>
  <c r="C4" i="2"/>
  <c r="C9" i="2"/>
  <c r="C5" i="2"/>
  <c r="C39" i="1" l="1"/>
  <c r="E12" i="1"/>
  <c r="E10" i="1"/>
  <c r="E11" i="1"/>
  <c r="C22" i="1"/>
  <c r="E22" i="1" s="1"/>
  <c r="C20" i="1"/>
  <c r="E20" i="1" s="1"/>
  <c r="C19" i="1"/>
  <c r="E19" i="1" s="1"/>
  <c r="C18" i="1"/>
  <c r="E18" i="1" s="1"/>
  <c r="C21" i="1" l="1"/>
  <c r="E21" i="1" s="1"/>
</calcChain>
</file>

<file path=xl/sharedStrings.xml><?xml version="1.0" encoding="utf-8"?>
<sst xmlns="http://schemas.openxmlformats.org/spreadsheetml/2006/main" count="208" uniqueCount="144">
  <si>
    <t>Targets</t>
  </si>
  <si>
    <t>Lowest Data Rates (longer is better)</t>
  </si>
  <si>
    <t>Constraints</t>
  </si>
  <si>
    <t>BLF_Min (Tag)</t>
  </si>
  <si>
    <t>kHz</t>
  </si>
  <si>
    <t>Tari_Max(Reader)</t>
  </si>
  <si>
    <t>us</t>
  </si>
  <si>
    <t>Calculated Symbols</t>
  </si>
  <si>
    <t>Tari</t>
  </si>
  <si>
    <t>PW</t>
  </si>
  <si>
    <t>Selected Symbols</t>
  </si>
  <si>
    <t>Delimiter</t>
  </si>
  <si>
    <t>Value</t>
  </si>
  <si>
    <t>Units</t>
  </si>
  <si>
    <t>Spec</t>
  </si>
  <si>
    <t>Notes</t>
  </si>
  <si>
    <t>Data0-High</t>
  </si>
  <si>
    <t>Data1-High</t>
  </si>
  <si>
    <t>RTCal-High</t>
  </si>
  <si>
    <t>TRCal-High</t>
  </si>
  <si>
    <t>DR</t>
  </si>
  <si>
    <t>(DR=8)</t>
  </si>
  <si>
    <t>BLF</t>
  </si>
  <si>
    <t>M</t>
  </si>
  <si>
    <t>(FM0)</t>
  </si>
  <si>
    <t>CC1175 Symbol Size</t>
  </si>
  <si>
    <t>-</t>
  </si>
  <si>
    <t>#Sym</t>
  </si>
  <si>
    <t>&lt;- spec: [6.25-25.0]</t>
  </si>
  <si>
    <t>Uhf-Id Procedure</t>
  </si>
  <si>
    <t>Select (Action Assert S3 elese De-Assert)</t>
  </si>
  <si>
    <t>Query(S3:B)</t>
  </si>
  <si>
    <t>Select Command</t>
  </si>
  <si>
    <t>Size(bits)</t>
  </si>
  <si>
    <t>Command</t>
  </si>
  <si>
    <t>1010b</t>
  </si>
  <si>
    <t>Target</t>
  </si>
  <si>
    <t>011b</t>
  </si>
  <si>
    <t>S3</t>
  </si>
  <si>
    <t>Action</t>
  </si>
  <si>
    <t>000b</t>
  </si>
  <si>
    <t>A else B</t>
  </si>
  <si>
    <t>MemBank</t>
  </si>
  <si>
    <t>01b</t>
  </si>
  <si>
    <t>UII</t>
  </si>
  <si>
    <t>Pointer</t>
  </si>
  <si>
    <t>0</t>
  </si>
  <si>
    <t>Address in Bank</t>
  </si>
  <si>
    <t>Length</t>
  </si>
  <si>
    <t>16</t>
  </si>
  <si>
    <t>Length(bits)</t>
  </si>
  <si>
    <t>Mask</t>
  </si>
  <si>
    <t>tbs.</t>
  </si>
  <si>
    <t>Tag Selection Value (e.g. 0x1234)</t>
  </si>
  <si>
    <t>Truncate</t>
  </si>
  <si>
    <t>Disabled Truncation</t>
  </si>
  <si>
    <t>CRC-16</t>
  </si>
  <si>
    <t>std.</t>
  </si>
  <si>
    <t>CRC  used is x^16 + x^12 + x^5 + x^0</t>
  </si>
  <si>
    <t>Total</t>
  </si>
  <si>
    <t>Output</t>
  </si>
  <si>
    <t>0b 1010 100 000 01 00000000 00001000 XXXXXXXX XXXXXXXX 0 YYYYYYYY YYYYYYYY</t>
  </si>
  <si>
    <t>Field</t>
  </si>
  <si>
    <t>0b 1000 0 0 1000 00 11 1 0000 XXXX</t>
  </si>
  <si>
    <t>CRC used is is x^5+x^3+x^0</t>
  </si>
  <si>
    <t>CRC-5</t>
  </si>
  <si>
    <t>DNC</t>
  </si>
  <si>
    <t>0b0000</t>
  </si>
  <si>
    <t>Q</t>
  </si>
  <si>
    <t>B flag, applied by Select command</t>
  </si>
  <si>
    <t>0b1</t>
  </si>
  <si>
    <t>S3, Shortest Persistence (2s)</t>
  </si>
  <si>
    <t>0b11</t>
  </si>
  <si>
    <t>Session</t>
  </si>
  <si>
    <t>SL, All</t>
  </si>
  <si>
    <t>0b00</t>
  </si>
  <si>
    <t>Sel</t>
  </si>
  <si>
    <t>Enabled</t>
  </si>
  <si>
    <t>0b1000</t>
  </si>
  <si>
    <t>Trext</t>
  </si>
  <si>
    <t>M=1 (FM0)</t>
  </si>
  <si>
    <t>0b0</t>
  </si>
  <si>
    <t>DR=8</t>
  </si>
  <si>
    <t>Query Comand</t>
  </si>
  <si>
    <t>(6/6/17)</t>
  </si>
  <si>
    <t>&lt;- allowing integer-n generation of all</t>
  </si>
  <si>
    <t xml:space="preserve">     symbols, spec is [2.0-13.125]</t>
  </si>
  <si>
    <t>Q: what is CRC here?</t>
  </si>
  <si>
    <t>1000 0 00 1 00 11 1 0000</t>
  </si>
  <si>
    <t>Query</t>
  </si>
  <si>
    <t>22bits</t>
  </si>
  <si>
    <t>Pre</t>
  </si>
  <si>
    <t>Del+D0+RTCal+TRCal</t>
  </si>
  <si>
    <t>tr</t>
  </si>
  <si>
    <t>rt</t>
  </si>
  <si>
    <t>d0</t>
  </si>
  <si>
    <t>del</t>
  </si>
  <si>
    <t>d1</t>
  </si>
  <si>
    <t>Tpri</t>
  </si>
  <si>
    <t>T2</t>
  </si>
  <si>
    <t>Select</t>
  </si>
  <si>
    <t>Vals</t>
  </si>
  <si>
    <t>61bits</t>
  </si>
  <si>
    <t>FS</t>
  </si>
  <si>
    <t>Del+D0+RTCal</t>
  </si>
  <si>
    <t>T1</t>
  </si>
  <si>
    <t>T3</t>
  </si>
  <si>
    <t>T4</t>
  </si>
  <si>
    <t>2*RTCal</t>
  </si>
  <si>
    <t>Any</t>
  </si>
  <si>
    <t>3*Tpri</t>
  </si>
  <si>
    <t>20*Tpri</t>
  </si>
  <si>
    <t>MAX(RTCal, 10*Tpri)</t>
  </si>
  <si>
    <t>s</t>
  </si>
  <si>
    <t>ns</t>
  </si>
  <si>
    <t>counts</t>
  </si>
  <si>
    <t>Tchip</t>
  </si>
  <si>
    <t>Min</t>
  </si>
  <si>
    <t>Nom</t>
  </si>
  <si>
    <t>Max</t>
  </si>
  <si>
    <t>[1] Table 193 (p.153)</t>
  </si>
  <si>
    <t>RTCal</t>
  </si>
  <si>
    <t>TRCal</t>
  </si>
  <si>
    <t>Data-0</t>
  </si>
  <si>
    <t>Data-1</t>
  </si>
  <si>
    <t>Note</t>
  </si>
  <si>
    <t>expected val</t>
  </si>
  <si>
    <t>Tag Resp</t>
  </si>
  <si>
    <t>not needed</t>
  </si>
  <si>
    <t>(T1+T3)=T4</t>
  </si>
  <si>
    <t>set to static val</t>
  </si>
  <si>
    <t>Frame-Sync</t>
  </si>
  <si>
    <t>Preamble</t>
  </si>
  <si>
    <t>[1].9.3.1.2.8 (Fig 38)</t>
  </si>
  <si>
    <t>N=61</t>
  </si>
  <si>
    <t>N=22</t>
  </si>
  <si>
    <t>Command Durations (Max, if all Data-1's)</t>
  </si>
  <si>
    <t>R=&gt;T preamble and frame-sync</t>
  </si>
  <si>
    <t>Buffer Calcs</t>
  </si>
  <si>
    <t>#Bytes</t>
  </si>
  <si>
    <t>#Chips</t>
  </si>
  <si>
    <t>t_buff</t>
  </si>
  <si>
    <t>ms</t>
  </si>
  <si>
    <t>t_post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</si>
</sst>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49" fontId="0" fillId="0" borderId="0" xfId="0" applyNumberFormat="1" applyFill="1"/>
    <xf numFmtId="49" fontId="0" fillId="0" borderId="0" xfId="0" applyNumberFormat="1"/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zoomScale="145" zoomScaleNormal="145" workbookViewId="0">
      <selection activeCell="C22" sqref="C22"/>
    </sheetView>
  </sheetViews>
  <sheetFormatPr defaultRowHeight="15" x14ac:dyDescent="0.25"/>
  <cols>
    <col min="1" max="1" width="9.140625" style="4"/>
    <col min="2" max="3" width="9.140625" style="2"/>
    <col min="4" max="4" width="9.140625" style="3"/>
    <col min="5" max="5" width="5.7109375" style="3" bestFit="1" customWidth="1"/>
    <col min="6" max="6" width="12.140625" style="3" customWidth="1"/>
    <col min="7" max="16384" width="9.140625" style="4"/>
  </cols>
  <sheetData>
    <row r="1" spans="1:14" x14ac:dyDescent="0.25">
      <c r="A1" s="1" t="s">
        <v>0</v>
      </c>
      <c r="N1" s="2" t="s">
        <v>84</v>
      </c>
    </row>
    <row r="2" spans="1:14" x14ac:dyDescent="0.25">
      <c r="A2" s="5"/>
      <c r="B2" s="5" t="s">
        <v>1</v>
      </c>
    </row>
    <row r="4" spans="1:14" x14ac:dyDescent="0.25">
      <c r="A4" s="1" t="s">
        <v>2</v>
      </c>
      <c r="C4" s="3" t="s">
        <v>12</v>
      </c>
      <c r="D4" s="3" t="s">
        <v>13</v>
      </c>
      <c r="E4" s="3" t="s">
        <v>27</v>
      </c>
      <c r="F4" s="3" t="s">
        <v>14</v>
      </c>
      <c r="G4" s="3" t="s">
        <v>15</v>
      </c>
    </row>
    <row r="5" spans="1:14" x14ac:dyDescent="0.25">
      <c r="B5" s="2" t="s">
        <v>3</v>
      </c>
      <c r="C5" s="4">
        <v>40</v>
      </c>
      <c r="D5" s="3" t="s">
        <v>4</v>
      </c>
    </row>
    <row r="6" spans="1:14" x14ac:dyDescent="0.25">
      <c r="B6" s="2" t="s">
        <v>5</v>
      </c>
      <c r="C6" s="4">
        <v>25</v>
      </c>
      <c r="D6" s="3" t="s">
        <v>6</v>
      </c>
    </row>
    <row r="7" spans="1:14" x14ac:dyDescent="0.25">
      <c r="B7" s="2" t="s">
        <v>11</v>
      </c>
      <c r="C7" s="2">
        <v>12.5</v>
      </c>
      <c r="D7" s="3" t="s">
        <v>6</v>
      </c>
    </row>
    <row r="9" spans="1:14" x14ac:dyDescent="0.25">
      <c r="A9" s="1" t="s">
        <v>10</v>
      </c>
    </row>
    <row r="10" spans="1:14" x14ac:dyDescent="0.25">
      <c r="A10" s="1"/>
      <c r="B10" s="2" t="s">
        <v>25</v>
      </c>
      <c r="C10" s="2">
        <v>12.5</v>
      </c>
      <c r="D10" s="3" t="s">
        <v>6</v>
      </c>
      <c r="E10" s="3">
        <f>C10/$C$10</f>
        <v>1</v>
      </c>
    </row>
    <row r="11" spans="1:14" x14ac:dyDescent="0.25">
      <c r="B11" s="2" t="s">
        <v>8</v>
      </c>
      <c r="C11" s="2">
        <v>25</v>
      </c>
      <c r="D11" s="3" t="s">
        <v>6</v>
      </c>
      <c r="E11" s="3">
        <f>C11/$C$10</f>
        <v>2</v>
      </c>
      <c r="G11" s="4" t="s">
        <v>28</v>
      </c>
    </row>
    <row r="12" spans="1:14" x14ac:dyDescent="0.25">
      <c r="B12" s="2" t="s">
        <v>9</v>
      </c>
      <c r="C12" s="2">
        <v>12.5</v>
      </c>
      <c r="D12" s="3" t="s">
        <v>6</v>
      </c>
      <c r="E12" s="3">
        <f>C12/$C$10</f>
        <v>1</v>
      </c>
      <c r="G12" s="4" t="s">
        <v>85</v>
      </c>
    </row>
    <row r="13" spans="1:14" x14ac:dyDescent="0.25">
      <c r="B13" s="2" t="s">
        <v>22</v>
      </c>
      <c r="C13" s="2">
        <v>40</v>
      </c>
      <c r="D13" s="3" t="s">
        <v>4</v>
      </c>
      <c r="E13" s="3" t="s">
        <v>26</v>
      </c>
      <c r="G13" s="5" t="s">
        <v>86</v>
      </c>
    </row>
    <row r="14" spans="1:14" x14ac:dyDescent="0.25">
      <c r="B14" s="2" t="s">
        <v>20</v>
      </c>
      <c r="C14" s="2">
        <v>0</v>
      </c>
      <c r="D14" s="3" t="s">
        <v>21</v>
      </c>
      <c r="E14" s="3" t="s">
        <v>26</v>
      </c>
    </row>
    <row r="15" spans="1:14" x14ac:dyDescent="0.25">
      <c r="B15" s="2" t="s">
        <v>23</v>
      </c>
      <c r="C15" s="2">
        <v>0</v>
      </c>
      <c r="D15" s="3" t="s">
        <v>24</v>
      </c>
      <c r="E15" s="3" t="s">
        <v>26</v>
      </c>
    </row>
    <row r="17" spans="1:6" x14ac:dyDescent="0.25">
      <c r="A17" s="1" t="s">
        <v>7</v>
      </c>
    </row>
    <row r="18" spans="1:6" x14ac:dyDescent="0.25">
      <c r="B18" s="2" t="s">
        <v>9</v>
      </c>
      <c r="C18" s="2">
        <f>C7</f>
        <v>12.5</v>
      </c>
      <c r="D18" s="3" t="s">
        <v>6</v>
      </c>
      <c r="E18" s="3">
        <f>C18/$C$10</f>
        <v>1</v>
      </c>
    </row>
    <row r="19" spans="1:6" x14ac:dyDescent="0.25">
      <c r="B19" s="2" t="s">
        <v>16</v>
      </c>
      <c r="C19" s="2">
        <f>C11-C12</f>
        <v>12.5</v>
      </c>
      <c r="D19" s="3" t="s">
        <v>6</v>
      </c>
      <c r="E19" s="3">
        <f>C19/$C$10</f>
        <v>1</v>
      </c>
    </row>
    <row r="20" spans="1:6" x14ac:dyDescent="0.25">
      <c r="B20" s="2" t="s">
        <v>17</v>
      </c>
      <c r="C20" s="2">
        <f>1.5*C11</f>
        <v>37.5</v>
      </c>
      <c r="D20" s="3" t="s">
        <v>6</v>
      </c>
      <c r="E20" s="3">
        <f>C20/$C$10</f>
        <v>3</v>
      </c>
    </row>
    <row r="21" spans="1:6" x14ac:dyDescent="0.25">
      <c r="B21" s="2" t="s">
        <v>18</v>
      </c>
      <c r="C21" s="2">
        <f>(C19+C18)+(C20+C18)-C18</f>
        <v>62.5</v>
      </c>
      <c r="D21" s="3" t="s">
        <v>6</v>
      </c>
      <c r="E21" s="3">
        <f>C21/$C$10</f>
        <v>5</v>
      </c>
    </row>
    <row r="22" spans="1:6" x14ac:dyDescent="0.25">
      <c r="B22" s="2" t="s">
        <v>19</v>
      </c>
      <c r="C22" s="2">
        <f>(8/(C13*1000))*1000000</f>
        <v>200</v>
      </c>
      <c r="D22" s="3" t="s">
        <v>6</v>
      </c>
      <c r="E22" s="3">
        <f>C22/$C$10</f>
        <v>16</v>
      </c>
    </row>
    <row r="24" spans="1:6" x14ac:dyDescent="0.25">
      <c r="A24" s="1" t="s">
        <v>29</v>
      </c>
    </row>
    <row r="25" spans="1:6" x14ac:dyDescent="0.25">
      <c r="B25" s="5" t="s">
        <v>30</v>
      </c>
    </row>
    <row r="26" spans="1:6" x14ac:dyDescent="0.25">
      <c r="B26" s="5" t="s">
        <v>31</v>
      </c>
    </row>
    <row r="28" spans="1:6" x14ac:dyDescent="0.25">
      <c r="A28" s="6"/>
      <c r="B28" s="7" t="s">
        <v>32</v>
      </c>
    </row>
    <row r="29" spans="1:6" x14ac:dyDescent="0.25">
      <c r="B29" s="3" t="s">
        <v>62</v>
      </c>
      <c r="C29" s="3" t="s">
        <v>33</v>
      </c>
      <c r="D29" s="3" t="s">
        <v>12</v>
      </c>
      <c r="E29" s="4"/>
      <c r="F29" s="4"/>
    </row>
    <row r="30" spans="1:6" x14ac:dyDescent="0.25">
      <c r="B30" s="2" t="s">
        <v>34</v>
      </c>
      <c r="C30" s="4">
        <v>4</v>
      </c>
      <c r="D30" s="8" t="s">
        <v>35</v>
      </c>
      <c r="E30" s="4"/>
      <c r="F30" s="4"/>
    </row>
    <row r="31" spans="1:6" x14ac:dyDescent="0.25">
      <c r="B31" s="2" t="s">
        <v>36</v>
      </c>
      <c r="C31" s="4">
        <v>3</v>
      </c>
      <c r="D31" s="8" t="s">
        <v>37</v>
      </c>
      <c r="E31" s="4" t="s">
        <v>38</v>
      </c>
      <c r="F31" s="4"/>
    </row>
    <row r="32" spans="1:6" x14ac:dyDescent="0.25">
      <c r="B32" s="2" t="s">
        <v>39</v>
      </c>
      <c r="C32" s="4">
        <v>3</v>
      </c>
      <c r="D32" s="8" t="s">
        <v>40</v>
      </c>
      <c r="E32" s="4" t="s">
        <v>41</v>
      </c>
      <c r="F32" s="4"/>
    </row>
    <row r="33" spans="1:9" x14ac:dyDescent="0.25">
      <c r="B33" s="2" t="s">
        <v>42</v>
      </c>
      <c r="C33" s="4">
        <v>2</v>
      </c>
      <c r="D33" s="8" t="s">
        <v>43</v>
      </c>
      <c r="E33" s="4" t="s">
        <v>44</v>
      </c>
      <c r="F33" s="4"/>
    </row>
    <row r="34" spans="1:9" x14ac:dyDescent="0.25">
      <c r="B34" s="2" t="s">
        <v>45</v>
      </c>
      <c r="C34" s="4">
        <v>8</v>
      </c>
      <c r="D34" s="8" t="s">
        <v>46</v>
      </c>
      <c r="E34" s="4" t="s">
        <v>47</v>
      </c>
      <c r="F34" s="4"/>
    </row>
    <row r="35" spans="1:9" x14ac:dyDescent="0.25">
      <c r="B35" s="2" t="s">
        <v>48</v>
      </c>
      <c r="C35" s="4">
        <v>8</v>
      </c>
      <c r="D35" s="8" t="s">
        <v>49</v>
      </c>
      <c r="E35" s="4" t="s">
        <v>50</v>
      </c>
      <c r="F35" s="4"/>
    </row>
    <row r="36" spans="1:9" x14ac:dyDescent="0.25">
      <c r="B36" s="2" t="s">
        <v>51</v>
      </c>
      <c r="C36" s="4">
        <v>16</v>
      </c>
      <c r="D36" s="8" t="s">
        <v>52</v>
      </c>
      <c r="E36" s="4" t="s">
        <v>53</v>
      </c>
      <c r="F36" s="4"/>
    </row>
    <row r="37" spans="1:9" x14ac:dyDescent="0.25">
      <c r="B37" s="2" t="s">
        <v>54</v>
      </c>
      <c r="C37" s="4">
        <v>1</v>
      </c>
      <c r="D37" s="8" t="s">
        <v>46</v>
      </c>
      <c r="E37" s="4" t="s">
        <v>55</v>
      </c>
      <c r="F37" s="4"/>
    </row>
    <row r="38" spans="1:9" x14ac:dyDescent="0.25">
      <c r="B38" s="2" t="s">
        <v>56</v>
      </c>
      <c r="C38" s="4">
        <v>16</v>
      </c>
      <c r="D38" s="8" t="s">
        <v>57</v>
      </c>
      <c r="E38" s="4" t="s">
        <v>58</v>
      </c>
      <c r="F38" s="4"/>
    </row>
    <row r="39" spans="1:9" x14ac:dyDescent="0.25">
      <c r="B39" s="2" t="s">
        <v>59</v>
      </c>
      <c r="C39" s="4">
        <f>SUM(C30:C38)</f>
        <v>61</v>
      </c>
      <c r="D39" s="4"/>
      <c r="E39" s="4"/>
      <c r="F39" s="4"/>
    </row>
    <row r="40" spans="1:9" x14ac:dyDescent="0.25">
      <c r="B40" s="4"/>
      <c r="C40" s="8"/>
      <c r="D40" s="4"/>
      <c r="E40" s="4"/>
      <c r="F40" s="4"/>
    </row>
    <row r="41" spans="1:9" x14ac:dyDescent="0.25">
      <c r="B41" s="2" t="s">
        <v>60</v>
      </c>
      <c r="C41" s="4"/>
      <c r="D41" s="4"/>
      <c r="E41" s="4"/>
      <c r="F41" s="4"/>
    </row>
    <row r="42" spans="1:9" x14ac:dyDescent="0.25">
      <c r="B42" s="4" t="s">
        <v>61</v>
      </c>
      <c r="C42" s="4"/>
      <c r="D42" s="4"/>
      <c r="E42" s="4"/>
      <c r="F42" s="4"/>
    </row>
    <row r="43" spans="1:9" x14ac:dyDescent="0.25">
      <c r="C43" s="3"/>
      <c r="F43" s="4"/>
    </row>
    <row r="44" spans="1:9" x14ac:dyDescent="0.25">
      <c r="A44" s="1" t="s">
        <v>83</v>
      </c>
    </row>
    <row r="45" spans="1:9" x14ac:dyDescent="0.25">
      <c r="B45" s="4" t="s">
        <v>62</v>
      </c>
      <c r="C45" s="4" t="s">
        <v>33</v>
      </c>
      <c r="D45" s="4" t="s">
        <v>12</v>
      </c>
      <c r="E45" s="4"/>
    </row>
    <row r="46" spans="1:9" x14ac:dyDescent="0.25">
      <c r="B46" s="2" t="s">
        <v>34</v>
      </c>
      <c r="C46" s="4">
        <v>4</v>
      </c>
      <c r="D46" s="8" t="s">
        <v>78</v>
      </c>
      <c r="E46" s="4"/>
      <c r="I46" s="4" t="s">
        <v>87</v>
      </c>
    </row>
    <row r="47" spans="1:9" x14ac:dyDescent="0.25">
      <c r="B47" s="2" t="s">
        <v>20</v>
      </c>
      <c r="C47" s="4">
        <v>1</v>
      </c>
      <c r="D47" s="4" t="s">
        <v>81</v>
      </c>
      <c r="E47" s="8" t="s">
        <v>82</v>
      </c>
      <c r="I47" s="8" t="s">
        <v>88</v>
      </c>
    </row>
    <row r="48" spans="1:9" x14ac:dyDescent="0.25">
      <c r="B48" s="2" t="s">
        <v>23</v>
      </c>
      <c r="C48" s="4">
        <v>2</v>
      </c>
      <c r="D48" s="4" t="s">
        <v>81</v>
      </c>
      <c r="E48" s="8" t="s">
        <v>80</v>
      </c>
    </row>
    <row r="49" spans="2:5" x14ac:dyDescent="0.25">
      <c r="B49" s="2" t="s">
        <v>79</v>
      </c>
      <c r="C49" s="4">
        <v>1</v>
      </c>
      <c r="D49" s="8" t="s">
        <v>70</v>
      </c>
      <c r="E49" s="4" t="s">
        <v>77</v>
      </c>
    </row>
    <row r="50" spans="2:5" x14ac:dyDescent="0.25">
      <c r="B50" s="2" t="s">
        <v>76</v>
      </c>
      <c r="C50" s="4">
        <v>2</v>
      </c>
      <c r="D50" s="8" t="s">
        <v>75</v>
      </c>
      <c r="E50" s="4" t="s">
        <v>74</v>
      </c>
    </row>
    <row r="51" spans="2:5" x14ac:dyDescent="0.25">
      <c r="B51" s="2" t="s">
        <v>73</v>
      </c>
      <c r="C51" s="4">
        <v>2</v>
      </c>
      <c r="D51" s="8" t="s">
        <v>72</v>
      </c>
      <c r="E51" s="4" t="s">
        <v>71</v>
      </c>
    </row>
    <row r="52" spans="2:5" x14ac:dyDescent="0.25">
      <c r="B52" s="2" t="s">
        <v>36</v>
      </c>
      <c r="C52" s="4">
        <v>1</v>
      </c>
      <c r="D52" s="8" t="s">
        <v>70</v>
      </c>
      <c r="E52" s="4" t="s">
        <v>69</v>
      </c>
    </row>
    <row r="53" spans="2:5" x14ac:dyDescent="0.25">
      <c r="B53" s="2" t="s">
        <v>68</v>
      </c>
      <c r="C53" s="4">
        <v>4</v>
      </c>
      <c r="D53" s="8" t="s">
        <v>67</v>
      </c>
      <c r="E53" s="4" t="s">
        <v>66</v>
      </c>
    </row>
    <row r="54" spans="2:5" x14ac:dyDescent="0.25">
      <c r="B54" s="2" t="s">
        <v>65</v>
      </c>
      <c r="C54" s="4">
        <v>5</v>
      </c>
      <c r="D54" s="8" t="s">
        <v>57</v>
      </c>
      <c r="E54" s="4" t="s">
        <v>64</v>
      </c>
    </row>
    <row r="55" spans="2:5" x14ac:dyDescent="0.25">
      <c r="C55" s="4"/>
      <c r="D55" s="4"/>
      <c r="E55" s="4"/>
    </row>
    <row r="56" spans="2:5" x14ac:dyDescent="0.25">
      <c r="B56" s="2" t="s">
        <v>60</v>
      </c>
      <c r="C56" s="4"/>
      <c r="D56" s="4"/>
      <c r="E56" s="4"/>
    </row>
    <row r="57" spans="2:5" x14ac:dyDescent="0.25">
      <c r="B57" s="5" t="s">
        <v>63</v>
      </c>
      <c r="C57" s="4"/>
      <c r="D57" s="4"/>
      <c r="E57" s="4"/>
    </row>
    <row r="58" spans="2:5" x14ac:dyDescent="0.25">
      <c r="B58" s="4"/>
      <c r="C58" s="4"/>
      <c r="D58" s="4"/>
      <c r="E58" s="4"/>
    </row>
    <row r="59" spans="2:5" x14ac:dyDescent="0.25">
      <c r="C59" s="3"/>
    </row>
    <row r="60" spans="2:5" x14ac:dyDescent="0.25">
      <c r="C60" s="3"/>
    </row>
    <row r="61" spans="2:5" x14ac:dyDescent="0.25">
      <c r="C61" s="3"/>
    </row>
    <row r="62" spans="2:5" x14ac:dyDescent="0.25">
      <c r="C62" s="3"/>
    </row>
    <row r="63" spans="2:5" x14ac:dyDescent="0.25">
      <c r="C63" s="3"/>
    </row>
    <row r="64" spans="2:5" x14ac:dyDescent="0.25">
      <c r="C64" s="3"/>
    </row>
  </sheetData>
  <pageMargins left="0.25" right="0.25" top="0.75" bottom="0.75" header="0.3" footer="0.3"/>
  <pageSetup scale="7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4" zoomScale="190" zoomScaleNormal="190" workbookViewId="0">
      <selection activeCell="F26" sqref="F26"/>
    </sheetView>
  </sheetViews>
  <sheetFormatPr defaultRowHeight="15" x14ac:dyDescent="0.25"/>
  <cols>
    <col min="1" max="1" width="11.42578125" customWidth="1"/>
    <col min="6" max="6" width="14.28515625" bestFit="1" customWidth="1"/>
  </cols>
  <sheetData>
    <row r="1" spans="1:7" x14ac:dyDescent="0.25">
      <c r="A1" t="s">
        <v>8</v>
      </c>
      <c r="B1">
        <f>Commands!C11</f>
        <v>25</v>
      </c>
      <c r="C1" t="s">
        <v>6</v>
      </c>
      <c r="E1" t="s">
        <v>98</v>
      </c>
      <c r="F1">
        <f>1/(B2*1000)*1000000</f>
        <v>25</v>
      </c>
      <c r="G1" t="s">
        <v>6</v>
      </c>
    </row>
    <row r="2" spans="1:7" x14ac:dyDescent="0.25">
      <c r="A2" t="s">
        <v>22</v>
      </c>
      <c r="B2">
        <f>Commands!C13</f>
        <v>40</v>
      </c>
      <c r="C2" t="s">
        <v>4</v>
      </c>
      <c r="E2" t="s">
        <v>116</v>
      </c>
      <c r="F2">
        <v>12.5</v>
      </c>
      <c r="G2" t="s">
        <v>6</v>
      </c>
    </row>
    <row r="4" spans="1:7" x14ac:dyDescent="0.25">
      <c r="A4" t="s">
        <v>123</v>
      </c>
      <c r="B4">
        <f>(Commands!C19+Commands!C18)</f>
        <v>25</v>
      </c>
      <c r="C4" t="s">
        <v>6</v>
      </c>
      <c r="E4" t="s">
        <v>121</v>
      </c>
      <c r="F4">
        <f>(Commands!C21+Commands!C18)</f>
        <v>75</v>
      </c>
      <c r="G4" t="s">
        <v>6</v>
      </c>
    </row>
    <row r="5" spans="1:7" x14ac:dyDescent="0.25">
      <c r="A5" t="s">
        <v>124</v>
      </c>
      <c r="B5">
        <f>(Commands!C20+Commands!C18)</f>
        <v>50</v>
      </c>
      <c r="C5" t="s">
        <v>6</v>
      </c>
      <c r="E5" t="s">
        <v>122</v>
      </c>
      <c r="F5">
        <f>(Commands!C22+Commands!C18)</f>
        <v>212.5</v>
      </c>
      <c r="G5" t="s">
        <v>6</v>
      </c>
    </row>
    <row r="7" spans="1:7" x14ac:dyDescent="0.25">
      <c r="A7" t="s">
        <v>127</v>
      </c>
      <c r="B7">
        <f>16*F1</f>
        <v>400</v>
      </c>
      <c r="C7" t="s">
        <v>6</v>
      </c>
    </row>
    <row r="9" spans="1:7" ht="15.75" thickBot="1" x14ac:dyDescent="0.3">
      <c r="A9" s="31" t="s">
        <v>137</v>
      </c>
    </row>
    <row r="10" spans="1:7" ht="15.75" thickBot="1" x14ac:dyDescent="0.3">
      <c r="B10" s="22" t="s">
        <v>117</v>
      </c>
      <c r="C10" s="23" t="s">
        <v>118</v>
      </c>
      <c r="D10" s="25" t="s">
        <v>119</v>
      </c>
      <c r="E10" s="22" t="s">
        <v>76</v>
      </c>
      <c r="F10" s="24" t="s">
        <v>125</v>
      </c>
    </row>
    <row r="11" spans="1:7" x14ac:dyDescent="0.25">
      <c r="A11" s="11" t="s">
        <v>105</v>
      </c>
      <c r="B11" s="26">
        <f>MAX(F4, 10*F1) - 2</f>
        <v>248</v>
      </c>
      <c r="C11" s="21">
        <f>MAX(F4, 10*F1)</f>
        <v>250</v>
      </c>
      <c r="D11" s="29">
        <f>MAX(F4, 10*F1) + 2</f>
        <v>252</v>
      </c>
      <c r="E11" s="26">
        <v>250</v>
      </c>
      <c r="F11" s="30" t="s">
        <v>126</v>
      </c>
    </row>
    <row r="12" spans="1:7" x14ac:dyDescent="0.25">
      <c r="A12" s="12" t="s">
        <v>99</v>
      </c>
      <c r="B12" s="27">
        <f>3*F1</f>
        <v>75</v>
      </c>
      <c r="C12" s="10" t="s">
        <v>26</v>
      </c>
      <c r="D12" s="19">
        <f>20*F1</f>
        <v>500</v>
      </c>
      <c r="E12" s="27">
        <v>75</v>
      </c>
      <c r="F12" s="17" t="s">
        <v>128</v>
      </c>
    </row>
    <row r="13" spans="1:7" x14ac:dyDescent="0.25">
      <c r="A13" s="12" t="s">
        <v>106</v>
      </c>
      <c r="B13" s="27">
        <v>0</v>
      </c>
      <c r="C13" s="10" t="s">
        <v>26</v>
      </c>
      <c r="D13" s="19" t="s">
        <v>26</v>
      </c>
      <c r="E13" s="27">
        <f>E14-E11</f>
        <v>475</v>
      </c>
      <c r="F13" s="17" t="s">
        <v>129</v>
      </c>
    </row>
    <row r="14" spans="1:7" ht="15.75" thickBot="1" x14ac:dyDescent="0.3">
      <c r="A14" s="13" t="s">
        <v>107</v>
      </c>
      <c r="B14" s="28">
        <f>2*F4</f>
        <v>150</v>
      </c>
      <c r="C14" s="16" t="s">
        <v>26</v>
      </c>
      <c r="D14" s="20" t="s">
        <v>26</v>
      </c>
      <c r="E14" s="28">
        <f>B7+E11+E12</f>
        <v>725</v>
      </c>
      <c r="F14" s="18" t="s">
        <v>130</v>
      </c>
    </row>
    <row r="15" spans="1:7" x14ac:dyDescent="0.25">
      <c r="B15" s="15" t="s">
        <v>120</v>
      </c>
    </row>
    <row r="17" spans="1:5" x14ac:dyDescent="0.25">
      <c r="A17" s="14" t="s">
        <v>136</v>
      </c>
    </row>
    <row r="18" spans="1:5" x14ac:dyDescent="0.25">
      <c r="A18" t="s">
        <v>131</v>
      </c>
      <c r="B18">
        <f>Commands!C7+(Commands!C19+Commands!C18)+(Commands!C21+Commands!C18)</f>
        <v>112.5</v>
      </c>
      <c r="C18" t="s">
        <v>6</v>
      </c>
      <c r="E18" t="s">
        <v>133</v>
      </c>
    </row>
    <row r="19" spans="1:5" x14ac:dyDescent="0.25">
      <c r="A19" t="s">
        <v>132</v>
      </c>
      <c r="B19">
        <f>B18+(Commands!C22+Commands!C18)</f>
        <v>325</v>
      </c>
      <c r="C19" t="s">
        <v>6</v>
      </c>
      <c r="E19" t="s">
        <v>133</v>
      </c>
    </row>
    <row r="21" spans="1:5" x14ac:dyDescent="0.25">
      <c r="A21" t="s">
        <v>100</v>
      </c>
      <c r="B21">
        <f>B18+61*(Commands!C20+Commands!C18)</f>
        <v>3162.5</v>
      </c>
      <c r="C21" t="s">
        <v>6</v>
      </c>
      <c r="E21" t="s">
        <v>134</v>
      </c>
    </row>
    <row r="22" spans="1:5" x14ac:dyDescent="0.25">
      <c r="A22" t="s">
        <v>89</v>
      </c>
      <c r="B22">
        <f>B19+22*(Commands!C20+Commands!C18)</f>
        <v>1425</v>
      </c>
      <c r="C22" t="s">
        <v>6</v>
      </c>
      <c r="E22" t="s">
        <v>135</v>
      </c>
    </row>
    <row r="24" spans="1:5" x14ac:dyDescent="0.25">
      <c r="A24" s="31" t="s">
        <v>138</v>
      </c>
    </row>
    <row r="25" spans="1:5" x14ac:dyDescent="0.25">
      <c r="A25" t="s">
        <v>139</v>
      </c>
      <c r="B25">
        <v>100</v>
      </c>
    </row>
    <row r="26" spans="1:5" x14ac:dyDescent="0.25">
      <c r="A26" t="s">
        <v>140</v>
      </c>
      <c r="B26">
        <f>B25*8</f>
        <v>800</v>
      </c>
    </row>
    <row r="28" spans="1:5" x14ac:dyDescent="0.25">
      <c r="A28" t="s">
        <v>141</v>
      </c>
      <c r="B28">
        <f>B26*F2</f>
        <v>10000</v>
      </c>
      <c r="C28" t="s">
        <v>6</v>
      </c>
    </row>
    <row r="29" spans="1:5" x14ac:dyDescent="0.25">
      <c r="B29">
        <f>B28/1000</f>
        <v>10</v>
      </c>
      <c r="C29" t="s">
        <v>142</v>
      </c>
    </row>
    <row r="31" spans="1:5" x14ac:dyDescent="0.25">
      <c r="A31" t="s">
        <v>143</v>
      </c>
      <c r="B31">
        <f>B28-E14-B21-E14-B22-E14</f>
        <v>3237.5</v>
      </c>
      <c r="C31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21" sqref="H21"/>
    </sheetView>
  </sheetViews>
  <sheetFormatPr defaultRowHeight="15" x14ac:dyDescent="0.25"/>
  <sheetData>
    <row r="1" spans="1:9" x14ac:dyDescent="0.25">
      <c r="A1" t="s">
        <v>101</v>
      </c>
    </row>
    <row r="2" spans="1:9" x14ac:dyDescent="0.25">
      <c r="B2" t="s">
        <v>96</v>
      </c>
      <c r="C2">
        <v>12.5</v>
      </c>
      <c r="G2" t="s">
        <v>22</v>
      </c>
      <c r="H2">
        <f>40000</f>
        <v>40000</v>
      </c>
    </row>
    <row r="3" spans="1:9" x14ac:dyDescent="0.25">
      <c r="B3" t="s">
        <v>95</v>
      </c>
      <c r="C3">
        <v>25</v>
      </c>
      <c r="G3" t="s">
        <v>98</v>
      </c>
      <c r="H3">
        <f>1/H2</f>
        <v>2.5000000000000001E-5</v>
      </c>
      <c r="I3" t="s">
        <v>113</v>
      </c>
    </row>
    <row r="4" spans="1:9" x14ac:dyDescent="0.25">
      <c r="B4" t="s">
        <v>97</v>
      </c>
      <c r="C4">
        <f>4*12.5</f>
        <v>50</v>
      </c>
      <c r="H4">
        <f>H3*1000000</f>
        <v>25</v>
      </c>
      <c r="I4" t="s">
        <v>6</v>
      </c>
    </row>
    <row r="5" spans="1:9" x14ac:dyDescent="0.25">
      <c r="B5" t="s">
        <v>94</v>
      </c>
      <c r="C5">
        <f>62.5+12.5</f>
        <v>75</v>
      </c>
    </row>
    <row r="6" spans="1:9" x14ac:dyDescent="0.25">
      <c r="B6" t="s">
        <v>93</v>
      </c>
      <c r="C6">
        <f>212.5</f>
        <v>212.5</v>
      </c>
    </row>
    <row r="8" spans="1:9" x14ac:dyDescent="0.25">
      <c r="B8" t="s">
        <v>91</v>
      </c>
      <c r="C8" t="s">
        <v>92</v>
      </c>
    </row>
    <row r="9" spans="1:9" x14ac:dyDescent="0.25">
      <c r="C9">
        <f>C2+C3+C5+C6</f>
        <v>325</v>
      </c>
      <c r="D9" t="s">
        <v>6</v>
      </c>
    </row>
    <row r="10" spans="1:9" x14ac:dyDescent="0.25">
      <c r="B10" t="s">
        <v>103</v>
      </c>
      <c r="C10" t="s">
        <v>104</v>
      </c>
    </row>
    <row r="11" spans="1:9" x14ac:dyDescent="0.25">
      <c r="C11">
        <f>C2+C3+C5</f>
        <v>112.5</v>
      </c>
      <c r="D11" t="s">
        <v>6</v>
      </c>
    </row>
    <row r="13" spans="1:9" x14ac:dyDescent="0.25">
      <c r="A13" t="s">
        <v>89</v>
      </c>
      <c r="B13" t="s">
        <v>90</v>
      </c>
    </row>
    <row r="14" spans="1:9" x14ac:dyDescent="0.25">
      <c r="B14">
        <f>C9+22*C4</f>
        <v>1425</v>
      </c>
      <c r="C14" t="s">
        <v>6</v>
      </c>
    </row>
    <row r="19" spans="1:9" x14ac:dyDescent="0.25">
      <c r="A19" t="s">
        <v>100</v>
      </c>
      <c r="B19" t="s">
        <v>102</v>
      </c>
    </row>
    <row r="20" spans="1:9" x14ac:dyDescent="0.25">
      <c r="B20">
        <f>C11+61*C4</f>
        <v>3162.5</v>
      </c>
      <c r="C20" t="s">
        <v>6</v>
      </c>
    </row>
    <row r="23" spans="1:9" x14ac:dyDescent="0.25">
      <c r="H23">
        <f>16000000</f>
        <v>16000000</v>
      </c>
    </row>
    <row r="24" spans="1:9" x14ac:dyDescent="0.25">
      <c r="A24" t="s">
        <v>105</v>
      </c>
      <c r="H24">
        <f>1/H23</f>
        <v>6.2499999999999997E-8</v>
      </c>
    </row>
    <row r="25" spans="1:9" x14ac:dyDescent="0.25">
      <c r="B25" s="9" t="s">
        <v>112</v>
      </c>
      <c r="H25">
        <f>H24*1000000000</f>
        <v>62.5</v>
      </c>
    </row>
    <row r="26" spans="1:9" x14ac:dyDescent="0.25">
      <c r="B26">
        <f>MAX(C5,250)</f>
        <v>250</v>
      </c>
    </row>
    <row r="27" spans="1:9" x14ac:dyDescent="0.25">
      <c r="H27">
        <v>100</v>
      </c>
      <c r="I27" t="s">
        <v>6</v>
      </c>
    </row>
    <row r="28" spans="1:9" x14ac:dyDescent="0.25">
      <c r="A28" t="s">
        <v>99</v>
      </c>
      <c r="H28">
        <f>H27*1000</f>
        <v>100000</v>
      </c>
      <c r="I28" t="s">
        <v>114</v>
      </c>
    </row>
    <row r="29" spans="1:9" x14ac:dyDescent="0.25">
      <c r="B29" s="9" t="s">
        <v>110</v>
      </c>
      <c r="C29">
        <f>3*H4</f>
        <v>75</v>
      </c>
      <c r="H29">
        <f>H28/H25</f>
        <v>1600</v>
      </c>
      <c r="I29" t="s">
        <v>115</v>
      </c>
    </row>
    <row r="30" spans="1:9" x14ac:dyDescent="0.25">
      <c r="B30" s="9" t="s">
        <v>111</v>
      </c>
      <c r="C30">
        <f>20*H4</f>
        <v>500</v>
      </c>
    </row>
    <row r="32" spans="1:9" x14ac:dyDescent="0.25">
      <c r="A32" t="s">
        <v>106</v>
      </c>
    </row>
    <row r="33" spans="1:2" x14ac:dyDescent="0.25">
      <c r="B33" t="s">
        <v>109</v>
      </c>
    </row>
    <row r="36" spans="1:2" x14ac:dyDescent="0.25">
      <c r="A36" t="s">
        <v>107</v>
      </c>
    </row>
    <row r="37" spans="1:2" x14ac:dyDescent="0.25">
      <c r="B37" t="s">
        <v>108</v>
      </c>
    </row>
    <row r="38" spans="1:2" x14ac:dyDescent="0.25">
      <c r="B38">
        <f>2*C5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Commands</vt:lpstr>
      <vt:lpstr>Link Timing</vt:lpstr>
      <vt:lpstr>Misc.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2017-07-16T15:59:35Z</dcterms:modified>
</cp:coreProperties>
</file>